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20_5_spot_pattern/"/>
    </mc:Choice>
  </mc:AlternateContent>
  <xr:revisionPtr revIDLastSave="0" documentId="8_{AA0B04B3-F9BB-4CE0-A31F-99837A5748BE}" xr6:coauthVersionLast="47" xr6:coauthVersionMax="47" xr10:uidLastSave="{00000000-0000-0000-0000-000000000000}"/>
  <bookViews>
    <workbookView xWindow="1905" yWindow="765" windowWidth="21600" windowHeight="11385" xr2:uid="{DAE4A440-CF4C-42DB-92E8-EE4C3B38F10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68" i="1" l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<sst xmlns="http://schemas.openxmlformats.org/spreadsheetml/2006/main" count="15" uniqueCount="15">
  <si>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MODEL\SCENARIOS\2022\S20_5_spot_pattern\S20_5_spot_pattern.sr3</t>
  </si>
  <si>
    <t>Time (day)</t>
  </si>
  <si>
    <t>Date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</si>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</sst>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E1CF0-24F5-4725-AC9C-719705677176}" name="Table1" displayName="Table1" ref="A3:N1568" totalsRowShown="0">
  <autoFilter ref="A3:N1568" xr:uid="{3A1E1CF0-24F5-4725-AC9C-719705677176}"/>
  <tableColumns count="14">
    <tableColumn id="1" xr3:uid="{204BAD69-B36E-49FF-9DA6-A9DDC2DA69DC}" name="Time (day)"/>
    <tableColumn id="2" xr3:uid="{A58ED320-C7A9-44A0-A4BF-BACE8DA3D079}" name="Date" dataDxfId="0"/>
    <tableColumn id="3" xr3:uid="{AD10CCF4-E8BA-4A90-9E9D-2CD60845AF22}" name="Hot well INJ-Well Bottom-hole Pressure (kPa)"/>
    <tableColumn id="4" xr3:uid="{A1D9FAD8-41F4-4C5D-8B22-63A88AF5C5CF}" name="Hot well PROD-Well Bottom-hole Pressure (kPa)"/>
    <tableColumn id="5" xr3:uid="{8231CB03-7690-4297-A03F-5A8CD3D47CF3}" name="Warm well INJ-Well Bottom-hole Pressure (kPa)"/>
    <tableColumn id="6" xr3:uid="{77F6592C-8593-4734-955A-1F172A2C39C2}" name="Warm well PROD-Well Bottom-hole Pressure (kPa)"/>
    <tableColumn id="7" xr3:uid="{427E2304-C109-48DE-9CB8-830FE7171860}" name="Hot well INJ-Well bottom hole temperature (C)"/>
    <tableColumn id="8" xr3:uid="{8426F2EC-08B7-46E8-8680-362DC044460F}" name="Hot well PROD-Well bottom hole temperature (C)"/>
    <tableColumn id="9" xr3:uid="{CB6A6B8C-EC08-4374-8E69-9910C01AAFF0}" name="Warm well INJ-Well bottom hole temperature (C)"/>
    <tableColumn id="10" xr3:uid="{97AA462A-7777-4CFD-9D7B-A188EBC4CAEA}" name="Warm well PROD-Well bottom hole temperature (C)"/>
    <tableColumn id="11" xr3:uid="{31647E2C-75ED-430F-9329-E58F24D83F4C}" name="Hot well INJ-Fluid Rate SC (m³/day)"/>
    <tableColumn id="12" xr3:uid="{86E6BA2D-4B39-4261-B066-16A1B6831CE7}" name="Hot well PROD-Fluid Rate SC (m³/day)"/>
    <tableColumn id="13" xr3:uid="{D095C204-E478-4829-BE4D-DD4A8357BA3D}" name="Warm well INJ-Fluid Rate SC (m³/day)"/>
    <tableColumn id="14" xr3:uid="{D5745A19-0BBF-4C83-B986-5539A32F60AF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FEFB-D5E9-4730-BE62-BF73284CAC3B}">
  <dimension ref="A1:N1568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3.5703125" customWidth="1"/>
    <col min="4" max="5" width="45.85546875" customWidth="1"/>
    <col min="6" max="6" width="48.140625" customWidth="1"/>
    <col min="7" max="7" width="44.85546875" customWidth="1"/>
    <col min="8" max="9" width="47.140625" customWidth="1"/>
    <col min="10" max="10" width="49.425781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1371.1635742000001</v>
      </c>
      <c r="D4">
        <v>1329.5518798999999</v>
      </c>
      <c r="E4">
        <v>1329.2692870999999</v>
      </c>
      <c r="F4">
        <v>1322.4046631000001</v>
      </c>
      <c r="G4">
        <v>80</v>
      </c>
      <c r="H4">
        <v>15.000038147</v>
      </c>
      <c r="I4">
        <v>50</v>
      </c>
      <c r="J4">
        <v>14.999985694999999</v>
      </c>
      <c r="K4">
        <v>1200</v>
      </c>
      <c r="L4">
        <v>0</v>
      </c>
      <c r="M4">
        <v>0</v>
      </c>
      <c r="N4">
        <v>1200</v>
      </c>
    </row>
    <row r="5" spans="1:14" x14ac:dyDescent="0.25">
      <c r="A5">
        <v>3.9999999999999998E-6</v>
      </c>
      <c r="B5" s="1">
        <f>DATE(2010,5,1) + TIME(0,0,0)</f>
        <v>40299</v>
      </c>
      <c r="C5">
        <v>1371.5791016000001</v>
      </c>
      <c r="D5">
        <v>1329.9675293</v>
      </c>
      <c r="E5">
        <v>1328.8692627</v>
      </c>
      <c r="F5">
        <v>1322.0046387</v>
      </c>
      <c r="G5">
        <v>80</v>
      </c>
      <c r="H5">
        <v>15.000151634</v>
      </c>
      <c r="I5">
        <v>50</v>
      </c>
      <c r="J5">
        <v>14.999944686999999</v>
      </c>
      <c r="K5">
        <v>1200</v>
      </c>
      <c r="L5">
        <v>0</v>
      </c>
      <c r="M5">
        <v>0</v>
      </c>
      <c r="N5">
        <v>1200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1372.7379149999999</v>
      </c>
      <c r="D6">
        <v>1331.1265868999999</v>
      </c>
      <c r="E6">
        <v>1327.8273925999999</v>
      </c>
      <c r="F6">
        <v>1320.9627685999999</v>
      </c>
      <c r="G6">
        <v>80</v>
      </c>
      <c r="H6">
        <v>15.000481605999999</v>
      </c>
      <c r="I6">
        <v>50</v>
      </c>
      <c r="J6">
        <v>14.999836922</v>
      </c>
      <c r="K6">
        <v>1200</v>
      </c>
      <c r="L6">
        <v>0</v>
      </c>
      <c r="M6">
        <v>0</v>
      </c>
      <c r="N6">
        <v>1200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1375.6175536999999</v>
      </c>
      <c r="D7">
        <v>1334.0072021000001</v>
      </c>
      <c r="E7">
        <v>1325.6192627</v>
      </c>
      <c r="F7">
        <v>1318.7546387</v>
      </c>
      <c r="G7">
        <v>80</v>
      </c>
      <c r="H7">
        <v>15.001411438</v>
      </c>
      <c r="I7">
        <v>50</v>
      </c>
      <c r="J7">
        <v>14.999609947</v>
      </c>
      <c r="K7">
        <v>1200</v>
      </c>
      <c r="L7">
        <v>0</v>
      </c>
      <c r="M7">
        <v>0</v>
      </c>
      <c r="N7">
        <v>1200</v>
      </c>
    </row>
    <row r="8" spans="1:14" x14ac:dyDescent="0.25">
      <c r="A8">
        <v>1.21E-4</v>
      </c>
      <c r="B8" s="1">
        <f>DATE(2010,5,1) + TIME(0,0,10)</f>
        <v>40299.000115740739</v>
      </c>
      <c r="C8">
        <v>1381.3725586</v>
      </c>
      <c r="D8">
        <v>1339.7647704999999</v>
      </c>
      <c r="E8">
        <v>1322.3107910000001</v>
      </c>
      <c r="F8">
        <v>1315.4460449000001</v>
      </c>
      <c r="G8">
        <v>80</v>
      </c>
      <c r="H8">
        <v>15.003904343</v>
      </c>
      <c r="I8">
        <v>50</v>
      </c>
      <c r="J8">
        <v>14.999270439</v>
      </c>
      <c r="K8">
        <v>1200</v>
      </c>
      <c r="L8">
        <v>0</v>
      </c>
      <c r="M8">
        <v>0</v>
      </c>
      <c r="N8">
        <v>1200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1390.0363769999999</v>
      </c>
      <c r="D9">
        <v>1348.4357910000001</v>
      </c>
      <c r="E9">
        <v>1318.8588867000001</v>
      </c>
      <c r="F9">
        <v>1311.9941406</v>
      </c>
      <c r="G9">
        <v>80</v>
      </c>
      <c r="H9">
        <v>15.010498047</v>
      </c>
      <c r="I9">
        <v>50</v>
      </c>
      <c r="J9">
        <v>14.998914719</v>
      </c>
      <c r="K9">
        <v>1200</v>
      </c>
      <c r="L9">
        <v>0</v>
      </c>
      <c r="M9">
        <v>0</v>
      </c>
      <c r="N9">
        <v>1200</v>
      </c>
    </row>
    <row r="10" spans="1:14" x14ac:dyDescent="0.25">
      <c r="A10">
        <v>1.093E-3</v>
      </c>
      <c r="B10" s="1">
        <f>DATE(2010,5,1) + TIME(0,1,34)</f>
        <v>40299.001087962963</v>
      </c>
      <c r="C10">
        <v>1400.3586425999999</v>
      </c>
      <c r="D10">
        <v>1358.7779541</v>
      </c>
      <c r="E10">
        <v>1315.7678223</v>
      </c>
      <c r="F10">
        <v>1308.9030762</v>
      </c>
      <c r="G10">
        <v>80</v>
      </c>
      <c r="H10">
        <v>15.028662682</v>
      </c>
      <c r="I10">
        <v>50</v>
      </c>
      <c r="J10">
        <v>14.998597145</v>
      </c>
      <c r="K10">
        <v>1200</v>
      </c>
      <c r="L10">
        <v>0</v>
      </c>
      <c r="M10">
        <v>0</v>
      </c>
      <c r="N10">
        <v>1200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1411.2133789</v>
      </c>
      <c r="D11">
        <v>1369.6901855000001</v>
      </c>
      <c r="E11">
        <v>1312.9162598</v>
      </c>
      <c r="F11">
        <v>1306.0515137</v>
      </c>
      <c r="G11">
        <v>80</v>
      </c>
      <c r="H11">
        <v>15.081048965000001</v>
      </c>
      <c r="I11">
        <v>50</v>
      </c>
      <c r="J11">
        <v>14.998305321</v>
      </c>
      <c r="K11">
        <v>1200</v>
      </c>
      <c r="L11">
        <v>0</v>
      </c>
      <c r="M11">
        <v>0</v>
      </c>
      <c r="N11">
        <v>1200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1421.5239257999999</v>
      </c>
      <c r="D12">
        <v>1380.1687012</v>
      </c>
      <c r="E12">
        <v>1310.6484375</v>
      </c>
      <c r="F12">
        <v>1303.7835693</v>
      </c>
      <c r="G12">
        <v>80</v>
      </c>
      <c r="H12">
        <v>15.235561370999999</v>
      </c>
      <c r="I12">
        <v>50</v>
      </c>
      <c r="J12">
        <v>14.998074532</v>
      </c>
      <c r="K12">
        <v>1200</v>
      </c>
      <c r="L12">
        <v>0</v>
      </c>
      <c r="M12">
        <v>0</v>
      </c>
      <c r="N12">
        <v>1200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1429.1385498</v>
      </c>
      <c r="D13">
        <v>1388.2747803</v>
      </c>
      <c r="E13">
        <v>1310.0848389</v>
      </c>
      <c r="F13">
        <v>1303.2200928</v>
      </c>
      <c r="G13">
        <v>80</v>
      </c>
      <c r="H13">
        <v>15.693573951999999</v>
      </c>
      <c r="I13">
        <v>50</v>
      </c>
      <c r="J13">
        <v>14.998023033000001</v>
      </c>
      <c r="K13">
        <v>1200</v>
      </c>
      <c r="L13">
        <v>0</v>
      </c>
      <c r="M13">
        <v>0</v>
      </c>
      <c r="N13">
        <v>1200</v>
      </c>
    </row>
    <row r="14" spans="1:14" x14ac:dyDescent="0.25">
      <c r="A14">
        <v>7.2498000000000007E-2</v>
      </c>
      <c r="B14" s="1">
        <f>DATE(2010,5,1) + TIME(1,44,23)</f>
        <v>40299.072488425925</v>
      </c>
      <c r="C14">
        <v>1432.1275635</v>
      </c>
      <c r="D14">
        <v>1392.286499</v>
      </c>
      <c r="E14">
        <v>1310.9243164</v>
      </c>
      <c r="F14">
        <v>1304.0595702999999</v>
      </c>
      <c r="G14">
        <v>80</v>
      </c>
      <c r="H14">
        <v>16.679006576999999</v>
      </c>
      <c r="I14">
        <v>50</v>
      </c>
      <c r="J14">
        <v>14.998121262</v>
      </c>
      <c r="K14">
        <v>1200</v>
      </c>
      <c r="L14">
        <v>0</v>
      </c>
      <c r="M14">
        <v>0</v>
      </c>
      <c r="N14">
        <v>1200</v>
      </c>
    </row>
    <row r="15" spans="1:14" x14ac:dyDescent="0.25">
      <c r="A15">
        <v>0.11609800000000001</v>
      </c>
      <c r="B15" s="1">
        <f>DATE(2010,5,1) + TIME(2,47,10)</f>
        <v>40299.116087962961</v>
      </c>
      <c r="C15">
        <v>1432.4150391000001</v>
      </c>
      <c r="D15">
        <v>1393.5455322</v>
      </c>
      <c r="E15">
        <v>1311.6319579999999</v>
      </c>
      <c r="F15">
        <v>1304.7672118999999</v>
      </c>
      <c r="G15">
        <v>80</v>
      </c>
      <c r="H15">
        <v>17.665060043</v>
      </c>
      <c r="I15">
        <v>50</v>
      </c>
      <c r="J15">
        <v>14.998205185</v>
      </c>
      <c r="K15">
        <v>1200</v>
      </c>
      <c r="L15">
        <v>0</v>
      </c>
      <c r="M15">
        <v>0</v>
      </c>
      <c r="N15">
        <v>1200</v>
      </c>
    </row>
    <row r="16" spans="1:14" x14ac:dyDescent="0.25">
      <c r="A16">
        <v>0.160304</v>
      </c>
      <c r="B16" s="1">
        <f>DATE(2010,5,1) + TIME(3,50,50)</f>
        <v>40299.160300925927</v>
      </c>
      <c r="C16">
        <v>1431.9421387</v>
      </c>
      <c r="D16">
        <v>1394.0036620999999</v>
      </c>
      <c r="E16">
        <v>1312.1214600000001</v>
      </c>
      <c r="F16">
        <v>1305.2567139</v>
      </c>
      <c r="G16">
        <v>80</v>
      </c>
      <c r="H16">
        <v>18.651247025</v>
      </c>
      <c r="I16">
        <v>50</v>
      </c>
      <c r="J16">
        <v>14.998268126999999</v>
      </c>
      <c r="K16">
        <v>1200</v>
      </c>
      <c r="L16">
        <v>0</v>
      </c>
      <c r="M16">
        <v>0</v>
      </c>
      <c r="N16">
        <v>1200</v>
      </c>
    </row>
    <row r="17" spans="1:14" x14ac:dyDescent="0.25">
      <c r="A17">
        <v>0.20511399999999999</v>
      </c>
      <c r="B17" s="1">
        <f>DATE(2010,5,1) + TIME(4,55,21)</f>
        <v>40299.205104166664</v>
      </c>
      <c r="C17">
        <v>1431.1986084</v>
      </c>
      <c r="D17">
        <v>1394.1527100000001</v>
      </c>
      <c r="E17">
        <v>1312.4603271000001</v>
      </c>
      <c r="F17">
        <v>1305.5955810999999</v>
      </c>
      <c r="G17">
        <v>80</v>
      </c>
      <c r="H17">
        <v>19.637153625</v>
      </c>
      <c r="I17">
        <v>50</v>
      </c>
      <c r="J17">
        <v>14.998315810999999</v>
      </c>
      <c r="K17">
        <v>1200</v>
      </c>
      <c r="L17">
        <v>0</v>
      </c>
      <c r="M17">
        <v>0</v>
      </c>
      <c r="N17">
        <v>1200</v>
      </c>
    </row>
    <row r="18" spans="1:14" x14ac:dyDescent="0.25">
      <c r="A18">
        <v>0.25054700000000002</v>
      </c>
      <c r="B18" s="1">
        <f>DATE(2010,5,1) + TIME(6,0,47)</f>
        <v>40299.250543981485</v>
      </c>
      <c r="C18">
        <v>1430.3425293</v>
      </c>
      <c r="D18">
        <v>1394.1530762</v>
      </c>
      <c r="E18">
        <v>1312.6988524999999</v>
      </c>
      <c r="F18">
        <v>1305.8339844</v>
      </c>
      <c r="G18">
        <v>80</v>
      </c>
      <c r="H18">
        <v>20.623296738000001</v>
      </c>
      <c r="I18">
        <v>50</v>
      </c>
      <c r="J18">
        <v>14.998352050999999</v>
      </c>
      <c r="K18">
        <v>1200</v>
      </c>
      <c r="L18">
        <v>0</v>
      </c>
      <c r="M18">
        <v>0</v>
      </c>
      <c r="N18">
        <v>1200</v>
      </c>
    </row>
    <row r="19" spans="1:14" x14ac:dyDescent="0.25">
      <c r="A19">
        <v>0.296597</v>
      </c>
      <c r="B19" s="1">
        <f>DATE(2010,5,1) + TIME(7,7,5)</f>
        <v>40299.296585648146</v>
      </c>
      <c r="C19">
        <v>1429.4379882999999</v>
      </c>
      <c r="D19">
        <v>1394.0700684000001</v>
      </c>
      <c r="E19">
        <v>1312.8685303</v>
      </c>
      <c r="F19">
        <v>1306.0035399999999</v>
      </c>
      <c r="G19">
        <v>80</v>
      </c>
      <c r="H19">
        <v>21.608898162999999</v>
      </c>
      <c r="I19">
        <v>50</v>
      </c>
      <c r="J19">
        <v>14.998382568</v>
      </c>
      <c r="K19">
        <v>1200</v>
      </c>
      <c r="L19">
        <v>0</v>
      </c>
      <c r="M19">
        <v>0</v>
      </c>
      <c r="N19">
        <v>1200</v>
      </c>
    </row>
    <row r="20" spans="1:14" x14ac:dyDescent="0.25">
      <c r="A20">
        <v>0.34329500000000002</v>
      </c>
      <c r="B20" s="1">
        <f>DATE(2010,5,1) + TIME(8,14,20)</f>
        <v>40299.343287037038</v>
      </c>
      <c r="C20">
        <v>1428.515625</v>
      </c>
      <c r="D20">
        <v>1393.9360352000001</v>
      </c>
      <c r="E20">
        <v>1312.9898682</v>
      </c>
      <c r="F20">
        <v>1306.1248779</v>
      </c>
      <c r="G20">
        <v>80</v>
      </c>
      <c r="H20">
        <v>22.593851089000001</v>
      </c>
      <c r="I20">
        <v>50</v>
      </c>
      <c r="J20">
        <v>14.998407364</v>
      </c>
      <c r="K20">
        <v>1200</v>
      </c>
      <c r="L20">
        <v>0</v>
      </c>
      <c r="M20">
        <v>0</v>
      </c>
      <c r="N20">
        <v>1200</v>
      </c>
    </row>
    <row r="21" spans="1:14" x14ac:dyDescent="0.25">
      <c r="A21">
        <v>0.39067800000000003</v>
      </c>
      <c r="B21" s="1">
        <f>DATE(2010,5,1) + TIME(9,22,34)</f>
        <v>40299.3906712963</v>
      </c>
      <c r="C21">
        <v>1427.5926514</v>
      </c>
      <c r="D21">
        <v>1393.7701416</v>
      </c>
      <c r="E21">
        <v>1313.0770264</v>
      </c>
      <c r="F21">
        <v>1306.2120361</v>
      </c>
      <c r="G21">
        <v>80</v>
      </c>
      <c r="H21">
        <v>23.578462600999998</v>
      </c>
      <c r="I21">
        <v>50</v>
      </c>
      <c r="J21">
        <v>14.998429298</v>
      </c>
      <c r="K21">
        <v>1200</v>
      </c>
      <c r="L21">
        <v>0</v>
      </c>
      <c r="M21">
        <v>0</v>
      </c>
      <c r="N21">
        <v>1200</v>
      </c>
    </row>
    <row r="22" spans="1:14" x14ac:dyDescent="0.25">
      <c r="A22">
        <v>0.438772</v>
      </c>
      <c r="B22" s="1">
        <f>DATE(2010,5,1) + TIME(10,31,49)</f>
        <v>40299.438761574071</v>
      </c>
      <c r="C22">
        <v>1426.6795654</v>
      </c>
      <c r="D22">
        <v>1393.5844727000001</v>
      </c>
      <c r="E22">
        <v>1313.1398925999999</v>
      </c>
      <c r="F22">
        <v>1306.2747803</v>
      </c>
      <c r="G22">
        <v>80</v>
      </c>
      <c r="H22">
        <v>24.562725066999999</v>
      </c>
      <c r="I22">
        <v>50</v>
      </c>
      <c r="J22">
        <v>14.998448372</v>
      </c>
      <c r="K22">
        <v>1200</v>
      </c>
      <c r="L22">
        <v>0</v>
      </c>
      <c r="M22">
        <v>0</v>
      </c>
      <c r="N22">
        <v>1200</v>
      </c>
    </row>
    <row r="23" spans="1:14" x14ac:dyDescent="0.25">
      <c r="A23">
        <v>0.48760199999999998</v>
      </c>
      <c r="B23" s="1">
        <f>DATE(2010,5,1) + TIME(11,42,8)</f>
        <v>40299.487592592595</v>
      </c>
      <c r="C23">
        <v>1425.7829589999999</v>
      </c>
      <c r="D23">
        <v>1393.387207</v>
      </c>
      <c r="E23">
        <v>1313.1853027</v>
      </c>
      <c r="F23">
        <v>1306.3201904</v>
      </c>
      <c r="G23">
        <v>80</v>
      </c>
      <c r="H23">
        <v>25.547004699999999</v>
      </c>
      <c r="I23">
        <v>50</v>
      </c>
      <c r="J23">
        <v>14.998466492</v>
      </c>
      <c r="K23">
        <v>1200</v>
      </c>
      <c r="L23">
        <v>0</v>
      </c>
      <c r="M23">
        <v>0</v>
      </c>
      <c r="N23">
        <v>1200</v>
      </c>
    </row>
    <row r="24" spans="1:14" x14ac:dyDescent="0.25">
      <c r="A24">
        <v>0.53717599999999999</v>
      </c>
      <c r="B24" s="1">
        <f>DATE(2010,5,1) + TIME(12,53,31)</f>
        <v>40299.537164351852</v>
      </c>
      <c r="C24">
        <v>1424.9071045000001</v>
      </c>
      <c r="D24">
        <v>1393.184082</v>
      </c>
      <c r="E24">
        <v>1313.2183838000001</v>
      </c>
      <c r="F24">
        <v>1306.3532714999999</v>
      </c>
      <c r="G24">
        <v>80</v>
      </c>
      <c r="H24">
        <v>26.530864716</v>
      </c>
      <c r="I24">
        <v>50</v>
      </c>
      <c r="J24">
        <v>14.998482704000001</v>
      </c>
      <c r="K24">
        <v>1200</v>
      </c>
      <c r="L24">
        <v>0</v>
      </c>
      <c r="M24">
        <v>0</v>
      </c>
      <c r="N24">
        <v>1200</v>
      </c>
    </row>
    <row r="25" spans="1:14" x14ac:dyDescent="0.25">
      <c r="A25">
        <v>0.58752400000000005</v>
      </c>
      <c r="B25" s="1">
        <f>DATE(2010,5,1) + TIME(14,6,2)</f>
        <v>40299.587523148148</v>
      </c>
      <c r="C25">
        <v>1424.0548096</v>
      </c>
      <c r="D25">
        <v>1392.9786377</v>
      </c>
      <c r="E25">
        <v>1313.2426757999999</v>
      </c>
      <c r="F25">
        <v>1306.3774414</v>
      </c>
      <c r="G25">
        <v>80</v>
      </c>
      <c r="H25">
        <v>27.514076233000001</v>
      </c>
      <c r="I25">
        <v>50</v>
      </c>
      <c r="J25">
        <v>14.998497963</v>
      </c>
      <c r="K25">
        <v>1200</v>
      </c>
      <c r="L25">
        <v>0</v>
      </c>
      <c r="M25">
        <v>0</v>
      </c>
      <c r="N25">
        <v>1200</v>
      </c>
    </row>
    <row r="26" spans="1:14" x14ac:dyDescent="0.25">
      <c r="A26">
        <v>0.63869100000000001</v>
      </c>
      <c r="B26" s="1">
        <f>DATE(2010,5,1) + TIME(15,19,42)</f>
        <v>40299.638680555552</v>
      </c>
      <c r="C26">
        <v>1423.2271728999999</v>
      </c>
      <c r="D26">
        <v>1392.7736815999999</v>
      </c>
      <c r="E26">
        <v>1313.2607422000001</v>
      </c>
      <c r="F26">
        <v>1306.3953856999999</v>
      </c>
      <c r="G26">
        <v>80</v>
      </c>
      <c r="H26">
        <v>28.49691391</v>
      </c>
      <c r="I26">
        <v>50</v>
      </c>
      <c r="J26">
        <v>14.998512268000001</v>
      </c>
      <c r="K26">
        <v>1200</v>
      </c>
      <c r="L26">
        <v>0</v>
      </c>
      <c r="M26">
        <v>0</v>
      </c>
      <c r="N26">
        <v>1200</v>
      </c>
    </row>
    <row r="27" spans="1:14" x14ac:dyDescent="0.25">
      <c r="A27">
        <v>0.69070799999999999</v>
      </c>
      <c r="B27" s="1">
        <f>DATE(2010,5,1) + TIME(16,34,37)</f>
        <v>40299.690706018519</v>
      </c>
      <c r="C27">
        <v>1422.4249268000001</v>
      </c>
      <c r="D27">
        <v>1392.5710449000001</v>
      </c>
      <c r="E27">
        <v>1313.2742920000001</v>
      </c>
      <c r="F27">
        <v>1306.4088135</v>
      </c>
      <c r="G27">
        <v>80</v>
      </c>
      <c r="H27">
        <v>29.479370116999998</v>
      </c>
      <c r="I27">
        <v>50</v>
      </c>
      <c r="J27">
        <v>14.998526572999999</v>
      </c>
      <c r="K27">
        <v>1200</v>
      </c>
      <c r="L27">
        <v>0</v>
      </c>
      <c r="M27">
        <v>0</v>
      </c>
      <c r="N27">
        <v>1200</v>
      </c>
    </row>
    <row r="28" spans="1:14" x14ac:dyDescent="0.25">
      <c r="A28">
        <v>0.74360800000000005</v>
      </c>
      <c r="B28" s="1">
        <f>DATE(2010,5,1) + TIME(17,50,47)</f>
        <v>40299.74359953704</v>
      </c>
      <c r="C28">
        <v>1421.6480713000001</v>
      </c>
      <c r="D28">
        <v>1392.3717041</v>
      </c>
      <c r="E28">
        <v>1313.284668</v>
      </c>
      <c r="F28">
        <v>1306.4191894999999</v>
      </c>
      <c r="G28">
        <v>80</v>
      </c>
      <c r="H28">
        <v>30.461538314999999</v>
      </c>
      <c r="I28">
        <v>50</v>
      </c>
      <c r="J28">
        <v>14.998540878</v>
      </c>
      <c r="K28">
        <v>1200</v>
      </c>
      <c r="L28">
        <v>0</v>
      </c>
      <c r="M28">
        <v>0</v>
      </c>
      <c r="N28">
        <v>1200</v>
      </c>
    </row>
    <row r="29" spans="1:14" x14ac:dyDescent="0.25">
      <c r="A29">
        <v>0.79742000000000002</v>
      </c>
      <c r="B29" s="1">
        <f>DATE(2010,5,1) + TIME(19,8,17)</f>
        <v>40299.797418981485</v>
      </c>
      <c r="C29">
        <v>1420.8961182</v>
      </c>
      <c r="D29">
        <v>1392.1763916</v>
      </c>
      <c r="E29">
        <v>1313.2928466999999</v>
      </c>
      <c r="F29">
        <v>1306.4272461</v>
      </c>
      <c r="G29">
        <v>80</v>
      </c>
      <c r="H29">
        <v>31.443321227999999</v>
      </c>
      <c r="I29">
        <v>50</v>
      </c>
      <c r="J29">
        <v>14.99855423</v>
      </c>
      <c r="K29">
        <v>1200</v>
      </c>
      <c r="L29">
        <v>0</v>
      </c>
      <c r="M29">
        <v>0</v>
      </c>
      <c r="N29">
        <v>1200</v>
      </c>
    </row>
    <row r="30" spans="1:14" x14ac:dyDescent="0.25">
      <c r="A30">
        <v>0.85218000000000005</v>
      </c>
      <c r="B30" s="1">
        <f>DATE(2010,5,1) + TIME(20,27,8)</f>
        <v>40299.852175925924</v>
      </c>
      <c r="C30">
        <v>1420.1688231999999</v>
      </c>
      <c r="D30">
        <v>1391.9854736</v>
      </c>
      <c r="E30">
        <v>1313.2994385</v>
      </c>
      <c r="F30">
        <v>1306.4337158000001</v>
      </c>
      <c r="G30">
        <v>80</v>
      </c>
      <c r="H30">
        <v>32.424575806</v>
      </c>
      <c r="I30">
        <v>50</v>
      </c>
      <c r="J30">
        <v>14.998567581</v>
      </c>
      <c r="K30">
        <v>1200</v>
      </c>
      <c r="L30">
        <v>0</v>
      </c>
      <c r="M30">
        <v>0</v>
      </c>
      <c r="N30">
        <v>1200</v>
      </c>
    </row>
    <row r="31" spans="1:14" x14ac:dyDescent="0.25">
      <c r="A31">
        <v>0.90793400000000002</v>
      </c>
      <c r="B31" s="1">
        <f>DATE(2010,5,1) + TIME(21,47,25)</f>
        <v>40299.90792824074</v>
      </c>
      <c r="C31">
        <v>1419.4650879000001</v>
      </c>
      <c r="D31">
        <v>1391.7990723</v>
      </c>
      <c r="E31">
        <v>1313.3048096</v>
      </c>
      <c r="F31">
        <v>1306.4389647999999</v>
      </c>
      <c r="G31">
        <v>80</v>
      </c>
      <c r="H31">
        <v>33.405403137</v>
      </c>
      <c r="I31">
        <v>50</v>
      </c>
      <c r="J31">
        <v>14.998580933</v>
      </c>
      <c r="K31">
        <v>1200</v>
      </c>
      <c r="L31">
        <v>0</v>
      </c>
      <c r="M31">
        <v>0</v>
      </c>
      <c r="N31">
        <v>1200</v>
      </c>
    </row>
    <row r="32" spans="1:14" x14ac:dyDescent="0.25">
      <c r="A32">
        <v>0.964723</v>
      </c>
      <c r="B32" s="1">
        <f>DATE(2010,5,1) + TIME(23,9,12)</f>
        <v>40299.964722222219</v>
      </c>
      <c r="C32">
        <v>1418.7841797000001</v>
      </c>
      <c r="D32">
        <v>1391.6173096</v>
      </c>
      <c r="E32">
        <v>1313.3093262</v>
      </c>
      <c r="F32">
        <v>1306.4433594</v>
      </c>
      <c r="G32">
        <v>80</v>
      </c>
      <c r="H32">
        <v>34.385784149000003</v>
      </c>
      <c r="I32">
        <v>50</v>
      </c>
      <c r="J32">
        <v>14.998594283999999</v>
      </c>
      <c r="K32">
        <v>1200</v>
      </c>
      <c r="L32">
        <v>0</v>
      </c>
      <c r="M32">
        <v>0</v>
      </c>
      <c r="N32">
        <v>1200</v>
      </c>
    </row>
    <row r="33" spans="1:14" x14ac:dyDescent="0.25">
      <c r="A33">
        <v>1.022591</v>
      </c>
      <c r="B33" s="1">
        <f>DATE(2010,5,2) + TIME(0,32,31)</f>
        <v>40300.022581018522</v>
      </c>
      <c r="C33">
        <v>1418.1253661999999</v>
      </c>
      <c r="D33">
        <v>1391.4399414</v>
      </c>
      <c r="E33">
        <v>1313.3132324000001</v>
      </c>
      <c r="F33">
        <v>1306.4471435999999</v>
      </c>
      <c r="G33">
        <v>80</v>
      </c>
      <c r="H33">
        <v>35.365707397000001</v>
      </c>
      <c r="I33">
        <v>50</v>
      </c>
      <c r="J33">
        <v>14.998607635000001</v>
      </c>
      <c r="K33">
        <v>1200</v>
      </c>
      <c r="L33">
        <v>0</v>
      </c>
      <c r="M33">
        <v>0</v>
      </c>
      <c r="N33">
        <v>1200</v>
      </c>
    </row>
    <row r="34" spans="1:14" x14ac:dyDescent="0.25">
      <c r="A34">
        <v>1.081585</v>
      </c>
      <c r="B34" s="1">
        <f>DATE(2010,5,2) + TIME(1,57,28)</f>
        <v>40300.081574074073</v>
      </c>
      <c r="C34">
        <v>1417.4875488</v>
      </c>
      <c r="D34">
        <v>1391.2670897999999</v>
      </c>
      <c r="E34">
        <v>1313.3165283000001</v>
      </c>
      <c r="F34">
        <v>1306.4504394999999</v>
      </c>
      <c r="G34">
        <v>80</v>
      </c>
      <c r="H34">
        <v>36.345149994000003</v>
      </c>
      <c r="I34">
        <v>50</v>
      </c>
      <c r="J34">
        <v>14.998620987000001</v>
      </c>
      <c r="K34">
        <v>1200</v>
      </c>
      <c r="L34">
        <v>0</v>
      </c>
      <c r="M34">
        <v>0</v>
      </c>
      <c r="N34">
        <v>1200</v>
      </c>
    </row>
    <row r="35" spans="1:14" x14ac:dyDescent="0.25">
      <c r="A35">
        <v>1.141756</v>
      </c>
      <c r="B35" s="1">
        <f>DATE(2010,5,2) + TIME(3,24,7)</f>
        <v>40300.141747685186</v>
      </c>
      <c r="C35">
        <v>1416.8698730000001</v>
      </c>
      <c r="D35">
        <v>1391.0982666</v>
      </c>
      <c r="E35">
        <v>1313.3195800999999</v>
      </c>
      <c r="F35">
        <v>1306.4533690999999</v>
      </c>
      <c r="G35">
        <v>80</v>
      </c>
      <c r="H35">
        <v>37.324092864999997</v>
      </c>
      <c r="I35">
        <v>50</v>
      </c>
      <c r="J35">
        <v>14.998634338</v>
      </c>
      <c r="K35">
        <v>1200</v>
      </c>
      <c r="L35">
        <v>0</v>
      </c>
      <c r="M35">
        <v>0</v>
      </c>
      <c r="N35">
        <v>1200</v>
      </c>
    </row>
    <row r="36" spans="1:14" x14ac:dyDescent="0.25">
      <c r="A36">
        <v>1.203157</v>
      </c>
      <c r="B36" s="1">
        <f>DATE(2010,5,2) + TIME(4,52,32)</f>
        <v>40300.203148148146</v>
      </c>
      <c r="C36">
        <v>1416.2714844</v>
      </c>
      <c r="D36">
        <v>1390.9335937999999</v>
      </c>
      <c r="E36">
        <v>1313.3223877</v>
      </c>
      <c r="F36">
        <v>1306.4559326000001</v>
      </c>
      <c r="G36">
        <v>80</v>
      </c>
      <c r="H36">
        <v>38.302513122999997</v>
      </c>
      <c r="I36">
        <v>50</v>
      </c>
      <c r="J36">
        <v>14.99864769</v>
      </c>
      <c r="K36">
        <v>1200</v>
      </c>
      <c r="L36">
        <v>0</v>
      </c>
      <c r="M36">
        <v>0</v>
      </c>
      <c r="N36">
        <v>1200</v>
      </c>
    </row>
    <row r="37" spans="1:14" x14ac:dyDescent="0.25">
      <c r="A37">
        <v>1.265844</v>
      </c>
      <c r="B37" s="1">
        <f>DATE(2010,5,2) + TIME(6,22,48)</f>
        <v>40300.265833333331</v>
      </c>
      <c r="C37">
        <v>1415.6914062000001</v>
      </c>
      <c r="D37">
        <v>1390.7724608999999</v>
      </c>
      <c r="E37">
        <v>1313.3248291</v>
      </c>
      <c r="F37">
        <v>1306.458374</v>
      </c>
      <c r="G37">
        <v>80</v>
      </c>
      <c r="H37">
        <v>39.280387877999999</v>
      </c>
      <c r="I37">
        <v>50</v>
      </c>
      <c r="J37">
        <v>14.998660087999999</v>
      </c>
      <c r="K37">
        <v>1200</v>
      </c>
      <c r="L37">
        <v>0</v>
      </c>
      <c r="M37">
        <v>0</v>
      </c>
      <c r="N37">
        <v>1200</v>
      </c>
    </row>
    <row r="38" spans="1:14" x14ac:dyDescent="0.25">
      <c r="A38">
        <v>1.329879</v>
      </c>
      <c r="B38" s="1">
        <f>DATE(2010,5,2) + TIME(7,55,1)</f>
        <v>40300.329872685186</v>
      </c>
      <c r="C38">
        <v>1415.1289062000001</v>
      </c>
      <c r="D38">
        <v>1390.6149902</v>
      </c>
      <c r="E38">
        <v>1313.3271483999999</v>
      </c>
      <c r="F38">
        <v>1306.4604492000001</v>
      </c>
      <c r="G38">
        <v>80</v>
      </c>
      <c r="H38">
        <v>40.257751464999998</v>
      </c>
      <c r="I38">
        <v>50</v>
      </c>
      <c r="J38">
        <v>14.998673438999999</v>
      </c>
      <c r="K38">
        <v>1200</v>
      </c>
      <c r="L38">
        <v>0</v>
      </c>
      <c r="M38">
        <v>0</v>
      </c>
      <c r="N38">
        <v>1200</v>
      </c>
    </row>
    <row r="39" spans="1:14" x14ac:dyDescent="0.25">
      <c r="A39">
        <v>1.3953230000000001</v>
      </c>
      <c r="B39" s="1">
        <f>DATE(2010,5,2) + TIME(9,29,15)</f>
        <v>40300.395312499997</v>
      </c>
      <c r="C39">
        <v>1414.5831298999999</v>
      </c>
      <c r="D39">
        <v>1390.4608154</v>
      </c>
      <c r="E39">
        <v>1313.3292236</v>
      </c>
      <c r="F39">
        <v>1306.4624022999999</v>
      </c>
      <c r="G39">
        <v>80</v>
      </c>
      <c r="H39">
        <v>41.234615325999997</v>
      </c>
      <c r="I39">
        <v>50</v>
      </c>
      <c r="J39">
        <v>14.998686790000001</v>
      </c>
      <c r="K39">
        <v>1200</v>
      </c>
      <c r="L39">
        <v>0</v>
      </c>
      <c r="M39">
        <v>0</v>
      </c>
      <c r="N39">
        <v>1200</v>
      </c>
    </row>
    <row r="40" spans="1:14" x14ac:dyDescent="0.25">
      <c r="A40">
        <v>1.46224</v>
      </c>
      <c r="B40" s="1">
        <f>DATE(2010,5,2) + TIME(11,5,37)</f>
        <v>40300.462233796294</v>
      </c>
      <c r="C40">
        <v>1414.0533447</v>
      </c>
      <c r="D40">
        <v>1390.3095702999999</v>
      </c>
      <c r="E40">
        <v>1313.3311768000001</v>
      </c>
      <c r="F40">
        <v>1306.4642334</v>
      </c>
      <c r="G40">
        <v>80</v>
      </c>
      <c r="H40">
        <v>42.210685730000002</v>
      </c>
      <c r="I40">
        <v>50</v>
      </c>
      <c r="J40">
        <v>14.998700142000001</v>
      </c>
      <c r="K40">
        <v>1200</v>
      </c>
      <c r="L40">
        <v>0</v>
      </c>
      <c r="M40">
        <v>0</v>
      </c>
      <c r="N40">
        <v>1200</v>
      </c>
    </row>
    <row r="41" spans="1:14" x14ac:dyDescent="0.25">
      <c r="A41">
        <v>1.5307139999999999</v>
      </c>
      <c r="B41" s="1">
        <f>DATE(2010,5,2) + TIME(12,44,13)</f>
        <v>40300.530706018515</v>
      </c>
      <c r="C41">
        <v>1413.5386963000001</v>
      </c>
      <c r="D41">
        <v>1390.1611327999999</v>
      </c>
      <c r="E41">
        <v>1313.3330077999999</v>
      </c>
      <c r="F41">
        <v>1306.4659423999999</v>
      </c>
      <c r="G41">
        <v>80</v>
      </c>
      <c r="H41">
        <v>43.186088562000002</v>
      </c>
      <c r="I41">
        <v>50</v>
      </c>
      <c r="J41">
        <v>14.998713493</v>
      </c>
      <c r="K41">
        <v>1200</v>
      </c>
      <c r="L41">
        <v>0</v>
      </c>
      <c r="M41">
        <v>0</v>
      </c>
      <c r="N41">
        <v>1200</v>
      </c>
    </row>
    <row r="42" spans="1:14" x14ac:dyDescent="0.25">
      <c r="A42">
        <v>1.6008279999999999</v>
      </c>
      <c r="B42" s="1">
        <f>DATE(2010,5,2) + TIME(14,25,11)</f>
        <v>40300.600821759261</v>
      </c>
      <c r="C42">
        <v>1413.0384521000001</v>
      </c>
      <c r="D42">
        <v>1390.0152588000001</v>
      </c>
      <c r="E42">
        <v>1313.3347168</v>
      </c>
      <c r="F42">
        <v>1306.4675293</v>
      </c>
      <c r="G42">
        <v>80</v>
      </c>
      <c r="H42">
        <v>44.160778045999997</v>
      </c>
      <c r="I42">
        <v>50</v>
      </c>
      <c r="J42">
        <v>14.998725890999999</v>
      </c>
      <c r="K42">
        <v>1200</v>
      </c>
      <c r="L42">
        <v>0</v>
      </c>
      <c r="M42">
        <v>0</v>
      </c>
      <c r="N42">
        <v>1200</v>
      </c>
    </row>
    <row r="43" spans="1:14" x14ac:dyDescent="0.25">
      <c r="A43">
        <v>1.672669</v>
      </c>
      <c r="B43" s="1">
        <f>DATE(2010,5,2) + TIME(16,8,38)</f>
        <v>40300.672662037039</v>
      </c>
      <c r="C43">
        <v>1412.5520019999999</v>
      </c>
      <c r="D43">
        <v>1389.8717041</v>
      </c>
      <c r="E43">
        <v>1313.3363036999999</v>
      </c>
      <c r="F43">
        <v>1306.4689940999999</v>
      </c>
      <c r="G43">
        <v>80</v>
      </c>
      <c r="H43">
        <v>45.134712219000001</v>
      </c>
      <c r="I43">
        <v>50</v>
      </c>
      <c r="J43">
        <v>14.998739242999999</v>
      </c>
      <c r="K43">
        <v>1200</v>
      </c>
      <c r="L43">
        <v>0</v>
      </c>
      <c r="M43">
        <v>0</v>
      </c>
      <c r="N43">
        <v>1200</v>
      </c>
    </row>
    <row r="44" spans="1:14" x14ac:dyDescent="0.25">
      <c r="A44">
        <v>1.7463329999999999</v>
      </c>
      <c r="B44" s="1">
        <f>DATE(2010,5,2) + TIME(17,54,43)</f>
        <v>40300.746331018519</v>
      </c>
      <c r="C44">
        <v>1412.0786132999999</v>
      </c>
      <c r="D44">
        <v>1389.7302245999999</v>
      </c>
      <c r="E44">
        <v>1313.3378906</v>
      </c>
      <c r="F44">
        <v>1306.4702147999999</v>
      </c>
      <c r="G44">
        <v>80</v>
      </c>
      <c r="H44">
        <v>46.107845306000002</v>
      </c>
      <c r="I44">
        <v>50</v>
      </c>
      <c r="J44">
        <v>14.998752594000001</v>
      </c>
      <c r="K44">
        <v>1200</v>
      </c>
      <c r="L44">
        <v>0</v>
      </c>
      <c r="M44">
        <v>0</v>
      </c>
      <c r="N44">
        <v>1200</v>
      </c>
    </row>
    <row r="45" spans="1:14" x14ac:dyDescent="0.25">
      <c r="A45">
        <v>1.821922</v>
      </c>
      <c r="B45" s="1">
        <f>DATE(2010,5,2) + TIME(19,43,34)</f>
        <v>40300.821921296294</v>
      </c>
      <c r="C45">
        <v>1411.6177978999999</v>
      </c>
      <c r="D45">
        <v>1389.5906981999999</v>
      </c>
      <c r="E45">
        <v>1313.3392334</v>
      </c>
      <c r="F45">
        <v>1306.4715576000001</v>
      </c>
      <c r="G45">
        <v>80</v>
      </c>
      <c r="H45">
        <v>47.080127716</v>
      </c>
      <c r="I45">
        <v>50</v>
      </c>
      <c r="J45">
        <v>14.998765945000001</v>
      </c>
      <c r="K45">
        <v>1200</v>
      </c>
      <c r="L45">
        <v>0</v>
      </c>
      <c r="M45">
        <v>0</v>
      </c>
      <c r="N45">
        <v>1200</v>
      </c>
    </row>
    <row r="46" spans="1:14" x14ac:dyDescent="0.25">
      <c r="A46">
        <v>1.899548</v>
      </c>
      <c r="B46" s="1">
        <f>DATE(2010,5,2) + TIME(21,35,20)</f>
        <v>40300.899537037039</v>
      </c>
      <c r="C46">
        <v>1411.1685791</v>
      </c>
      <c r="D46">
        <v>1389.4527588000001</v>
      </c>
      <c r="E46">
        <v>1313.3405762</v>
      </c>
      <c r="F46">
        <v>1306.4726562000001</v>
      </c>
      <c r="G46">
        <v>80</v>
      </c>
      <c r="H46">
        <v>48.051494597999998</v>
      </c>
      <c r="I46">
        <v>50</v>
      </c>
      <c r="J46">
        <v>14.998779297</v>
      </c>
      <c r="K46">
        <v>1200</v>
      </c>
      <c r="L46">
        <v>0</v>
      </c>
      <c r="M46">
        <v>0</v>
      </c>
      <c r="N46">
        <v>1200</v>
      </c>
    </row>
    <row r="47" spans="1:14" x14ac:dyDescent="0.25">
      <c r="A47">
        <v>1.9793339999999999</v>
      </c>
      <c r="B47" s="1">
        <f>DATE(2010,5,2) + TIME(23,30,14)</f>
        <v>40300.979328703703</v>
      </c>
      <c r="C47">
        <v>1410.7305908000001</v>
      </c>
      <c r="D47">
        <v>1389.3161620999999</v>
      </c>
      <c r="E47">
        <v>1313.3417969</v>
      </c>
      <c r="F47">
        <v>1306.4737548999999</v>
      </c>
      <c r="G47">
        <v>80</v>
      </c>
      <c r="H47">
        <v>49.021892547999997</v>
      </c>
      <c r="I47">
        <v>50</v>
      </c>
      <c r="J47">
        <v>14.998792648</v>
      </c>
      <c r="K47">
        <v>1200</v>
      </c>
      <c r="L47">
        <v>0</v>
      </c>
      <c r="M47">
        <v>0</v>
      </c>
      <c r="N47">
        <v>1200</v>
      </c>
    </row>
    <row r="48" spans="1:14" x14ac:dyDescent="0.25">
      <c r="A48">
        <v>2.0614119999999998</v>
      </c>
      <c r="B48" s="1">
        <f>DATE(2010,5,3) + TIME(1,28,26)</f>
        <v>40301.061412037037</v>
      </c>
      <c r="C48">
        <v>1410.3032227000001</v>
      </c>
      <c r="D48">
        <v>1389.1807861</v>
      </c>
      <c r="E48">
        <v>1313.3428954999999</v>
      </c>
      <c r="F48">
        <v>1306.4747314000001</v>
      </c>
      <c r="G48">
        <v>80</v>
      </c>
      <c r="H48">
        <v>49.99124527</v>
      </c>
      <c r="I48">
        <v>50</v>
      </c>
      <c r="J48">
        <v>14.998806</v>
      </c>
      <c r="K48">
        <v>1200</v>
      </c>
      <c r="L48">
        <v>0</v>
      </c>
      <c r="M48">
        <v>0</v>
      </c>
      <c r="N48">
        <v>1200</v>
      </c>
    </row>
    <row r="49" spans="1:14" x14ac:dyDescent="0.25">
      <c r="A49">
        <v>2.1459299999999999</v>
      </c>
      <c r="B49" s="1">
        <f>DATE(2010,5,3) + TIME(3,30,8)</f>
        <v>40301.145925925928</v>
      </c>
      <c r="C49">
        <v>1409.8858643000001</v>
      </c>
      <c r="D49">
        <v>1389.0462646000001</v>
      </c>
      <c r="E49">
        <v>1313.3439940999999</v>
      </c>
      <c r="F49">
        <v>1306.4755858999999</v>
      </c>
      <c r="G49">
        <v>80</v>
      </c>
      <c r="H49">
        <v>50.959037780999999</v>
      </c>
      <c r="I49">
        <v>50</v>
      </c>
      <c r="J49">
        <v>14.998819351</v>
      </c>
      <c r="K49">
        <v>1200</v>
      </c>
      <c r="L49">
        <v>0</v>
      </c>
      <c r="M49">
        <v>0</v>
      </c>
      <c r="N49">
        <v>1200</v>
      </c>
    </row>
    <row r="50" spans="1:14" x14ac:dyDescent="0.25">
      <c r="A50">
        <v>2.2330860000000001</v>
      </c>
      <c r="B50" s="1">
        <f>DATE(2010,5,3) + TIME(5,35,38)</f>
        <v>40301.233078703706</v>
      </c>
      <c r="C50">
        <v>1409.4779053</v>
      </c>
      <c r="D50">
        <v>1388.9124756000001</v>
      </c>
      <c r="E50">
        <v>1313.3450928</v>
      </c>
      <c r="F50">
        <v>1306.4764404</v>
      </c>
      <c r="G50">
        <v>80</v>
      </c>
      <c r="H50">
        <v>51.926040649000001</v>
      </c>
      <c r="I50">
        <v>50</v>
      </c>
      <c r="J50">
        <v>14.998832703</v>
      </c>
      <c r="K50">
        <v>1200</v>
      </c>
      <c r="L50">
        <v>0</v>
      </c>
      <c r="M50">
        <v>0</v>
      </c>
      <c r="N50">
        <v>1200</v>
      </c>
    </row>
    <row r="51" spans="1:14" x14ac:dyDescent="0.25">
      <c r="A51">
        <v>2.3230219999999999</v>
      </c>
      <c r="B51" s="1">
        <f>DATE(2010,5,3) + TIME(7,45,9)</f>
        <v>40301.323020833333</v>
      </c>
      <c r="C51">
        <v>1409.0791016000001</v>
      </c>
      <c r="D51">
        <v>1388.7791748</v>
      </c>
      <c r="E51">
        <v>1313.3460693</v>
      </c>
      <c r="F51">
        <v>1306.4771728999999</v>
      </c>
      <c r="G51">
        <v>80</v>
      </c>
      <c r="H51">
        <v>52.891750336000001</v>
      </c>
      <c r="I51">
        <v>50</v>
      </c>
      <c r="J51">
        <v>14.998846053999999</v>
      </c>
      <c r="K51">
        <v>1200</v>
      </c>
      <c r="L51">
        <v>0</v>
      </c>
      <c r="M51">
        <v>0</v>
      </c>
      <c r="N51">
        <v>1200</v>
      </c>
    </row>
    <row r="52" spans="1:14" x14ac:dyDescent="0.25">
      <c r="A52">
        <v>2.4159299999999999</v>
      </c>
      <c r="B52" s="1">
        <f>DATE(2010,5,3) + TIME(9,58,56)</f>
        <v>40301.415925925925</v>
      </c>
      <c r="C52">
        <v>1408.6885986</v>
      </c>
      <c r="D52">
        <v>1388.6462402</v>
      </c>
      <c r="E52">
        <v>1313.3469238</v>
      </c>
      <c r="F52">
        <v>1306.4779053</v>
      </c>
      <c r="G52">
        <v>80</v>
      </c>
      <c r="H52">
        <v>53.856063843000001</v>
      </c>
      <c r="I52">
        <v>50</v>
      </c>
      <c r="J52">
        <v>14.998859405999999</v>
      </c>
      <c r="K52">
        <v>1200</v>
      </c>
      <c r="L52">
        <v>0</v>
      </c>
      <c r="M52">
        <v>0</v>
      </c>
      <c r="N52">
        <v>1200</v>
      </c>
    </row>
    <row r="53" spans="1:14" x14ac:dyDescent="0.25">
      <c r="A53">
        <v>2.5120290000000001</v>
      </c>
      <c r="B53" s="1">
        <f>DATE(2010,5,3) + TIME(12,17,19)</f>
        <v>40301.512025462966</v>
      </c>
      <c r="C53">
        <v>1408.3060303</v>
      </c>
      <c r="D53">
        <v>1388.5133057</v>
      </c>
      <c r="E53">
        <v>1313.3479004000001</v>
      </c>
      <c r="F53">
        <v>1306.4786377</v>
      </c>
      <c r="G53">
        <v>80</v>
      </c>
      <c r="H53">
        <v>54.818866730000003</v>
      </c>
      <c r="I53">
        <v>50</v>
      </c>
      <c r="J53">
        <v>14.998872757000001</v>
      </c>
      <c r="K53">
        <v>1200</v>
      </c>
      <c r="L53">
        <v>0</v>
      </c>
      <c r="M53">
        <v>0</v>
      </c>
      <c r="N53">
        <v>1200</v>
      </c>
    </row>
    <row r="54" spans="1:14" x14ac:dyDescent="0.25">
      <c r="A54">
        <v>2.6115569999999999</v>
      </c>
      <c r="B54" s="1">
        <f>DATE(2010,5,3) + TIME(14,40,38)</f>
        <v>40301.611550925925</v>
      </c>
      <c r="C54">
        <v>1407.9309082</v>
      </c>
      <c r="D54">
        <v>1388.380249</v>
      </c>
      <c r="E54">
        <v>1313.3487548999999</v>
      </c>
      <c r="F54">
        <v>1306.4792480000001</v>
      </c>
      <c r="G54">
        <v>80</v>
      </c>
      <c r="H54">
        <v>55.780036926000001</v>
      </c>
      <c r="I54">
        <v>50</v>
      </c>
      <c r="J54">
        <v>14.998887062</v>
      </c>
      <c r="K54">
        <v>1200</v>
      </c>
      <c r="L54">
        <v>0</v>
      </c>
      <c r="M54">
        <v>0</v>
      </c>
      <c r="N54">
        <v>1200</v>
      </c>
    </row>
    <row r="55" spans="1:14" x14ac:dyDescent="0.25">
      <c r="A55">
        <v>2.7147839999999999</v>
      </c>
      <c r="B55" s="1">
        <f>DATE(2010,5,3) + TIME(17,9,17)</f>
        <v>40301.714780092596</v>
      </c>
      <c r="C55">
        <v>1407.5628661999999</v>
      </c>
      <c r="D55">
        <v>1388.2467041</v>
      </c>
      <c r="E55">
        <v>1313.3496094</v>
      </c>
      <c r="F55">
        <v>1306.4798584</v>
      </c>
      <c r="G55">
        <v>80</v>
      </c>
      <c r="H55">
        <v>56.739437103</v>
      </c>
      <c r="I55">
        <v>50</v>
      </c>
      <c r="J55">
        <v>14.998900414</v>
      </c>
      <c r="K55">
        <v>1200</v>
      </c>
      <c r="L55">
        <v>0</v>
      </c>
      <c r="M55">
        <v>0</v>
      </c>
      <c r="N55">
        <v>1200</v>
      </c>
    </row>
    <row r="56" spans="1:14" x14ac:dyDescent="0.25">
      <c r="A56">
        <v>2.822009</v>
      </c>
      <c r="B56" s="1">
        <f>DATE(2010,5,3) + TIME(19,43,41)</f>
        <v>40301.822002314817</v>
      </c>
      <c r="C56">
        <v>1407.2010498</v>
      </c>
      <c r="D56">
        <v>1388.1123047000001</v>
      </c>
      <c r="E56">
        <v>1313.3503418</v>
      </c>
      <c r="F56">
        <v>1306.4804687999999</v>
      </c>
      <c r="G56">
        <v>80</v>
      </c>
      <c r="H56">
        <v>57.696907043000003</v>
      </c>
      <c r="I56">
        <v>50</v>
      </c>
      <c r="J56">
        <v>14.998914719</v>
      </c>
      <c r="K56">
        <v>1200</v>
      </c>
      <c r="L56">
        <v>0</v>
      </c>
      <c r="M56">
        <v>0</v>
      </c>
      <c r="N56">
        <v>1200</v>
      </c>
    </row>
    <row r="57" spans="1:14" x14ac:dyDescent="0.25">
      <c r="A57">
        <v>2.93357</v>
      </c>
      <c r="B57" s="1">
        <f>DATE(2010,5,3) + TIME(22,24,20)</f>
        <v>40301.933564814812</v>
      </c>
      <c r="C57">
        <v>1406.8449707</v>
      </c>
      <c r="D57">
        <v>1387.9768065999999</v>
      </c>
      <c r="E57">
        <v>1313.3511963000001</v>
      </c>
      <c r="F57">
        <v>1306.4810791</v>
      </c>
      <c r="G57">
        <v>80</v>
      </c>
      <c r="H57">
        <v>58.652282714999998</v>
      </c>
      <c r="I57">
        <v>50</v>
      </c>
      <c r="J57">
        <v>14.99892807</v>
      </c>
      <c r="K57">
        <v>1200</v>
      </c>
      <c r="L57">
        <v>0</v>
      </c>
      <c r="M57">
        <v>0</v>
      </c>
      <c r="N57">
        <v>1200</v>
      </c>
    </row>
    <row r="58" spans="1:14" x14ac:dyDescent="0.25">
      <c r="A58">
        <v>3.0498509999999999</v>
      </c>
      <c r="B58" s="1">
        <f>DATE(2010,5,4) + TIME(1,11,47)</f>
        <v>40302.049849537034</v>
      </c>
      <c r="C58">
        <v>1406.4943848</v>
      </c>
      <c r="D58">
        <v>1387.8398437999999</v>
      </c>
      <c r="E58">
        <v>1313.3519286999999</v>
      </c>
      <c r="F58">
        <v>1306.4816894999999</v>
      </c>
      <c r="G58">
        <v>80</v>
      </c>
      <c r="H58">
        <v>59.605365753000001</v>
      </c>
      <c r="I58">
        <v>50</v>
      </c>
      <c r="J58">
        <v>14.998942375</v>
      </c>
      <c r="K58">
        <v>1200</v>
      </c>
      <c r="L58">
        <v>0</v>
      </c>
      <c r="M58">
        <v>0</v>
      </c>
      <c r="N58">
        <v>1200</v>
      </c>
    </row>
    <row r="59" spans="1:14" x14ac:dyDescent="0.25">
      <c r="A59">
        <v>3.1712859999999998</v>
      </c>
      <c r="B59" s="1">
        <f>DATE(2010,5,4) + TIME(4,6,39)</f>
        <v>40302.171284722222</v>
      </c>
      <c r="C59">
        <v>1406.1484375</v>
      </c>
      <c r="D59">
        <v>1387.7010498</v>
      </c>
      <c r="E59">
        <v>1313.3527832</v>
      </c>
      <c r="F59">
        <v>1306.4821777</v>
      </c>
      <c r="G59">
        <v>80</v>
      </c>
      <c r="H59">
        <v>60.555534363</v>
      </c>
      <c r="I59">
        <v>50</v>
      </c>
      <c r="J59">
        <v>14.998956679999999</v>
      </c>
      <c r="K59">
        <v>1200</v>
      </c>
      <c r="L59">
        <v>0</v>
      </c>
      <c r="M59">
        <v>0</v>
      </c>
      <c r="N59">
        <v>1200</v>
      </c>
    </row>
    <row r="60" spans="1:14" x14ac:dyDescent="0.25">
      <c r="A60">
        <v>3.298432</v>
      </c>
      <c r="B60" s="1">
        <f>DATE(2010,5,4) + TIME(7,9,44)</f>
        <v>40302.298425925925</v>
      </c>
      <c r="C60">
        <v>1405.8066406</v>
      </c>
      <c r="D60">
        <v>1387.5601807</v>
      </c>
      <c r="E60">
        <v>1313.3535156</v>
      </c>
      <c r="F60">
        <v>1306.4826660000001</v>
      </c>
      <c r="G60">
        <v>80</v>
      </c>
      <c r="H60">
        <v>61.503070831000002</v>
      </c>
      <c r="I60">
        <v>50</v>
      </c>
      <c r="J60">
        <v>14.998970985</v>
      </c>
      <c r="K60">
        <v>1200</v>
      </c>
      <c r="L60">
        <v>0</v>
      </c>
      <c r="M60">
        <v>0</v>
      </c>
      <c r="N60">
        <v>1200</v>
      </c>
    </row>
    <row r="61" spans="1:14" x14ac:dyDescent="0.25">
      <c r="A61">
        <v>3.4318430000000002</v>
      </c>
      <c r="B61" s="1">
        <f>DATE(2010,5,4) + TIME(10,21,51)</f>
        <v>40302.431840277779</v>
      </c>
      <c r="C61">
        <v>1405.4685059000001</v>
      </c>
      <c r="D61">
        <v>1387.4167480000001</v>
      </c>
      <c r="E61">
        <v>1313.3542480000001</v>
      </c>
      <c r="F61">
        <v>1306.4831543</v>
      </c>
      <c r="G61">
        <v>80</v>
      </c>
      <c r="H61">
        <v>62.447788238999998</v>
      </c>
      <c r="I61">
        <v>50</v>
      </c>
      <c r="J61">
        <v>14.998985291</v>
      </c>
      <c r="K61">
        <v>1200</v>
      </c>
      <c r="L61">
        <v>0</v>
      </c>
      <c r="M61">
        <v>0</v>
      </c>
      <c r="N61">
        <v>1200</v>
      </c>
    </row>
    <row r="62" spans="1:14" x14ac:dyDescent="0.25">
      <c r="A62">
        <v>3.5721539999999998</v>
      </c>
      <c r="B62" s="1">
        <f>DATE(2010,5,4) + TIME(13,43,54)</f>
        <v>40302.572152777779</v>
      </c>
      <c r="C62">
        <v>1405.1334228999999</v>
      </c>
      <c r="D62">
        <v>1387.2703856999999</v>
      </c>
      <c r="E62">
        <v>1313.3549805</v>
      </c>
      <c r="F62">
        <v>1306.4837646000001</v>
      </c>
      <c r="G62">
        <v>80</v>
      </c>
      <c r="H62">
        <v>63.389148712000001</v>
      </c>
      <c r="I62">
        <v>50</v>
      </c>
      <c r="J62">
        <v>14.998999596000001</v>
      </c>
      <c r="K62">
        <v>1200</v>
      </c>
      <c r="L62">
        <v>0</v>
      </c>
      <c r="M62">
        <v>0</v>
      </c>
      <c r="N62">
        <v>1200</v>
      </c>
    </row>
    <row r="63" spans="1:14" x14ac:dyDescent="0.25">
      <c r="A63">
        <v>3.7201360000000001</v>
      </c>
      <c r="B63" s="1">
        <f>DATE(2010,5,4) + TIME(17,16,59)</f>
        <v>40302.720127314817</v>
      </c>
      <c r="C63">
        <v>1404.8006591999999</v>
      </c>
      <c r="D63">
        <v>1387.1203613</v>
      </c>
      <c r="E63">
        <v>1313.3558350000001</v>
      </c>
      <c r="F63">
        <v>1306.4842529</v>
      </c>
      <c r="G63">
        <v>80</v>
      </c>
      <c r="H63">
        <v>64.326789856000005</v>
      </c>
      <c r="I63">
        <v>50</v>
      </c>
      <c r="J63">
        <v>14.999014854</v>
      </c>
      <c r="K63">
        <v>1200</v>
      </c>
      <c r="L63">
        <v>0</v>
      </c>
      <c r="M63">
        <v>0</v>
      </c>
      <c r="N63">
        <v>1200</v>
      </c>
    </row>
    <row r="64" spans="1:14" x14ac:dyDescent="0.25">
      <c r="A64">
        <v>3.794781</v>
      </c>
      <c r="B64" s="1">
        <f>DATE(2010,5,4) + TIME(19,4,29)</f>
        <v>40302.79478009259</v>
      </c>
      <c r="C64">
        <v>1404.6151123</v>
      </c>
      <c r="D64">
        <v>1386.9910889</v>
      </c>
      <c r="E64">
        <v>1313.3566894999999</v>
      </c>
      <c r="F64">
        <v>1306.4848632999999</v>
      </c>
      <c r="G64">
        <v>80</v>
      </c>
      <c r="H64">
        <v>64.787002563000001</v>
      </c>
      <c r="I64">
        <v>50</v>
      </c>
      <c r="J64">
        <v>14.999022483999999</v>
      </c>
      <c r="K64">
        <v>1200</v>
      </c>
      <c r="L64">
        <v>0</v>
      </c>
      <c r="M64">
        <v>0</v>
      </c>
      <c r="N64">
        <v>1200</v>
      </c>
    </row>
    <row r="65" spans="1:14" x14ac:dyDescent="0.25">
      <c r="A65">
        <v>3.8694269999999999</v>
      </c>
      <c r="B65" s="1">
        <f>DATE(2010,5,4) + TIME(20,51,58)</f>
        <v>40302.869421296295</v>
      </c>
      <c r="C65">
        <v>1404.4554443</v>
      </c>
      <c r="D65">
        <v>1386.9152832</v>
      </c>
      <c r="E65">
        <v>1313.3570557</v>
      </c>
      <c r="F65">
        <v>1306.4851074000001</v>
      </c>
      <c r="G65">
        <v>80</v>
      </c>
      <c r="H65">
        <v>65.233894348000007</v>
      </c>
      <c r="I65">
        <v>50</v>
      </c>
      <c r="J65">
        <v>14.999029159999999</v>
      </c>
      <c r="K65">
        <v>1200</v>
      </c>
      <c r="L65">
        <v>0</v>
      </c>
      <c r="M65">
        <v>0</v>
      </c>
      <c r="N65">
        <v>1200</v>
      </c>
    </row>
    <row r="66" spans="1:14" x14ac:dyDescent="0.25">
      <c r="A66">
        <v>3.9440719999999998</v>
      </c>
      <c r="B66" s="1">
        <f>DATE(2010,5,4) + TIME(22,39,27)</f>
        <v>40302.944062499999</v>
      </c>
      <c r="C66">
        <v>1404.3010254000001</v>
      </c>
      <c r="D66">
        <v>1386.8409423999999</v>
      </c>
      <c r="E66">
        <v>1313.3574219</v>
      </c>
      <c r="F66">
        <v>1306.4853516000001</v>
      </c>
      <c r="G66">
        <v>80</v>
      </c>
      <c r="H66">
        <v>65.667808532999999</v>
      </c>
      <c r="I66">
        <v>50</v>
      </c>
      <c r="J66">
        <v>14.999036789</v>
      </c>
      <c r="K66">
        <v>1200</v>
      </c>
      <c r="L66">
        <v>0</v>
      </c>
      <c r="M66">
        <v>0</v>
      </c>
      <c r="N66">
        <v>1200</v>
      </c>
    </row>
    <row r="67" spans="1:14" x14ac:dyDescent="0.25">
      <c r="A67">
        <v>4.0187169999999997</v>
      </c>
      <c r="B67" s="1">
        <f>DATE(2010,5,5) + TIME(0,26,57)</f>
        <v>40303.01871527778</v>
      </c>
      <c r="C67">
        <v>1404.1508789</v>
      </c>
      <c r="D67">
        <v>1386.7675781</v>
      </c>
      <c r="E67">
        <v>1313.3577881000001</v>
      </c>
      <c r="F67">
        <v>1306.4855957</v>
      </c>
      <c r="G67">
        <v>80</v>
      </c>
      <c r="H67">
        <v>66.089035034000005</v>
      </c>
      <c r="I67">
        <v>50</v>
      </c>
      <c r="J67">
        <v>14.999043465</v>
      </c>
      <c r="K67">
        <v>1200</v>
      </c>
      <c r="L67">
        <v>0</v>
      </c>
      <c r="M67">
        <v>0</v>
      </c>
      <c r="N67">
        <v>1200</v>
      </c>
    </row>
    <row r="68" spans="1:14" x14ac:dyDescent="0.25">
      <c r="A68">
        <v>4.1680080000000004</v>
      </c>
      <c r="B68" s="1">
        <f>DATE(2010,5,5) + TIME(4,1,55)</f>
        <v>40303.167997685188</v>
      </c>
      <c r="C68">
        <v>1403.8916016000001</v>
      </c>
      <c r="D68">
        <v>1386.6778564000001</v>
      </c>
      <c r="E68">
        <v>1313.3580322</v>
      </c>
      <c r="F68">
        <v>1306.4857178</v>
      </c>
      <c r="G68">
        <v>80</v>
      </c>
      <c r="H68">
        <v>66.882041931000003</v>
      </c>
      <c r="I68">
        <v>50</v>
      </c>
      <c r="J68">
        <v>14.999056816</v>
      </c>
      <c r="K68">
        <v>1200</v>
      </c>
      <c r="L68">
        <v>0</v>
      </c>
      <c r="M68">
        <v>0</v>
      </c>
      <c r="N68">
        <v>1200</v>
      </c>
    </row>
    <row r="69" spans="1:14" x14ac:dyDescent="0.25">
      <c r="A69">
        <v>4.3174419999999998</v>
      </c>
      <c r="B69" s="1">
        <f>DATE(2010,5,5) + TIME(7,37,6)</f>
        <v>40303.317430555559</v>
      </c>
      <c r="C69">
        <v>1403.6201172000001</v>
      </c>
      <c r="D69">
        <v>1386.5361327999999</v>
      </c>
      <c r="E69">
        <v>1313.3587646000001</v>
      </c>
      <c r="F69">
        <v>1306.4862060999999</v>
      </c>
      <c r="G69">
        <v>80</v>
      </c>
      <c r="H69">
        <v>67.630386353000006</v>
      </c>
      <c r="I69">
        <v>50</v>
      </c>
      <c r="J69">
        <v>14.999069214</v>
      </c>
      <c r="K69">
        <v>1200</v>
      </c>
      <c r="L69">
        <v>0</v>
      </c>
      <c r="M69">
        <v>0</v>
      </c>
      <c r="N69">
        <v>1200</v>
      </c>
    </row>
    <row r="70" spans="1:14" x14ac:dyDescent="0.25">
      <c r="A70">
        <v>4.4675479999999999</v>
      </c>
      <c r="B70" s="1">
        <f>DATE(2010,5,5) + TIME(11,13,16)</f>
        <v>40303.467546296299</v>
      </c>
      <c r="C70">
        <v>1403.3602295000001</v>
      </c>
      <c r="D70">
        <v>1386.3966064000001</v>
      </c>
      <c r="E70">
        <v>1313.3594971</v>
      </c>
      <c r="F70">
        <v>1306.4866943</v>
      </c>
      <c r="G70">
        <v>80</v>
      </c>
      <c r="H70">
        <v>68.338691710999996</v>
      </c>
      <c r="I70">
        <v>50</v>
      </c>
      <c r="J70">
        <v>14.999081611999999</v>
      </c>
      <c r="K70">
        <v>1200</v>
      </c>
      <c r="L70">
        <v>0</v>
      </c>
      <c r="M70">
        <v>0</v>
      </c>
      <c r="N70">
        <v>1200</v>
      </c>
    </row>
    <row r="71" spans="1:14" x14ac:dyDescent="0.25">
      <c r="A71">
        <v>4.618538</v>
      </c>
      <c r="B71" s="1">
        <f>DATE(2010,5,5) + TIME(14,50,41)</f>
        <v>40303.618530092594</v>
      </c>
      <c r="C71">
        <v>1403.1108397999999</v>
      </c>
      <c r="D71">
        <v>1386.2590332</v>
      </c>
      <c r="E71">
        <v>1313.3601074000001</v>
      </c>
      <c r="F71">
        <v>1306.4871826000001</v>
      </c>
      <c r="G71">
        <v>80</v>
      </c>
      <c r="H71">
        <v>69.009582519999995</v>
      </c>
      <c r="I71">
        <v>50</v>
      </c>
      <c r="J71">
        <v>14.999094009</v>
      </c>
      <c r="K71">
        <v>1200</v>
      </c>
      <c r="L71">
        <v>0</v>
      </c>
      <c r="M71">
        <v>0</v>
      </c>
      <c r="N71">
        <v>1200</v>
      </c>
    </row>
    <row r="72" spans="1:14" x14ac:dyDescent="0.25">
      <c r="A72">
        <v>4.7706249999999999</v>
      </c>
      <c r="B72" s="1">
        <f>DATE(2010,5,5) + TIME(18,29,42)</f>
        <v>40303.770624999997</v>
      </c>
      <c r="C72">
        <v>1402.8709716999999</v>
      </c>
      <c r="D72">
        <v>1386.1230469</v>
      </c>
      <c r="E72">
        <v>1313.3608397999999</v>
      </c>
      <c r="F72">
        <v>1306.4875488</v>
      </c>
      <c r="G72">
        <v>80</v>
      </c>
      <c r="H72">
        <v>69.645469665999997</v>
      </c>
      <c r="I72">
        <v>50</v>
      </c>
      <c r="J72">
        <v>14.999105453</v>
      </c>
      <c r="K72">
        <v>1200</v>
      </c>
      <c r="L72">
        <v>0</v>
      </c>
      <c r="M72">
        <v>0</v>
      </c>
      <c r="N72">
        <v>1200</v>
      </c>
    </row>
    <row r="73" spans="1:14" x14ac:dyDescent="0.25">
      <c r="A73">
        <v>4.9240250000000003</v>
      </c>
      <c r="B73" s="1">
        <f>DATE(2010,5,5) + TIME(22,10,35)</f>
        <v>40303.924016203702</v>
      </c>
      <c r="C73">
        <v>1402.6395264</v>
      </c>
      <c r="D73">
        <v>1385.9884033000001</v>
      </c>
      <c r="E73">
        <v>1313.3614502</v>
      </c>
      <c r="F73">
        <v>1306.4879149999999</v>
      </c>
      <c r="G73">
        <v>80</v>
      </c>
      <c r="H73">
        <v>70.248329162999994</v>
      </c>
      <c r="I73">
        <v>50</v>
      </c>
      <c r="J73">
        <v>14.999116898</v>
      </c>
      <c r="K73">
        <v>1200</v>
      </c>
      <c r="L73">
        <v>0</v>
      </c>
      <c r="M73">
        <v>0</v>
      </c>
      <c r="N73">
        <v>1200</v>
      </c>
    </row>
    <row r="74" spans="1:14" x14ac:dyDescent="0.25">
      <c r="A74">
        <v>5.0789400000000002</v>
      </c>
      <c r="B74" s="1">
        <f>DATE(2010,5,6) + TIME(1,53,40)</f>
        <v>40304.078935185185</v>
      </c>
      <c r="C74">
        <v>1402.4157714999999</v>
      </c>
      <c r="D74">
        <v>1385.8548584</v>
      </c>
      <c r="E74">
        <v>1313.3620605000001</v>
      </c>
      <c r="F74">
        <v>1306.4884033000001</v>
      </c>
      <c r="G74">
        <v>80</v>
      </c>
      <c r="H74">
        <v>70.820014954000001</v>
      </c>
      <c r="I74">
        <v>50</v>
      </c>
      <c r="J74">
        <v>14.999127388</v>
      </c>
      <c r="K74">
        <v>1200</v>
      </c>
      <c r="L74">
        <v>0</v>
      </c>
      <c r="M74">
        <v>0</v>
      </c>
      <c r="N74">
        <v>1200</v>
      </c>
    </row>
    <row r="75" spans="1:14" x14ac:dyDescent="0.25">
      <c r="A75">
        <v>5.2355689999999999</v>
      </c>
      <c r="B75" s="1">
        <f>DATE(2010,5,6) + TIME(5,39,13)</f>
        <v>40304.235567129632</v>
      </c>
      <c r="C75">
        <v>1402.1987305</v>
      </c>
      <c r="D75">
        <v>1385.7220459</v>
      </c>
      <c r="E75">
        <v>1313.3625488</v>
      </c>
      <c r="F75">
        <v>1306.4887695</v>
      </c>
      <c r="G75">
        <v>80</v>
      </c>
      <c r="H75">
        <v>71.362487793</v>
      </c>
      <c r="I75">
        <v>50</v>
      </c>
      <c r="J75">
        <v>14.999138832</v>
      </c>
      <c r="K75">
        <v>1200</v>
      </c>
      <c r="L75">
        <v>0</v>
      </c>
      <c r="M75">
        <v>0</v>
      </c>
      <c r="N75">
        <v>1200</v>
      </c>
    </row>
    <row r="76" spans="1:14" x14ac:dyDescent="0.25">
      <c r="A76">
        <v>5.3941590000000001</v>
      </c>
      <c r="B76" s="1">
        <f>DATE(2010,5,6) + TIME(9,27,35)</f>
        <v>40304.394155092596</v>
      </c>
      <c r="C76">
        <v>1401.9879149999999</v>
      </c>
      <c r="D76">
        <v>1385.5899658000001</v>
      </c>
      <c r="E76">
        <v>1313.3631591999999</v>
      </c>
      <c r="F76">
        <v>1306.4891356999999</v>
      </c>
      <c r="G76">
        <v>80</v>
      </c>
      <c r="H76">
        <v>71.877471924000005</v>
      </c>
      <c r="I76">
        <v>50</v>
      </c>
      <c r="J76">
        <v>14.999148369</v>
      </c>
      <c r="K76">
        <v>1200</v>
      </c>
      <c r="L76">
        <v>0</v>
      </c>
      <c r="M76">
        <v>0</v>
      </c>
      <c r="N76">
        <v>1200</v>
      </c>
    </row>
    <row r="77" spans="1:14" x14ac:dyDescent="0.25">
      <c r="A77">
        <v>5.5549350000000004</v>
      </c>
      <c r="B77" s="1">
        <f>DATE(2010,5,6) + TIME(13,19,6)</f>
        <v>40304.554930555554</v>
      </c>
      <c r="C77">
        <v>1401.7824707</v>
      </c>
      <c r="D77">
        <v>1385.4582519999999</v>
      </c>
      <c r="E77">
        <v>1313.3636475000001</v>
      </c>
      <c r="F77">
        <v>1306.4893798999999</v>
      </c>
      <c r="G77">
        <v>80</v>
      </c>
      <c r="H77">
        <v>72.366424561000002</v>
      </c>
      <c r="I77">
        <v>50</v>
      </c>
      <c r="J77">
        <v>14.999158859</v>
      </c>
      <c r="K77">
        <v>1200</v>
      </c>
      <c r="L77">
        <v>0</v>
      </c>
      <c r="M77">
        <v>0</v>
      </c>
      <c r="N77">
        <v>1200</v>
      </c>
    </row>
    <row r="78" spans="1:14" x14ac:dyDescent="0.25">
      <c r="A78">
        <v>5.7181350000000002</v>
      </c>
      <c r="B78" s="1">
        <f>DATE(2010,5,6) + TIME(17,14,6)</f>
        <v>40304.718124999999</v>
      </c>
      <c r="C78">
        <v>1401.5817870999999</v>
      </c>
      <c r="D78">
        <v>1385.3266602000001</v>
      </c>
      <c r="E78">
        <v>1313.3642577999999</v>
      </c>
      <c r="F78">
        <v>1306.4897461</v>
      </c>
      <c r="G78">
        <v>80</v>
      </c>
      <c r="H78">
        <v>72.830711364999999</v>
      </c>
      <c r="I78">
        <v>50</v>
      </c>
      <c r="J78">
        <v>14.999169350000001</v>
      </c>
      <c r="K78">
        <v>1200</v>
      </c>
      <c r="L78">
        <v>0</v>
      </c>
      <c r="M78">
        <v>0</v>
      </c>
      <c r="N78">
        <v>1200</v>
      </c>
    </row>
    <row r="79" spans="1:14" x14ac:dyDescent="0.25">
      <c r="A79">
        <v>5.8840050000000002</v>
      </c>
      <c r="B79" s="1">
        <f>DATE(2010,5,6) + TIME(21,12,58)</f>
        <v>40304.884004629632</v>
      </c>
      <c r="C79">
        <v>1401.3854980000001</v>
      </c>
      <c r="D79">
        <v>1385.1951904</v>
      </c>
      <c r="E79">
        <v>1313.3647461</v>
      </c>
      <c r="F79">
        <v>1306.4901123</v>
      </c>
      <c r="G79">
        <v>80</v>
      </c>
      <c r="H79">
        <v>73.271568298000005</v>
      </c>
      <c r="I79">
        <v>50</v>
      </c>
      <c r="J79">
        <v>14.999178885999999</v>
      </c>
      <c r="K79">
        <v>1200</v>
      </c>
      <c r="L79">
        <v>0</v>
      </c>
      <c r="M79">
        <v>0</v>
      </c>
      <c r="N79">
        <v>1200</v>
      </c>
    </row>
    <row r="80" spans="1:14" x14ac:dyDescent="0.25">
      <c r="A80">
        <v>6.052594</v>
      </c>
      <c r="B80" s="1">
        <f>DATE(2010,5,7) + TIME(1,15,44)</f>
        <v>40305.05259259259</v>
      </c>
      <c r="C80">
        <v>1401.1931152</v>
      </c>
      <c r="D80">
        <v>1385.0634766000001</v>
      </c>
      <c r="E80">
        <v>1313.3652344</v>
      </c>
      <c r="F80">
        <v>1306.4904785000001</v>
      </c>
      <c r="G80">
        <v>80</v>
      </c>
      <c r="H80">
        <v>73.689659118999998</v>
      </c>
      <c r="I80">
        <v>50</v>
      </c>
      <c r="J80">
        <v>14.999188423</v>
      </c>
      <c r="K80">
        <v>1200</v>
      </c>
      <c r="L80">
        <v>0</v>
      </c>
      <c r="M80">
        <v>0</v>
      </c>
      <c r="N80">
        <v>1200</v>
      </c>
    </row>
    <row r="81" spans="1:14" x14ac:dyDescent="0.25">
      <c r="A81">
        <v>6.2241460000000002</v>
      </c>
      <c r="B81" s="1">
        <f>DATE(2010,5,7) + TIME(5,22,46)</f>
        <v>40305.224143518521</v>
      </c>
      <c r="C81">
        <v>1401.0042725000001</v>
      </c>
      <c r="D81">
        <v>1384.9315185999999</v>
      </c>
      <c r="E81">
        <v>1313.3657227000001</v>
      </c>
      <c r="F81">
        <v>1306.4907227000001</v>
      </c>
      <c r="G81">
        <v>80</v>
      </c>
      <c r="H81">
        <v>74.086067200000002</v>
      </c>
      <c r="I81">
        <v>50</v>
      </c>
      <c r="J81">
        <v>14.99919796</v>
      </c>
      <c r="K81">
        <v>1200</v>
      </c>
      <c r="L81">
        <v>0</v>
      </c>
      <c r="M81">
        <v>0</v>
      </c>
      <c r="N81">
        <v>1200</v>
      </c>
    </row>
    <row r="82" spans="1:14" x14ac:dyDescent="0.25">
      <c r="A82">
        <v>6.3989250000000002</v>
      </c>
      <c r="B82" s="1">
        <f>DATE(2010,5,7) + TIME(9,34,27)</f>
        <v>40305.398923611108</v>
      </c>
      <c r="C82">
        <v>1400.8187256000001</v>
      </c>
      <c r="D82">
        <v>1384.7993164</v>
      </c>
      <c r="E82">
        <v>1313.3662108999999</v>
      </c>
      <c r="F82">
        <v>1306.4910889</v>
      </c>
      <c r="G82">
        <v>80</v>
      </c>
      <c r="H82">
        <v>74.461837768999999</v>
      </c>
      <c r="I82">
        <v>50</v>
      </c>
      <c r="J82">
        <v>14.999206543</v>
      </c>
      <c r="K82">
        <v>1200</v>
      </c>
      <c r="L82">
        <v>0</v>
      </c>
      <c r="M82">
        <v>0</v>
      </c>
      <c r="N82">
        <v>1200</v>
      </c>
    </row>
    <row r="83" spans="1:14" x14ac:dyDescent="0.25">
      <c r="A83">
        <v>6.5772130000000004</v>
      </c>
      <c r="B83" s="1">
        <f>DATE(2010,5,7) + TIME(13,51,11)</f>
        <v>40305.577210648145</v>
      </c>
      <c r="C83">
        <v>1400.6358643000001</v>
      </c>
      <c r="D83">
        <v>1384.6665039</v>
      </c>
      <c r="E83">
        <v>1313.3666992000001</v>
      </c>
      <c r="F83">
        <v>1306.4913329999999</v>
      </c>
      <c r="G83">
        <v>80</v>
      </c>
      <c r="H83">
        <v>74.817916870000005</v>
      </c>
      <c r="I83">
        <v>50</v>
      </c>
      <c r="J83">
        <v>14.99921608</v>
      </c>
      <c r="K83">
        <v>1200</v>
      </c>
      <c r="L83">
        <v>0</v>
      </c>
      <c r="M83">
        <v>0</v>
      </c>
      <c r="N83">
        <v>1200</v>
      </c>
    </row>
    <row r="84" spans="1:14" x14ac:dyDescent="0.25">
      <c r="A84">
        <v>6.7593129999999997</v>
      </c>
      <c r="B84" s="1">
        <f>DATE(2010,5,7) + TIME(18,13,24)</f>
        <v>40305.759305555555</v>
      </c>
      <c r="C84">
        <v>1400.4553223</v>
      </c>
      <c r="D84">
        <v>1384.5330810999999</v>
      </c>
      <c r="E84">
        <v>1313.3671875</v>
      </c>
      <c r="F84">
        <v>1306.4916992000001</v>
      </c>
      <c r="G84">
        <v>80</v>
      </c>
      <c r="H84">
        <v>75.155082703000005</v>
      </c>
      <c r="I84">
        <v>50</v>
      </c>
      <c r="J84">
        <v>14.999224663</v>
      </c>
      <c r="K84">
        <v>1200</v>
      </c>
      <c r="L84">
        <v>0</v>
      </c>
      <c r="M84">
        <v>0</v>
      </c>
      <c r="N84">
        <v>1200</v>
      </c>
    </row>
    <row r="85" spans="1:14" x14ac:dyDescent="0.25">
      <c r="A85">
        <v>6.9456249999999997</v>
      </c>
      <c r="B85" s="1">
        <f>DATE(2010,5,7) + TIME(22,41,42)</f>
        <v>40305.945625</v>
      </c>
      <c r="C85">
        <v>1400.2767334</v>
      </c>
      <c r="D85">
        <v>1384.3988036999999</v>
      </c>
      <c r="E85">
        <v>1313.3675536999999</v>
      </c>
      <c r="F85">
        <v>1306.4919434000001</v>
      </c>
      <c r="G85">
        <v>80</v>
      </c>
      <c r="H85">
        <v>75.474273682000003</v>
      </c>
      <c r="I85">
        <v>50</v>
      </c>
      <c r="J85">
        <v>14.999233245999999</v>
      </c>
      <c r="K85">
        <v>1200</v>
      </c>
      <c r="L85">
        <v>0</v>
      </c>
      <c r="M85">
        <v>0</v>
      </c>
      <c r="N85">
        <v>1200</v>
      </c>
    </row>
    <row r="86" spans="1:14" x14ac:dyDescent="0.25">
      <c r="A86">
        <v>7.1364369999999999</v>
      </c>
      <c r="B86" s="1">
        <f>DATE(2010,5,8) + TIME(3,16,28)</f>
        <v>40306.136435185188</v>
      </c>
      <c r="C86">
        <v>1400.0999756000001</v>
      </c>
      <c r="D86">
        <v>1384.2635498</v>
      </c>
      <c r="E86">
        <v>1313.3680420000001</v>
      </c>
      <c r="F86">
        <v>1306.4921875</v>
      </c>
      <c r="G86">
        <v>80</v>
      </c>
      <c r="H86">
        <v>75.776275635000005</v>
      </c>
      <c r="I86">
        <v>50</v>
      </c>
      <c r="J86">
        <v>14.999241829000001</v>
      </c>
      <c r="K86">
        <v>1200</v>
      </c>
      <c r="L86">
        <v>0</v>
      </c>
      <c r="M86">
        <v>0</v>
      </c>
      <c r="N86">
        <v>1200</v>
      </c>
    </row>
    <row r="87" spans="1:14" x14ac:dyDescent="0.25">
      <c r="A87">
        <v>7.3321269999999998</v>
      </c>
      <c r="B87" s="1">
        <f>DATE(2010,5,8) + TIME(7,58,15)</f>
        <v>40306.332118055558</v>
      </c>
      <c r="C87">
        <v>1399.9244385</v>
      </c>
      <c r="D87">
        <v>1384.1271973</v>
      </c>
      <c r="E87">
        <v>1313.3685303</v>
      </c>
      <c r="F87">
        <v>1306.4924315999999</v>
      </c>
      <c r="G87">
        <v>80</v>
      </c>
      <c r="H87">
        <v>76.061820983999993</v>
      </c>
      <c r="I87">
        <v>50</v>
      </c>
      <c r="J87">
        <v>14.999250412</v>
      </c>
      <c r="K87">
        <v>1200</v>
      </c>
      <c r="L87">
        <v>0</v>
      </c>
      <c r="M87">
        <v>0</v>
      </c>
      <c r="N87">
        <v>1200</v>
      </c>
    </row>
    <row r="88" spans="1:14" x14ac:dyDescent="0.25">
      <c r="A88">
        <v>7.5331130000000002</v>
      </c>
      <c r="B88" s="1">
        <f>DATE(2010,5,8) + TIME(12,47,41)</f>
        <v>40306.533113425925</v>
      </c>
      <c r="C88">
        <v>1399.75</v>
      </c>
      <c r="D88">
        <v>1383.9895019999999</v>
      </c>
      <c r="E88">
        <v>1313.3688964999999</v>
      </c>
      <c r="F88">
        <v>1306.4927978999999</v>
      </c>
      <c r="G88">
        <v>80</v>
      </c>
      <c r="H88">
        <v>76.331596375000004</v>
      </c>
      <c r="I88">
        <v>50</v>
      </c>
      <c r="J88">
        <v>14.999258995</v>
      </c>
      <c r="K88">
        <v>1200</v>
      </c>
      <c r="L88">
        <v>0</v>
      </c>
      <c r="M88">
        <v>0</v>
      </c>
      <c r="N88">
        <v>1200</v>
      </c>
    </row>
    <row r="89" spans="1:14" x14ac:dyDescent="0.25">
      <c r="A89">
        <v>7.7398569999999998</v>
      </c>
      <c r="B89" s="1">
        <f>DATE(2010,5,8) + TIME(17,45,23)</f>
        <v>40306.739849537036</v>
      </c>
      <c r="C89">
        <v>1399.5762939000001</v>
      </c>
      <c r="D89">
        <v>1383.8504639</v>
      </c>
      <c r="E89">
        <v>1313.3693848</v>
      </c>
      <c r="F89">
        <v>1306.4930420000001</v>
      </c>
      <c r="G89">
        <v>80</v>
      </c>
      <c r="H89">
        <v>76.586242675999998</v>
      </c>
      <c r="I89">
        <v>50</v>
      </c>
      <c r="J89">
        <v>14.999267578</v>
      </c>
      <c r="K89">
        <v>1200</v>
      </c>
      <c r="L89">
        <v>0</v>
      </c>
      <c r="M89">
        <v>0</v>
      </c>
      <c r="N89">
        <v>1200</v>
      </c>
    </row>
    <row r="90" spans="1:14" x14ac:dyDescent="0.25">
      <c r="A90">
        <v>7.9528650000000001</v>
      </c>
      <c r="B90" s="1">
        <f>DATE(2010,5,8) + TIME(22,52,7)</f>
        <v>40306.9528587963</v>
      </c>
      <c r="C90">
        <v>1399.4029541</v>
      </c>
      <c r="D90">
        <v>1383.7097168</v>
      </c>
      <c r="E90">
        <v>1313.369751</v>
      </c>
      <c r="F90">
        <v>1306.4932861</v>
      </c>
      <c r="G90">
        <v>80</v>
      </c>
      <c r="H90">
        <v>76.826393127000003</v>
      </c>
      <c r="I90">
        <v>50</v>
      </c>
      <c r="J90">
        <v>14.999275208</v>
      </c>
      <c r="K90">
        <v>1200</v>
      </c>
      <c r="L90">
        <v>0</v>
      </c>
      <c r="M90">
        <v>0</v>
      </c>
      <c r="N90">
        <v>1200</v>
      </c>
    </row>
    <row r="91" spans="1:14" x14ac:dyDescent="0.25">
      <c r="A91">
        <v>8.1727059999999998</v>
      </c>
      <c r="B91" s="1">
        <f>DATE(2010,5,9) + TIME(4,8,41)</f>
        <v>40307.172696759262</v>
      </c>
      <c r="C91">
        <v>1399.2298584</v>
      </c>
      <c r="D91">
        <v>1383.5671387</v>
      </c>
      <c r="E91">
        <v>1313.3702393000001</v>
      </c>
      <c r="F91">
        <v>1306.4935303</v>
      </c>
      <c r="G91">
        <v>80</v>
      </c>
      <c r="H91">
        <v>77.052612304999997</v>
      </c>
      <c r="I91">
        <v>50</v>
      </c>
      <c r="J91">
        <v>14.999283791</v>
      </c>
      <c r="K91">
        <v>1200</v>
      </c>
      <c r="L91">
        <v>0</v>
      </c>
      <c r="M91">
        <v>0</v>
      </c>
      <c r="N91">
        <v>1200</v>
      </c>
    </row>
    <row r="92" spans="1:14" x14ac:dyDescent="0.25">
      <c r="A92">
        <v>8.40001</v>
      </c>
      <c r="B92" s="1">
        <f>DATE(2010,5,9) + TIME(9,36,0)</f>
        <v>40307.4</v>
      </c>
      <c r="C92">
        <v>1399.0563964999999</v>
      </c>
      <c r="D92">
        <v>1383.4224853999999</v>
      </c>
      <c r="E92">
        <v>1313.3706055</v>
      </c>
      <c r="F92">
        <v>1306.4938964999999</v>
      </c>
      <c r="G92">
        <v>80</v>
      </c>
      <c r="H92">
        <v>77.265464782999999</v>
      </c>
      <c r="I92">
        <v>50</v>
      </c>
      <c r="J92">
        <v>14.999292373999999</v>
      </c>
      <c r="K92">
        <v>1200</v>
      </c>
      <c r="L92">
        <v>0</v>
      </c>
      <c r="M92">
        <v>0</v>
      </c>
      <c r="N92">
        <v>1200</v>
      </c>
    </row>
    <row r="93" spans="1:14" x14ac:dyDescent="0.25">
      <c r="A93">
        <v>8.6354819999999997</v>
      </c>
      <c r="B93" s="1">
        <f>DATE(2010,5,9) + TIME(15,15,5)</f>
        <v>40307.635474537034</v>
      </c>
      <c r="C93">
        <v>1398.8824463000001</v>
      </c>
      <c r="D93">
        <v>1383.2756348</v>
      </c>
      <c r="E93">
        <v>1313.3710937999999</v>
      </c>
      <c r="F93">
        <v>1306.4941406</v>
      </c>
      <c r="G93">
        <v>80</v>
      </c>
      <c r="H93">
        <v>77.46546936</v>
      </c>
      <c r="I93">
        <v>50</v>
      </c>
      <c r="J93">
        <v>14.999300003</v>
      </c>
      <c r="K93">
        <v>1200</v>
      </c>
      <c r="L93">
        <v>0</v>
      </c>
      <c r="M93">
        <v>0</v>
      </c>
      <c r="N93">
        <v>1200</v>
      </c>
    </row>
    <row r="94" spans="1:14" x14ac:dyDescent="0.25">
      <c r="A94">
        <v>8.8799170000000007</v>
      </c>
      <c r="B94" s="1">
        <f>DATE(2010,5,9) + TIME(21,7,4)</f>
        <v>40307.879907407405</v>
      </c>
      <c r="C94">
        <v>1398.7075195</v>
      </c>
      <c r="D94">
        <v>1383.1263428</v>
      </c>
      <c r="E94">
        <v>1313.3714600000001</v>
      </c>
      <c r="F94">
        <v>1306.4943848</v>
      </c>
      <c r="G94">
        <v>80</v>
      </c>
      <c r="H94">
        <v>77.653114318999997</v>
      </c>
      <c r="I94">
        <v>50</v>
      </c>
      <c r="J94">
        <v>14.999308586</v>
      </c>
      <c r="K94">
        <v>1200</v>
      </c>
      <c r="L94">
        <v>0</v>
      </c>
      <c r="M94">
        <v>0</v>
      </c>
      <c r="N94">
        <v>1200</v>
      </c>
    </row>
    <row r="95" spans="1:14" x14ac:dyDescent="0.25">
      <c r="A95">
        <v>9.0058089999999993</v>
      </c>
      <c r="B95" s="1">
        <f>DATE(2010,5,10) + TIME(0,8,21)</f>
        <v>40308.005798611113</v>
      </c>
      <c r="C95">
        <v>1398.5526123</v>
      </c>
      <c r="D95">
        <v>1382.9754639</v>
      </c>
      <c r="E95">
        <v>1313.3717041</v>
      </c>
      <c r="F95">
        <v>1306.4945068</v>
      </c>
      <c r="G95">
        <v>80</v>
      </c>
      <c r="H95">
        <v>77.744781493999994</v>
      </c>
      <c r="I95">
        <v>50</v>
      </c>
      <c r="J95">
        <v>14.999312400999999</v>
      </c>
      <c r="K95">
        <v>1200</v>
      </c>
      <c r="L95">
        <v>0</v>
      </c>
      <c r="M95">
        <v>0</v>
      </c>
      <c r="N95">
        <v>1200</v>
      </c>
    </row>
    <row r="96" spans="1:14" x14ac:dyDescent="0.25">
      <c r="A96">
        <v>9.257593</v>
      </c>
      <c r="B96" s="1">
        <f>DATE(2010,5,10) + TIME(6,10,56)</f>
        <v>40308.257592592592</v>
      </c>
      <c r="C96">
        <v>1398.4431152</v>
      </c>
      <c r="D96">
        <v>1382.8968506000001</v>
      </c>
      <c r="E96">
        <v>1313.3719481999999</v>
      </c>
      <c r="F96">
        <v>1306.4945068</v>
      </c>
      <c r="G96">
        <v>80</v>
      </c>
      <c r="H96">
        <v>77.909927367999998</v>
      </c>
      <c r="I96">
        <v>50</v>
      </c>
      <c r="J96">
        <v>14.99932003</v>
      </c>
      <c r="K96">
        <v>1200</v>
      </c>
      <c r="L96">
        <v>0</v>
      </c>
      <c r="M96">
        <v>0</v>
      </c>
      <c r="N96">
        <v>1200</v>
      </c>
    </row>
    <row r="97" spans="1:14" x14ac:dyDescent="0.25">
      <c r="A97">
        <v>9.5094250000000002</v>
      </c>
      <c r="B97" s="1">
        <f>DATE(2010,5,10) + TIME(12,13,34)</f>
        <v>40308.509421296294</v>
      </c>
      <c r="C97">
        <v>1398.2717285000001</v>
      </c>
      <c r="D97">
        <v>1382.7456055</v>
      </c>
      <c r="E97">
        <v>1313.3724365</v>
      </c>
      <c r="F97">
        <v>1306.4948730000001</v>
      </c>
      <c r="G97">
        <v>80</v>
      </c>
      <c r="H97">
        <v>78.058776855000005</v>
      </c>
      <c r="I97">
        <v>50</v>
      </c>
      <c r="J97">
        <v>14.999328612999999</v>
      </c>
      <c r="K97">
        <v>1200</v>
      </c>
      <c r="L97">
        <v>0</v>
      </c>
      <c r="M97">
        <v>0</v>
      </c>
      <c r="N97">
        <v>1200</v>
      </c>
    </row>
    <row r="98" spans="1:14" x14ac:dyDescent="0.25">
      <c r="A98">
        <v>9.761844</v>
      </c>
      <c r="B98" s="1">
        <f>DATE(2010,5,10) + TIME(18,17,3)</f>
        <v>40308.761840277781</v>
      </c>
      <c r="C98">
        <v>1398.1043701000001</v>
      </c>
      <c r="D98">
        <v>1382.5968018000001</v>
      </c>
      <c r="E98">
        <v>1313.3728027</v>
      </c>
      <c r="F98">
        <v>1306.4951172000001</v>
      </c>
      <c r="G98">
        <v>80</v>
      </c>
      <c r="H98">
        <v>78.193222046000002</v>
      </c>
      <c r="I98">
        <v>50</v>
      </c>
      <c r="J98">
        <v>14.999335288999999</v>
      </c>
      <c r="K98">
        <v>1200</v>
      </c>
      <c r="L98">
        <v>0</v>
      </c>
      <c r="M98">
        <v>0</v>
      </c>
      <c r="N98">
        <v>1200</v>
      </c>
    </row>
    <row r="99" spans="1:14" x14ac:dyDescent="0.25">
      <c r="A99">
        <v>10.015280000000001</v>
      </c>
      <c r="B99" s="1">
        <f>DATE(2010,5,11) + TIME(0,22,0)</f>
        <v>40309.015277777777</v>
      </c>
      <c r="C99">
        <v>1397.9410399999999</v>
      </c>
      <c r="D99">
        <v>1382.4504394999999</v>
      </c>
      <c r="E99">
        <v>1313.3731689000001</v>
      </c>
      <c r="F99">
        <v>1306.4953613</v>
      </c>
      <c r="G99">
        <v>80</v>
      </c>
      <c r="H99">
        <v>78.314811707000004</v>
      </c>
      <c r="I99">
        <v>50</v>
      </c>
      <c r="J99">
        <v>14.999342918</v>
      </c>
      <c r="K99">
        <v>1200</v>
      </c>
      <c r="L99">
        <v>0</v>
      </c>
      <c r="M99">
        <v>0</v>
      </c>
      <c r="N99">
        <v>1200</v>
      </c>
    </row>
    <row r="100" spans="1:14" x14ac:dyDescent="0.25">
      <c r="A100">
        <v>10.270153000000001</v>
      </c>
      <c r="B100" s="1">
        <f>DATE(2010,5,11) + TIME(6,29,1)</f>
        <v>40309.270150462966</v>
      </c>
      <c r="C100">
        <v>1397.78125</v>
      </c>
      <c r="D100">
        <v>1382.3063964999999</v>
      </c>
      <c r="E100">
        <v>1313.3735352000001</v>
      </c>
      <c r="F100">
        <v>1306.4956055</v>
      </c>
      <c r="G100">
        <v>80</v>
      </c>
      <c r="H100">
        <v>78.424919127999999</v>
      </c>
      <c r="I100">
        <v>50</v>
      </c>
      <c r="J100">
        <v>14.999349594</v>
      </c>
      <c r="K100">
        <v>1200</v>
      </c>
      <c r="L100">
        <v>0</v>
      </c>
      <c r="M100">
        <v>0</v>
      </c>
      <c r="N100">
        <v>1200</v>
      </c>
    </row>
    <row r="101" spans="1:14" x14ac:dyDescent="0.25">
      <c r="A101">
        <v>10.526334</v>
      </c>
      <c r="B101" s="1">
        <f>DATE(2010,5,11) + TIME(12,37,55)</f>
        <v>40309.526331018518</v>
      </c>
      <c r="C101">
        <v>1397.6247559000001</v>
      </c>
      <c r="D101">
        <v>1382.1643065999999</v>
      </c>
      <c r="E101">
        <v>1313.3737793</v>
      </c>
      <c r="F101">
        <v>1306.4957274999999</v>
      </c>
      <c r="G101">
        <v>80</v>
      </c>
      <c r="H101">
        <v>78.524528502999999</v>
      </c>
      <c r="I101">
        <v>50</v>
      </c>
      <c r="J101">
        <v>14.99935627</v>
      </c>
      <c r="K101">
        <v>1200</v>
      </c>
      <c r="L101">
        <v>0</v>
      </c>
      <c r="M101">
        <v>0</v>
      </c>
      <c r="N101">
        <v>1200</v>
      </c>
    </row>
    <row r="102" spans="1:14" x14ac:dyDescent="0.25">
      <c r="A102">
        <v>10.784098999999999</v>
      </c>
      <c r="B102" s="1">
        <f>DATE(2010,5,11) + TIME(18,49,6)</f>
        <v>40309.784097222226</v>
      </c>
      <c r="C102">
        <v>1397.4714355000001</v>
      </c>
      <c r="D102">
        <v>1382.0242920000001</v>
      </c>
      <c r="E102">
        <v>1313.3741454999999</v>
      </c>
      <c r="F102">
        <v>1306.4958495999999</v>
      </c>
      <c r="G102">
        <v>80</v>
      </c>
      <c r="H102">
        <v>78.614692688000005</v>
      </c>
      <c r="I102">
        <v>50</v>
      </c>
      <c r="J102">
        <v>14.999362946</v>
      </c>
      <c r="K102">
        <v>1200</v>
      </c>
      <c r="L102">
        <v>0</v>
      </c>
      <c r="M102">
        <v>0</v>
      </c>
      <c r="N102">
        <v>1200</v>
      </c>
    </row>
    <row r="103" spans="1:14" x14ac:dyDescent="0.25">
      <c r="A103">
        <v>11.043839</v>
      </c>
      <c r="B103" s="1">
        <f>DATE(2010,5,12) + TIME(1,3,7)</f>
        <v>40310.04383101852</v>
      </c>
      <c r="C103">
        <v>1397.3208007999999</v>
      </c>
      <c r="D103">
        <v>1381.8861084</v>
      </c>
      <c r="E103">
        <v>1313.3743896000001</v>
      </c>
      <c r="F103">
        <v>1306.4960937999999</v>
      </c>
      <c r="G103">
        <v>80</v>
      </c>
      <c r="H103">
        <v>78.696372986</v>
      </c>
      <c r="I103">
        <v>50</v>
      </c>
      <c r="J103">
        <v>14.999369621</v>
      </c>
      <c r="K103">
        <v>1200</v>
      </c>
      <c r="L103">
        <v>0</v>
      </c>
      <c r="M103">
        <v>0</v>
      </c>
      <c r="N103">
        <v>1200</v>
      </c>
    </row>
    <row r="104" spans="1:14" x14ac:dyDescent="0.25">
      <c r="A104">
        <v>11.305918999999999</v>
      </c>
      <c r="B104" s="1">
        <f>DATE(2010,5,12) + TIME(7,20,31)</f>
        <v>40310.305914351855</v>
      </c>
      <c r="C104">
        <v>1397.1726074000001</v>
      </c>
      <c r="D104">
        <v>1381.7495117000001</v>
      </c>
      <c r="E104">
        <v>1313.3746338000001</v>
      </c>
      <c r="F104">
        <v>1306.4962158000001</v>
      </c>
      <c r="G104">
        <v>80</v>
      </c>
      <c r="H104">
        <v>78.770423889</v>
      </c>
      <c r="I104">
        <v>50</v>
      </c>
      <c r="J104">
        <v>14.999376297</v>
      </c>
      <c r="K104">
        <v>1200</v>
      </c>
      <c r="L104">
        <v>0</v>
      </c>
      <c r="M104">
        <v>0</v>
      </c>
      <c r="N104">
        <v>1200</v>
      </c>
    </row>
    <row r="105" spans="1:14" x14ac:dyDescent="0.25">
      <c r="A105">
        <v>11.570707000000001</v>
      </c>
      <c r="B105" s="1">
        <f>DATE(2010,5,12) + TIME(13,41,49)</f>
        <v>40310.570706018516</v>
      </c>
      <c r="C105">
        <v>1397.0266113</v>
      </c>
      <c r="D105">
        <v>1381.6142577999999</v>
      </c>
      <c r="E105">
        <v>1313.375</v>
      </c>
      <c r="F105">
        <v>1306.4963379000001</v>
      </c>
      <c r="G105">
        <v>80</v>
      </c>
      <c r="H105">
        <v>78.837593079000001</v>
      </c>
      <c r="I105">
        <v>50</v>
      </c>
      <c r="J105">
        <v>14.999382972999999</v>
      </c>
      <c r="K105">
        <v>1200</v>
      </c>
      <c r="L105">
        <v>0</v>
      </c>
      <c r="M105">
        <v>0</v>
      </c>
      <c r="N105">
        <v>1200</v>
      </c>
    </row>
    <row r="106" spans="1:14" x14ac:dyDescent="0.25">
      <c r="A106">
        <v>11.838578999999999</v>
      </c>
      <c r="B106" s="1">
        <f>DATE(2010,5,12) + TIME(20,7,33)</f>
        <v>40310.838576388887</v>
      </c>
      <c r="C106">
        <v>1396.8825684000001</v>
      </c>
      <c r="D106">
        <v>1381.4803466999999</v>
      </c>
      <c r="E106">
        <v>1313.3752440999999</v>
      </c>
      <c r="F106">
        <v>1306.496582</v>
      </c>
      <c r="G106">
        <v>80</v>
      </c>
      <c r="H106">
        <v>78.898529053000004</v>
      </c>
      <c r="I106">
        <v>50</v>
      </c>
      <c r="J106">
        <v>14.999388695</v>
      </c>
      <c r="K106">
        <v>1200</v>
      </c>
      <c r="L106">
        <v>0</v>
      </c>
      <c r="M106">
        <v>0</v>
      </c>
      <c r="N106">
        <v>1200</v>
      </c>
    </row>
    <row r="107" spans="1:14" x14ac:dyDescent="0.25">
      <c r="A107">
        <v>12.109923</v>
      </c>
      <c r="B107" s="1">
        <f>DATE(2010,5,13) + TIME(2,38,17)</f>
        <v>40311.109918981485</v>
      </c>
      <c r="C107">
        <v>1396.7402344</v>
      </c>
      <c r="D107">
        <v>1381.3475341999999</v>
      </c>
      <c r="E107">
        <v>1313.3754882999999</v>
      </c>
      <c r="F107">
        <v>1306.4967041</v>
      </c>
      <c r="G107">
        <v>80</v>
      </c>
      <c r="H107">
        <v>78.953834533999995</v>
      </c>
      <c r="I107">
        <v>50</v>
      </c>
      <c r="J107">
        <v>14.99939537</v>
      </c>
      <c r="K107">
        <v>1200</v>
      </c>
      <c r="L107">
        <v>0</v>
      </c>
      <c r="M107">
        <v>0</v>
      </c>
      <c r="N107">
        <v>1200</v>
      </c>
    </row>
    <row r="108" spans="1:14" x14ac:dyDescent="0.25">
      <c r="A108">
        <v>12.385138</v>
      </c>
      <c r="B108" s="1">
        <f>DATE(2010,5,13) + TIME(9,14,35)</f>
        <v>40311.385127314818</v>
      </c>
      <c r="C108">
        <v>1396.5991211</v>
      </c>
      <c r="D108">
        <v>1381.2154541</v>
      </c>
      <c r="E108">
        <v>1313.3758545000001</v>
      </c>
      <c r="F108">
        <v>1306.4968262</v>
      </c>
      <c r="G108">
        <v>80</v>
      </c>
      <c r="H108">
        <v>79.004035950000002</v>
      </c>
      <c r="I108">
        <v>50</v>
      </c>
      <c r="J108">
        <v>14.999401092999999</v>
      </c>
      <c r="K108">
        <v>1200</v>
      </c>
      <c r="L108">
        <v>0</v>
      </c>
      <c r="M108">
        <v>0</v>
      </c>
      <c r="N108">
        <v>1200</v>
      </c>
    </row>
    <row r="109" spans="1:14" x14ac:dyDescent="0.25">
      <c r="A109">
        <v>12.664645</v>
      </c>
      <c r="B109" s="1">
        <f>DATE(2010,5,13) + TIME(15,57,5)</f>
        <v>40311.664641203701</v>
      </c>
      <c r="C109">
        <v>1396.4593506000001</v>
      </c>
      <c r="D109">
        <v>1381.0842285000001</v>
      </c>
      <c r="E109">
        <v>1313.3760986</v>
      </c>
      <c r="F109">
        <v>1306.4969481999999</v>
      </c>
      <c r="G109">
        <v>80</v>
      </c>
      <c r="H109">
        <v>79.049598693999997</v>
      </c>
      <c r="I109">
        <v>50</v>
      </c>
      <c r="J109">
        <v>14.999406815</v>
      </c>
      <c r="K109">
        <v>1200</v>
      </c>
      <c r="L109">
        <v>0</v>
      </c>
      <c r="M109">
        <v>0</v>
      </c>
      <c r="N109">
        <v>1200</v>
      </c>
    </row>
    <row r="110" spans="1:14" x14ac:dyDescent="0.25">
      <c r="A110">
        <v>12.948881999999999</v>
      </c>
      <c r="B110" s="1">
        <f>DATE(2010,5,13) + TIME(22,46,23)</f>
        <v>40311.948877314811</v>
      </c>
      <c r="C110">
        <v>1396.3204346</v>
      </c>
      <c r="D110">
        <v>1380.9534911999999</v>
      </c>
      <c r="E110">
        <v>1313.3763428</v>
      </c>
      <c r="F110">
        <v>1306.4970702999999</v>
      </c>
      <c r="G110">
        <v>80</v>
      </c>
      <c r="H110">
        <v>79.090957642000006</v>
      </c>
      <c r="I110">
        <v>50</v>
      </c>
      <c r="J110">
        <v>14.99941349</v>
      </c>
      <c r="K110">
        <v>1200</v>
      </c>
      <c r="L110">
        <v>0</v>
      </c>
      <c r="M110">
        <v>0</v>
      </c>
      <c r="N110">
        <v>1200</v>
      </c>
    </row>
    <row r="111" spans="1:14" x14ac:dyDescent="0.25">
      <c r="A111">
        <v>13.238378000000001</v>
      </c>
      <c r="B111" s="1">
        <f>DATE(2010,5,14) + TIME(5,43,15)</f>
        <v>40312.238368055558</v>
      </c>
      <c r="C111">
        <v>1396.182251</v>
      </c>
      <c r="D111">
        <v>1380.8231201000001</v>
      </c>
      <c r="E111">
        <v>1313.3765868999999</v>
      </c>
      <c r="F111">
        <v>1306.4971923999999</v>
      </c>
      <c r="G111">
        <v>80</v>
      </c>
      <c r="H111">
        <v>79.128486632999994</v>
      </c>
      <c r="I111">
        <v>50</v>
      </c>
      <c r="J111">
        <v>14.999419211999999</v>
      </c>
      <c r="K111">
        <v>1200</v>
      </c>
      <c r="L111">
        <v>0</v>
      </c>
      <c r="M111">
        <v>0</v>
      </c>
      <c r="N111">
        <v>1200</v>
      </c>
    </row>
    <row r="112" spans="1:14" x14ac:dyDescent="0.25">
      <c r="A112">
        <v>13.533652999999999</v>
      </c>
      <c r="B112" s="1">
        <f>DATE(2010,5,14) + TIME(12,48,27)</f>
        <v>40312.533645833333</v>
      </c>
      <c r="C112">
        <v>1396.0446777</v>
      </c>
      <c r="D112">
        <v>1380.6929932</v>
      </c>
      <c r="E112">
        <v>1313.3768310999999</v>
      </c>
      <c r="F112">
        <v>1306.4974365</v>
      </c>
      <c r="G112">
        <v>80</v>
      </c>
      <c r="H112">
        <v>79.162551879999995</v>
      </c>
      <c r="I112">
        <v>50</v>
      </c>
      <c r="J112">
        <v>14.999424934</v>
      </c>
      <c r="K112">
        <v>1200</v>
      </c>
      <c r="L112">
        <v>0</v>
      </c>
      <c r="M112">
        <v>0</v>
      </c>
      <c r="N112">
        <v>1200</v>
      </c>
    </row>
    <row r="113" spans="1:14" x14ac:dyDescent="0.25">
      <c r="A113">
        <v>13.835182</v>
      </c>
      <c r="B113" s="1">
        <f>DATE(2010,5,14) + TIME(20,2,39)</f>
        <v>40312.835173611114</v>
      </c>
      <c r="C113">
        <v>1395.9073486</v>
      </c>
      <c r="D113">
        <v>1380.5628661999999</v>
      </c>
      <c r="E113">
        <v>1313.3770752</v>
      </c>
      <c r="F113">
        <v>1306.4975586</v>
      </c>
      <c r="G113">
        <v>80</v>
      </c>
      <c r="H113">
        <v>79.193435668999996</v>
      </c>
      <c r="I113">
        <v>50</v>
      </c>
      <c r="J113">
        <v>14.999430655999999</v>
      </c>
      <c r="K113">
        <v>1200</v>
      </c>
      <c r="L113">
        <v>0</v>
      </c>
      <c r="M113">
        <v>0</v>
      </c>
      <c r="N113">
        <v>1200</v>
      </c>
    </row>
    <row r="114" spans="1:14" x14ac:dyDescent="0.25">
      <c r="A114">
        <v>14.143551</v>
      </c>
      <c r="B114" s="1">
        <f>DATE(2010,5,15) + TIME(3,26,42)</f>
        <v>40313.143541666665</v>
      </c>
      <c r="C114">
        <v>1395.7700195</v>
      </c>
      <c r="D114">
        <v>1380.4326172000001</v>
      </c>
      <c r="E114">
        <v>1313.3773193</v>
      </c>
      <c r="F114">
        <v>1306.4976807</v>
      </c>
      <c r="G114">
        <v>80</v>
      </c>
      <c r="H114">
        <v>79.221435546999999</v>
      </c>
      <c r="I114">
        <v>50</v>
      </c>
      <c r="J114">
        <v>14.999436378</v>
      </c>
      <c r="K114">
        <v>1200</v>
      </c>
      <c r="L114">
        <v>0</v>
      </c>
      <c r="M114">
        <v>0</v>
      </c>
      <c r="N114">
        <v>1200</v>
      </c>
    </row>
    <row r="115" spans="1:14" x14ac:dyDescent="0.25">
      <c r="A115">
        <v>14.459398</v>
      </c>
      <c r="B115" s="1">
        <f>DATE(2010,5,15) + TIME(11,1,31)</f>
        <v>40313.459386574075</v>
      </c>
      <c r="C115">
        <v>1395.6328125</v>
      </c>
      <c r="D115">
        <v>1380.3022461</v>
      </c>
      <c r="E115">
        <v>1313.3775635</v>
      </c>
      <c r="F115">
        <v>1306.4978027</v>
      </c>
      <c r="G115">
        <v>80</v>
      </c>
      <c r="H115">
        <v>79.246803283999995</v>
      </c>
      <c r="I115">
        <v>50</v>
      </c>
      <c r="J115">
        <v>14.999442101</v>
      </c>
      <c r="K115">
        <v>1200</v>
      </c>
      <c r="L115">
        <v>0</v>
      </c>
      <c r="M115">
        <v>0</v>
      </c>
      <c r="N115">
        <v>1200</v>
      </c>
    </row>
    <row r="116" spans="1:14" x14ac:dyDescent="0.25">
      <c r="A116">
        <v>14.783417999999999</v>
      </c>
      <c r="B116" s="1">
        <f>DATE(2010,5,15) + TIME(18,48,7)</f>
        <v>40313.783414351848</v>
      </c>
      <c r="C116">
        <v>1395.4952393000001</v>
      </c>
      <c r="D116">
        <v>1380.1712646000001</v>
      </c>
      <c r="E116">
        <v>1313.3778076000001</v>
      </c>
      <c r="F116">
        <v>1306.4979248</v>
      </c>
      <c r="G116">
        <v>80</v>
      </c>
      <c r="H116">
        <v>79.269767760999997</v>
      </c>
      <c r="I116">
        <v>50</v>
      </c>
      <c r="J116">
        <v>14.999448775999999</v>
      </c>
      <c r="K116">
        <v>1200</v>
      </c>
      <c r="L116">
        <v>0</v>
      </c>
      <c r="M116">
        <v>0</v>
      </c>
      <c r="N116">
        <v>1200</v>
      </c>
    </row>
    <row r="117" spans="1:14" x14ac:dyDescent="0.25">
      <c r="A117">
        <v>15.116405</v>
      </c>
      <c r="B117" s="1">
        <f>DATE(2010,5,16) + TIME(2,47,37)</f>
        <v>40314.116400462961</v>
      </c>
      <c r="C117">
        <v>1395.3571777</v>
      </c>
      <c r="D117">
        <v>1380.0397949000001</v>
      </c>
      <c r="E117">
        <v>1313.3780518000001</v>
      </c>
      <c r="F117">
        <v>1306.4980469</v>
      </c>
      <c r="G117">
        <v>80</v>
      </c>
      <c r="H117">
        <v>79.290550232000001</v>
      </c>
      <c r="I117">
        <v>50</v>
      </c>
      <c r="J117">
        <v>14.999454498</v>
      </c>
      <c r="K117">
        <v>1200</v>
      </c>
      <c r="L117">
        <v>0</v>
      </c>
      <c r="M117">
        <v>0</v>
      </c>
      <c r="N117">
        <v>1200</v>
      </c>
    </row>
    <row r="118" spans="1:14" x14ac:dyDescent="0.25">
      <c r="A118">
        <v>15.459216</v>
      </c>
      <c r="B118" s="1">
        <f>DATE(2010,5,16) + TIME(11,1,16)</f>
        <v>40314.45921296296</v>
      </c>
      <c r="C118">
        <v>1395.2183838000001</v>
      </c>
      <c r="D118">
        <v>1379.9074707</v>
      </c>
      <c r="E118">
        <v>1313.378418</v>
      </c>
      <c r="F118">
        <v>1306.4981689000001</v>
      </c>
      <c r="G118">
        <v>80</v>
      </c>
      <c r="H118">
        <v>79.309341431000007</v>
      </c>
      <c r="I118">
        <v>50</v>
      </c>
      <c r="J118">
        <v>14.99946022</v>
      </c>
      <c r="K118">
        <v>1200</v>
      </c>
      <c r="L118">
        <v>0</v>
      </c>
      <c r="M118">
        <v>0</v>
      </c>
      <c r="N118">
        <v>1200</v>
      </c>
    </row>
    <row r="119" spans="1:14" x14ac:dyDescent="0.25">
      <c r="A119">
        <v>15.812367999999999</v>
      </c>
      <c r="B119" s="1">
        <f>DATE(2010,5,16) + TIME(19,29,48)</f>
        <v>40314.812361111108</v>
      </c>
      <c r="C119">
        <v>1395.0786132999999</v>
      </c>
      <c r="D119">
        <v>1379.7740478999999</v>
      </c>
      <c r="E119">
        <v>1313.3786620999999</v>
      </c>
      <c r="F119">
        <v>1306.4982910000001</v>
      </c>
      <c r="G119">
        <v>80</v>
      </c>
      <c r="H119">
        <v>79.326301575000002</v>
      </c>
      <c r="I119">
        <v>50</v>
      </c>
      <c r="J119">
        <v>14.999465942</v>
      </c>
      <c r="K119">
        <v>1200</v>
      </c>
      <c r="L119">
        <v>0</v>
      </c>
      <c r="M119">
        <v>0</v>
      </c>
      <c r="N119">
        <v>1200</v>
      </c>
    </row>
    <row r="120" spans="1:14" x14ac:dyDescent="0.25">
      <c r="A120">
        <v>16.176445000000001</v>
      </c>
      <c r="B120" s="1">
        <f>DATE(2010,5,17) + TIME(4,14,4)</f>
        <v>40315.176435185182</v>
      </c>
      <c r="C120">
        <v>1394.9377440999999</v>
      </c>
      <c r="D120">
        <v>1379.6395264</v>
      </c>
      <c r="E120">
        <v>1313.3789062000001</v>
      </c>
      <c r="F120">
        <v>1306.4984131000001</v>
      </c>
      <c r="G120">
        <v>80</v>
      </c>
      <c r="H120">
        <v>79.341583252000007</v>
      </c>
      <c r="I120">
        <v>50</v>
      </c>
      <c r="J120">
        <v>14.999471664</v>
      </c>
      <c r="K120">
        <v>1200</v>
      </c>
      <c r="L120">
        <v>0</v>
      </c>
      <c r="M120">
        <v>0</v>
      </c>
      <c r="N120">
        <v>1200</v>
      </c>
    </row>
    <row r="121" spans="1:14" x14ac:dyDescent="0.25">
      <c r="A121">
        <v>16.552008000000001</v>
      </c>
      <c r="B121" s="1">
        <f>DATE(2010,5,17) + TIME(13,14,53)</f>
        <v>40315.552002314813</v>
      </c>
      <c r="C121">
        <v>1394.7957764</v>
      </c>
      <c r="D121">
        <v>1379.5039062000001</v>
      </c>
      <c r="E121">
        <v>1313.3791504000001</v>
      </c>
      <c r="F121">
        <v>1306.4984131000001</v>
      </c>
      <c r="G121">
        <v>80</v>
      </c>
      <c r="H121">
        <v>79.355323791999993</v>
      </c>
      <c r="I121">
        <v>50</v>
      </c>
      <c r="J121">
        <v>14.99947834</v>
      </c>
      <c r="K121">
        <v>1200</v>
      </c>
      <c r="L121">
        <v>0</v>
      </c>
      <c r="M121">
        <v>0</v>
      </c>
      <c r="N121">
        <v>1200</v>
      </c>
    </row>
    <row r="122" spans="1:14" x14ac:dyDescent="0.25">
      <c r="A122">
        <v>16.741623000000001</v>
      </c>
      <c r="B122" s="1">
        <f>DATE(2010,5,17) + TIME(17,47,56)</f>
        <v>40315.741620370369</v>
      </c>
      <c r="C122">
        <v>1394.6533202999999</v>
      </c>
      <c r="D122">
        <v>1379.3659668</v>
      </c>
      <c r="E122">
        <v>1313.3791504000001</v>
      </c>
      <c r="F122">
        <v>1306.4982910000001</v>
      </c>
      <c r="G122">
        <v>80</v>
      </c>
      <c r="H122">
        <v>79.361762999999996</v>
      </c>
      <c r="I122">
        <v>50</v>
      </c>
      <c r="J122">
        <v>14.999481201</v>
      </c>
      <c r="K122">
        <v>1200</v>
      </c>
      <c r="L122">
        <v>0</v>
      </c>
      <c r="M122">
        <v>0</v>
      </c>
      <c r="N122">
        <v>1200</v>
      </c>
    </row>
    <row r="123" spans="1:14" x14ac:dyDescent="0.25">
      <c r="A123">
        <v>16.931239000000001</v>
      </c>
      <c r="B123" s="1">
        <f>DATE(2010,5,17) + TIME(22,20,59)</f>
        <v>40315.931238425925</v>
      </c>
      <c r="C123">
        <v>1394.5808105000001</v>
      </c>
      <c r="D123">
        <v>1379.2967529</v>
      </c>
      <c r="E123">
        <v>1313.3789062000001</v>
      </c>
      <c r="F123">
        <v>1306.4980469</v>
      </c>
      <c r="G123">
        <v>80</v>
      </c>
      <c r="H123">
        <v>79.367774963000002</v>
      </c>
      <c r="I123">
        <v>50</v>
      </c>
      <c r="J123">
        <v>14.999484062000001</v>
      </c>
      <c r="K123">
        <v>1200</v>
      </c>
      <c r="L123">
        <v>0</v>
      </c>
      <c r="M123">
        <v>0</v>
      </c>
      <c r="N123">
        <v>1200</v>
      </c>
    </row>
    <row r="124" spans="1:14" x14ac:dyDescent="0.25">
      <c r="A124">
        <v>17.310471</v>
      </c>
      <c r="B124" s="1">
        <f>DATE(2010,5,18) + TIME(7,27,4)</f>
        <v>40316.31046296296</v>
      </c>
      <c r="C124">
        <v>1394.5104980000001</v>
      </c>
      <c r="D124">
        <v>1379.230957</v>
      </c>
      <c r="E124">
        <v>1313.3792725000001</v>
      </c>
      <c r="F124">
        <v>1306.4982910000001</v>
      </c>
      <c r="G124">
        <v>80</v>
      </c>
      <c r="H124">
        <v>79.378288268999995</v>
      </c>
      <c r="I124">
        <v>50</v>
      </c>
      <c r="J124">
        <v>14.999490738</v>
      </c>
      <c r="K124">
        <v>1200</v>
      </c>
      <c r="L124">
        <v>0</v>
      </c>
      <c r="M124">
        <v>0</v>
      </c>
      <c r="N124">
        <v>1200</v>
      </c>
    </row>
    <row r="125" spans="1:14" x14ac:dyDescent="0.25">
      <c r="A125">
        <v>17.689820000000001</v>
      </c>
      <c r="B125" s="1">
        <f>DATE(2010,5,18) + TIME(16,33,20)</f>
        <v>40316.689814814818</v>
      </c>
      <c r="C125">
        <v>1394.3728027</v>
      </c>
      <c r="D125">
        <v>1379.0993652</v>
      </c>
      <c r="E125">
        <v>1313.3797606999999</v>
      </c>
      <c r="F125">
        <v>1306.4986572</v>
      </c>
      <c r="G125">
        <v>80</v>
      </c>
      <c r="H125">
        <v>79.387489318999997</v>
      </c>
      <c r="I125">
        <v>50</v>
      </c>
      <c r="J125">
        <v>14.99949646</v>
      </c>
      <c r="K125">
        <v>1200</v>
      </c>
      <c r="L125">
        <v>0</v>
      </c>
      <c r="M125">
        <v>0</v>
      </c>
      <c r="N125">
        <v>1200</v>
      </c>
    </row>
    <row r="126" spans="1:14" x14ac:dyDescent="0.25">
      <c r="A126">
        <v>18.070180000000001</v>
      </c>
      <c r="B126" s="1">
        <f>DATE(2010,5,19) + TIME(1,41,3)</f>
        <v>40317.070173611108</v>
      </c>
      <c r="C126">
        <v>1394.2374268000001</v>
      </c>
      <c r="D126">
        <v>1378.9699707</v>
      </c>
      <c r="E126">
        <v>1313.3800048999999</v>
      </c>
      <c r="F126">
        <v>1306.4986572</v>
      </c>
      <c r="G126">
        <v>80</v>
      </c>
      <c r="H126">
        <v>79.395568847999996</v>
      </c>
      <c r="I126">
        <v>50</v>
      </c>
      <c r="J126">
        <v>14.999502182000001</v>
      </c>
      <c r="K126">
        <v>1200</v>
      </c>
      <c r="L126">
        <v>0</v>
      </c>
      <c r="M126">
        <v>0</v>
      </c>
      <c r="N126">
        <v>1200</v>
      </c>
    </row>
    <row r="127" spans="1:14" x14ac:dyDescent="0.25">
      <c r="A127">
        <v>18.45214</v>
      </c>
      <c r="B127" s="1">
        <f>DATE(2010,5,19) + TIME(10,51,4)</f>
        <v>40317.45212962963</v>
      </c>
      <c r="C127">
        <v>1394.1044922000001</v>
      </c>
      <c r="D127">
        <v>1378.8427733999999</v>
      </c>
      <c r="E127">
        <v>1313.380249</v>
      </c>
      <c r="F127">
        <v>1306.4987793</v>
      </c>
      <c r="G127">
        <v>80</v>
      </c>
      <c r="H127">
        <v>79.402694702000005</v>
      </c>
      <c r="I127">
        <v>50</v>
      </c>
      <c r="J127">
        <v>14.999506950000001</v>
      </c>
      <c r="K127">
        <v>1200</v>
      </c>
      <c r="L127">
        <v>0</v>
      </c>
      <c r="M127">
        <v>0</v>
      </c>
      <c r="N127">
        <v>1200</v>
      </c>
    </row>
    <row r="128" spans="1:14" x14ac:dyDescent="0.25">
      <c r="A128">
        <v>18.836297999999999</v>
      </c>
      <c r="B128" s="1">
        <f>DATE(2010,5,19) + TIME(20,4,16)</f>
        <v>40317.836296296293</v>
      </c>
      <c r="C128">
        <v>1393.9736327999999</v>
      </c>
      <c r="D128">
        <v>1378.7177733999999</v>
      </c>
      <c r="E128">
        <v>1313.3803711</v>
      </c>
      <c r="F128">
        <v>1306.4987793</v>
      </c>
      <c r="G128">
        <v>80</v>
      </c>
      <c r="H128">
        <v>79.408996582</v>
      </c>
      <c r="I128">
        <v>50</v>
      </c>
      <c r="J128">
        <v>14.999512672</v>
      </c>
      <c r="K128">
        <v>1200</v>
      </c>
      <c r="L128">
        <v>0</v>
      </c>
      <c r="M128">
        <v>0</v>
      </c>
      <c r="N128">
        <v>1200</v>
      </c>
    </row>
    <row r="129" spans="1:14" x14ac:dyDescent="0.25">
      <c r="A129">
        <v>19.223215</v>
      </c>
      <c r="B129" s="1">
        <f>DATE(2010,5,20) + TIME(5,21,25)</f>
        <v>40318.22320601852</v>
      </c>
      <c r="C129">
        <v>1393.8446045000001</v>
      </c>
      <c r="D129">
        <v>1378.5946045000001</v>
      </c>
      <c r="E129">
        <v>1313.3806152</v>
      </c>
      <c r="F129">
        <v>1306.4989014</v>
      </c>
      <c r="G129">
        <v>80</v>
      </c>
      <c r="H129">
        <v>79.414581299000005</v>
      </c>
      <c r="I129">
        <v>50</v>
      </c>
      <c r="J129">
        <v>14.999518394000001</v>
      </c>
      <c r="K129">
        <v>1200</v>
      </c>
      <c r="L129">
        <v>0</v>
      </c>
      <c r="M129">
        <v>0</v>
      </c>
      <c r="N129">
        <v>1200</v>
      </c>
    </row>
    <row r="130" spans="1:14" x14ac:dyDescent="0.25">
      <c r="A130">
        <v>19.613457</v>
      </c>
      <c r="B130" s="1">
        <f>DATE(2010,5,20) + TIME(14,43,22)</f>
        <v>40318.613449074073</v>
      </c>
      <c r="C130">
        <v>1393.7174072</v>
      </c>
      <c r="D130">
        <v>1378.4730225000001</v>
      </c>
      <c r="E130">
        <v>1313.3808594</v>
      </c>
      <c r="F130">
        <v>1306.4989014</v>
      </c>
      <c r="G130">
        <v>80</v>
      </c>
      <c r="H130">
        <v>79.419555664000001</v>
      </c>
      <c r="I130">
        <v>50</v>
      </c>
      <c r="J130">
        <v>14.999524117</v>
      </c>
      <c r="K130">
        <v>1200</v>
      </c>
      <c r="L130">
        <v>0</v>
      </c>
      <c r="M130">
        <v>0</v>
      </c>
      <c r="N130">
        <v>1200</v>
      </c>
    </row>
    <row r="131" spans="1:14" x14ac:dyDescent="0.25">
      <c r="A131">
        <v>20.007591000000001</v>
      </c>
      <c r="B131" s="1">
        <f>DATE(2010,5,21) + TIME(0,10,55)</f>
        <v>40319.007581018515</v>
      </c>
      <c r="C131">
        <v>1393.5914307</v>
      </c>
      <c r="D131">
        <v>1378.3529053</v>
      </c>
      <c r="E131">
        <v>1313.3809814000001</v>
      </c>
      <c r="F131">
        <v>1306.4989014</v>
      </c>
      <c r="G131">
        <v>80</v>
      </c>
      <c r="H131">
        <v>79.423988342000001</v>
      </c>
      <c r="I131">
        <v>50</v>
      </c>
      <c r="J131">
        <v>14.999528885</v>
      </c>
      <c r="K131">
        <v>1200</v>
      </c>
      <c r="L131">
        <v>0</v>
      </c>
      <c r="M131">
        <v>0</v>
      </c>
      <c r="N131">
        <v>1200</v>
      </c>
    </row>
    <row r="132" spans="1:14" x14ac:dyDescent="0.25">
      <c r="A132">
        <v>20.406202</v>
      </c>
      <c r="B132" s="1">
        <f>DATE(2010,5,21) + TIME(9,44,55)</f>
        <v>40319.406192129631</v>
      </c>
      <c r="C132">
        <v>1393.4667969</v>
      </c>
      <c r="D132">
        <v>1378.2338867000001</v>
      </c>
      <c r="E132">
        <v>1313.3812256000001</v>
      </c>
      <c r="F132">
        <v>1306.4990233999999</v>
      </c>
      <c r="G132">
        <v>80</v>
      </c>
      <c r="H132">
        <v>79.427955627000003</v>
      </c>
      <c r="I132">
        <v>50</v>
      </c>
      <c r="J132">
        <v>14.999534606999999</v>
      </c>
      <c r="K132">
        <v>1200</v>
      </c>
      <c r="L132">
        <v>0</v>
      </c>
      <c r="M132">
        <v>0</v>
      </c>
      <c r="N132">
        <v>1200</v>
      </c>
    </row>
    <row r="133" spans="1:14" x14ac:dyDescent="0.25">
      <c r="A133">
        <v>20.809889999999999</v>
      </c>
      <c r="B133" s="1">
        <f>DATE(2010,5,21) + TIME(19,26,14)</f>
        <v>40319.809884259259</v>
      </c>
      <c r="C133">
        <v>1393.3431396000001</v>
      </c>
      <c r="D133">
        <v>1378.1159668</v>
      </c>
      <c r="E133">
        <v>1313.3814697</v>
      </c>
      <c r="F133">
        <v>1306.4990233999999</v>
      </c>
      <c r="G133">
        <v>80</v>
      </c>
      <c r="H133">
        <v>79.431526184000006</v>
      </c>
      <c r="I133">
        <v>50</v>
      </c>
      <c r="J133">
        <v>14.999539374999999</v>
      </c>
      <c r="K133">
        <v>1200</v>
      </c>
      <c r="L133">
        <v>0</v>
      </c>
      <c r="M133">
        <v>0</v>
      </c>
      <c r="N133">
        <v>1200</v>
      </c>
    </row>
    <row r="134" spans="1:14" x14ac:dyDescent="0.25">
      <c r="A134">
        <v>21.219282</v>
      </c>
      <c r="B134" s="1">
        <f>DATE(2010,5,22) + TIME(5,15,45)</f>
        <v>40320.219270833331</v>
      </c>
      <c r="C134">
        <v>1393.2202147999999</v>
      </c>
      <c r="D134">
        <v>1377.9989014</v>
      </c>
      <c r="E134">
        <v>1313.3815918</v>
      </c>
      <c r="F134">
        <v>1306.4990233999999</v>
      </c>
      <c r="G134">
        <v>80</v>
      </c>
      <c r="H134">
        <v>79.434738159000005</v>
      </c>
      <c r="I134">
        <v>50</v>
      </c>
      <c r="J134">
        <v>14.999545097</v>
      </c>
      <c r="K134">
        <v>1200</v>
      </c>
      <c r="L134">
        <v>0</v>
      </c>
      <c r="M134">
        <v>0</v>
      </c>
      <c r="N134">
        <v>1200</v>
      </c>
    </row>
    <row r="135" spans="1:14" x14ac:dyDescent="0.25">
      <c r="A135">
        <v>21.635031999999999</v>
      </c>
      <c r="B135" s="1">
        <f>DATE(2010,5,22) + TIME(15,14,26)</f>
        <v>40320.635023148148</v>
      </c>
      <c r="C135">
        <v>1393.0980225000001</v>
      </c>
      <c r="D135">
        <v>1377.8824463000001</v>
      </c>
      <c r="E135">
        <v>1313.3818358999999</v>
      </c>
      <c r="F135">
        <v>1306.4991454999999</v>
      </c>
      <c r="G135">
        <v>80</v>
      </c>
      <c r="H135">
        <v>79.437644958000007</v>
      </c>
      <c r="I135">
        <v>50</v>
      </c>
      <c r="J135">
        <v>14.999550819</v>
      </c>
      <c r="K135">
        <v>1200</v>
      </c>
      <c r="L135">
        <v>0</v>
      </c>
      <c r="M135">
        <v>0</v>
      </c>
      <c r="N135">
        <v>1200</v>
      </c>
    </row>
    <row r="136" spans="1:14" x14ac:dyDescent="0.25">
      <c r="A136">
        <v>22.057931</v>
      </c>
      <c r="B136" s="1">
        <f>DATE(2010,5,23) + TIME(1,23,25)</f>
        <v>40321.057928240742</v>
      </c>
      <c r="C136">
        <v>1392.9761963000001</v>
      </c>
      <c r="D136">
        <v>1377.7664795000001</v>
      </c>
      <c r="E136">
        <v>1313.3819579999999</v>
      </c>
      <c r="F136">
        <v>1306.4991454999999</v>
      </c>
      <c r="G136">
        <v>80</v>
      </c>
      <c r="H136">
        <v>79.440284728999998</v>
      </c>
      <c r="I136">
        <v>50</v>
      </c>
      <c r="J136">
        <v>14.999555588</v>
      </c>
      <c r="K136">
        <v>1200</v>
      </c>
      <c r="L136">
        <v>0</v>
      </c>
      <c r="M136">
        <v>0</v>
      </c>
      <c r="N136">
        <v>1200</v>
      </c>
    </row>
    <row r="137" spans="1:14" x14ac:dyDescent="0.25">
      <c r="A137">
        <v>22.488720000000001</v>
      </c>
      <c r="B137" s="1">
        <f>DATE(2010,5,23) + TIME(11,43,45)</f>
        <v>40321.488715277781</v>
      </c>
      <c r="C137">
        <v>1392.8544922000001</v>
      </c>
      <c r="D137">
        <v>1377.6508789</v>
      </c>
      <c r="E137">
        <v>1313.3822021000001</v>
      </c>
      <c r="F137">
        <v>1306.4991454999999</v>
      </c>
      <c r="G137">
        <v>80</v>
      </c>
      <c r="H137">
        <v>79.442687988000003</v>
      </c>
      <c r="I137">
        <v>50</v>
      </c>
      <c r="J137">
        <v>14.999561310000001</v>
      </c>
      <c r="K137">
        <v>1200</v>
      </c>
      <c r="L137">
        <v>0</v>
      </c>
      <c r="M137">
        <v>0</v>
      </c>
      <c r="N137">
        <v>1200</v>
      </c>
    </row>
    <row r="138" spans="1:14" x14ac:dyDescent="0.25">
      <c r="A138">
        <v>22.928103</v>
      </c>
      <c r="B138" s="1">
        <f>DATE(2010,5,23) + TIME(22,16,28)</f>
        <v>40321.928101851852</v>
      </c>
      <c r="C138">
        <v>1392.7330322</v>
      </c>
      <c r="D138">
        <v>1377.5354004000001</v>
      </c>
      <c r="E138">
        <v>1313.3824463000001</v>
      </c>
      <c r="F138">
        <v>1306.4991454999999</v>
      </c>
      <c r="G138">
        <v>80</v>
      </c>
      <c r="H138">
        <v>79.444892882999994</v>
      </c>
      <c r="I138">
        <v>50</v>
      </c>
      <c r="J138">
        <v>14.999566078000001</v>
      </c>
      <c r="K138">
        <v>1200</v>
      </c>
      <c r="L138">
        <v>0</v>
      </c>
      <c r="M138">
        <v>0</v>
      </c>
      <c r="N138">
        <v>1200</v>
      </c>
    </row>
    <row r="139" spans="1:14" x14ac:dyDescent="0.25">
      <c r="A139">
        <v>23.376936000000001</v>
      </c>
      <c r="B139" s="1">
        <f>DATE(2010,5,24) + TIME(9,2,47)</f>
        <v>40322.376932870371</v>
      </c>
      <c r="C139">
        <v>1392.6113281</v>
      </c>
      <c r="D139">
        <v>1377.4197998</v>
      </c>
      <c r="E139">
        <v>1313.3825684000001</v>
      </c>
      <c r="F139">
        <v>1306.4991454999999</v>
      </c>
      <c r="G139">
        <v>80</v>
      </c>
      <c r="H139">
        <v>79.446922302000004</v>
      </c>
      <c r="I139">
        <v>50</v>
      </c>
      <c r="J139">
        <v>14.9995718</v>
      </c>
      <c r="K139">
        <v>1200</v>
      </c>
      <c r="L139">
        <v>0</v>
      </c>
      <c r="M139">
        <v>0</v>
      </c>
      <c r="N139">
        <v>1200</v>
      </c>
    </row>
    <row r="140" spans="1:14" x14ac:dyDescent="0.25">
      <c r="A140">
        <v>23.836171</v>
      </c>
      <c r="B140" s="1">
        <f>DATE(2010,5,24) + TIME(20,4,5)</f>
        <v>40322.836168981485</v>
      </c>
      <c r="C140">
        <v>1392.4893798999999</v>
      </c>
      <c r="D140">
        <v>1377.3040771000001</v>
      </c>
      <c r="E140">
        <v>1313.3828125</v>
      </c>
      <c r="F140">
        <v>1306.4992675999999</v>
      </c>
      <c r="G140">
        <v>80</v>
      </c>
      <c r="H140">
        <v>79.448799132999994</v>
      </c>
      <c r="I140">
        <v>50</v>
      </c>
      <c r="J140">
        <v>14.999576569</v>
      </c>
      <c r="K140">
        <v>1200</v>
      </c>
      <c r="L140">
        <v>0</v>
      </c>
      <c r="M140">
        <v>0</v>
      </c>
      <c r="N140">
        <v>1200</v>
      </c>
    </row>
    <row r="141" spans="1:14" x14ac:dyDescent="0.25">
      <c r="A141">
        <v>24.306871000000001</v>
      </c>
      <c r="B141" s="1">
        <f>DATE(2010,5,25) + TIME(7,21,53)</f>
        <v>40323.306863425925</v>
      </c>
      <c r="C141">
        <v>1392.3669434000001</v>
      </c>
      <c r="D141">
        <v>1377.1878661999999</v>
      </c>
      <c r="E141">
        <v>1313.3829346</v>
      </c>
      <c r="F141">
        <v>1306.4992675999999</v>
      </c>
      <c r="G141">
        <v>80</v>
      </c>
      <c r="H141">
        <v>79.450538635000001</v>
      </c>
      <c r="I141">
        <v>50</v>
      </c>
      <c r="J141">
        <v>14.999582290999999</v>
      </c>
      <c r="K141">
        <v>1200</v>
      </c>
      <c r="L141">
        <v>0</v>
      </c>
      <c r="M141">
        <v>0</v>
      </c>
      <c r="N141">
        <v>1200</v>
      </c>
    </row>
    <row r="142" spans="1:14" x14ac:dyDescent="0.25">
      <c r="A142">
        <v>24.789072000000001</v>
      </c>
      <c r="B142" s="1">
        <f>DATE(2010,5,25) + TIME(18,56,15)</f>
        <v>40323.7890625</v>
      </c>
      <c r="C142">
        <v>1392.2437743999999</v>
      </c>
      <c r="D142">
        <v>1377.0711670000001</v>
      </c>
      <c r="E142">
        <v>1313.3831786999999</v>
      </c>
      <c r="F142">
        <v>1306.4992675999999</v>
      </c>
      <c r="G142">
        <v>80</v>
      </c>
      <c r="H142">
        <v>79.452163696</v>
      </c>
      <c r="I142">
        <v>50</v>
      </c>
      <c r="J142">
        <v>14.999588013</v>
      </c>
      <c r="K142">
        <v>1200</v>
      </c>
      <c r="L142">
        <v>0</v>
      </c>
      <c r="M142">
        <v>0</v>
      </c>
      <c r="N142">
        <v>1200</v>
      </c>
    </row>
    <row r="143" spans="1:14" x14ac:dyDescent="0.25">
      <c r="A143">
        <v>25.283498999999999</v>
      </c>
      <c r="B143" s="1">
        <f>DATE(2010,5,26) + TIME(6,48,14)</f>
        <v>40324.283495370371</v>
      </c>
      <c r="C143">
        <v>1392.1201172000001</v>
      </c>
      <c r="D143">
        <v>1376.9539795000001</v>
      </c>
      <c r="E143">
        <v>1313.3834228999999</v>
      </c>
      <c r="F143">
        <v>1306.4992675999999</v>
      </c>
      <c r="G143">
        <v>80</v>
      </c>
      <c r="H143">
        <v>79.453689574999999</v>
      </c>
      <c r="I143">
        <v>50</v>
      </c>
      <c r="J143">
        <v>14.999592781</v>
      </c>
      <c r="K143">
        <v>1200</v>
      </c>
      <c r="L143">
        <v>0</v>
      </c>
      <c r="M143">
        <v>0</v>
      </c>
      <c r="N143">
        <v>1200</v>
      </c>
    </row>
    <row r="144" spans="1:14" x14ac:dyDescent="0.25">
      <c r="A144">
        <v>25.536104999999999</v>
      </c>
      <c r="B144" s="1">
        <f>DATE(2010,5,26) + TIME(12,51,59)</f>
        <v>40324.536099537036</v>
      </c>
      <c r="C144">
        <v>1391.994751</v>
      </c>
      <c r="D144">
        <v>1376.8348389</v>
      </c>
      <c r="E144">
        <v>1313.3834228999999</v>
      </c>
      <c r="F144">
        <v>1306.4990233999999</v>
      </c>
      <c r="G144">
        <v>80</v>
      </c>
      <c r="H144">
        <v>79.454406738000003</v>
      </c>
      <c r="I144">
        <v>50</v>
      </c>
      <c r="J144">
        <v>14.999595641999999</v>
      </c>
      <c r="K144">
        <v>1200</v>
      </c>
      <c r="L144">
        <v>0</v>
      </c>
      <c r="M144">
        <v>0</v>
      </c>
      <c r="N144">
        <v>1200</v>
      </c>
    </row>
    <row r="145" spans="1:14" x14ac:dyDescent="0.25">
      <c r="A145">
        <v>25.788709999999998</v>
      </c>
      <c r="B145" s="1">
        <f>DATE(2010,5,26) + TIME(18,55,44)</f>
        <v>40324.788703703707</v>
      </c>
      <c r="C145">
        <v>1391.9309082</v>
      </c>
      <c r="D145">
        <v>1376.7744141000001</v>
      </c>
      <c r="E145">
        <v>1313.3830565999999</v>
      </c>
      <c r="F145">
        <v>1306.4986572</v>
      </c>
      <c r="G145">
        <v>80</v>
      </c>
      <c r="H145">
        <v>79.455108643000003</v>
      </c>
      <c r="I145">
        <v>50</v>
      </c>
      <c r="J145">
        <v>14.999598503</v>
      </c>
      <c r="K145">
        <v>1200</v>
      </c>
      <c r="L145">
        <v>0</v>
      </c>
      <c r="M145">
        <v>0</v>
      </c>
      <c r="N145">
        <v>1200</v>
      </c>
    </row>
    <row r="146" spans="1:14" x14ac:dyDescent="0.25">
      <c r="A146">
        <v>26.041315999999998</v>
      </c>
      <c r="B146" s="1">
        <f>DATE(2010,5,27) + TIME(0,59,29)</f>
        <v>40325.041307870371</v>
      </c>
      <c r="C146">
        <v>1391.8686522999999</v>
      </c>
      <c r="D146">
        <v>1376.7154541</v>
      </c>
      <c r="E146">
        <v>1313.3830565999999</v>
      </c>
      <c r="F146">
        <v>1306.4985352000001</v>
      </c>
      <c r="G146">
        <v>80</v>
      </c>
      <c r="H146">
        <v>79.455780028999996</v>
      </c>
      <c r="I146">
        <v>50</v>
      </c>
      <c r="J146">
        <v>14.999601364</v>
      </c>
      <c r="K146">
        <v>1200</v>
      </c>
      <c r="L146">
        <v>0</v>
      </c>
      <c r="M146">
        <v>0</v>
      </c>
      <c r="N146">
        <v>1200</v>
      </c>
    </row>
    <row r="147" spans="1:14" x14ac:dyDescent="0.25">
      <c r="A147">
        <v>26.293921999999998</v>
      </c>
      <c r="B147" s="1">
        <f>DATE(2010,5,27) + TIME(7,3,14)</f>
        <v>40325.293912037036</v>
      </c>
      <c r="C147">
        <v>1391.8070068</v>
      </c>
      <c r="D147">
        <v>1376.6572266000001</v>
      </c>
      <c r="E147">
        <v>1313.3830565999999</v>
      </c>
      <c r="F147">
        <v>1306.4984131000001</v>
      </c>
      <c r="G147">
        <v>80</v>
      </c>
      <c r="H147">
        <v>79.456428528000004</v>
      </c>
      <c r="I147">
        <v>50</v>
      </c>
      <c r="J147">
        <v>14.999604225000001</v>
      </c>
      <c r="K147">
        <v>1200</v>
      </c>
      <c r="L147">
        <v>0</v>
      </c>
      <c r="M147">
        <v>0</v>
      </c>
      <c r="N147">
        <v>1200</v>
      </c>
    </row>
    <row r="148" spans="1:14" x14ac:dyDescent="0.25">
      <c r="A148">
        <v>26.546527999999999</v>
      </c>
      <c r="B148" s="1">
        <f>DATE(2010,5,27) + TIME(13,6,59)</f>
        <v>40325.546516203707</v>
      </c>
      <c r="C148">
        <v>1391.7460937999999</v>
      </c>
      <c r="D148">
        <v>1376.5996094</v>
      </c>
      <c r="E148">
        <v>1313.3831786999999</v>
      </c>
      <c r="F148">
        <v>1306.4984131000001</v>
      </c>
      <c r="G148">
        <v>80</v>
      </c>
      <c r="H148">
        <v>79.457046508999994</v>
      </c>
      <c r="I148">
        <v>50</v>
      </c>
      <c r="J148">
        <v>14.999607085999999</v>
      </c>
      <c r="K148">
        <v>1200</v>
      </c>
      <c r="L148">
        <v>0</v>
      </c>
      <c r="M148">
        <v>0</v>
      </c>
      <c r="N148">
        <v>1200</v>
      </c>
    </row>
    <row r="149" spans="1:14" x14ac:dyDescent="0.25">
      <c r="A149">
        <v>26.799133999999999</v>
      </c>
      <c r="B149" s="1">
        <f>DATE(2010,5,27) + TIME(19,10,45)</f>
        <v>40325.799131944441</v>
      </c>
      <c r="C149">
        <v>1391.6857910000001</v>
      </c>
      <c r="D149">
        <v>1376.5426024999999</v>
      </c>
      <c r="E149">
        <v>1313.3833007999999</v>
      </c>
      <c r="F149">
        <v>1306.4984131000001</v>
      </c>
      <c r="G149">
        <v>80</v>
      </c>
      <c r="H149">
        <v>79.457649231000005</v>
      </c>
      <c r="I149">
        <v>50</v>
      </c>
      <c r="J149">
        <v>14.999609947</v>
      </c>
      <c r="K149">
        <v>1200</v>
      </c>
      <c r="L149">
        <v>0</v>
      </c>
      <c r="M149">
        <v>0</v>
      </c>
      <c r="N149">
        <v>1200</v>
      </c>
    </row>
    <row r="150" spans="1:14" x14ac:dyDescent="0.25">
      <c r="A150">
        <v>27.304345000000001</v>
      </c>
      <c r="B150" s="1">
        <f>DATE(2010,5,28) + TIME(7,18,15)</f>
        <v>40326.304340277777</v>
      </c>
      <c r="C150">
        <v>1391.6274414</v>
      </c>
      <c r="D150">
        <v>1376.487793</v>
      </c>
      <c r="E150">
        <v>1313.3837891000001</v>
      </c>
      <c r="F150">
        <v>1306.4987793</v>
      </c>
      <c r="G150">
        <v>80</v>
      </c>
      <c r="H150">
        <v>79.458808899000005</v>
      </c>
      <c r="I150">
        <v>50</v>
      </c>
      <c r="J150">
        <v>14.999615669000001</v>
      </c>
      <c r="K150">
        <v>1200</v>
      </c>
      <c r="L150">
        <v>0</v>
      </c>
      <c r="M150">
        <v>0</v>
      </c>
      <c r="N150">
        <v>1200</v>
      </c>
    </row>
    <row r="151" spans="1:14" x14ac:dyDescent="0.25">
      <c r="A151">
        <v>27.810138999999999</v>
      </c>
      <c r="B151" s="1">
        <f>DATE(2010,5,28) + TIME(19,26,36)</f>
        <v>40326.81013888889</v>
      </c>
      <c r="C151">
        <v>1391.5100098</v>
      </c>
      <c r="D151">
        <v>1376.3771973</v>
      </c>
      <c r="E151">
        <v>1313.3841553</v>
      </c>
      <c r="F151">
        <v>1306.4990233999999</v>
      </c>
      <c r="G151">
        <v>80</v>
      </c>
      <c r="H151">
        <v>79.459892272999994</v>
      </c>
      <c r="I151">
        <v>50</v>
      </c>
      <c r="J151">
        <v>14.999620438000001</v>
      </c>
      <c r="K151">
        <v>1200</v>
      </c>
      <c r="L151">
        <v>0</v>
      </c>
      <c r="M151">
        <v>0</v>
      </c>
      <c r="N151">
        <v>1200</v>
      </c>
    </row>
    <row r="152" spans="1:14" x14ac:dyDescent="0.25">
      <c r="A152">
        <v>28.318382</v>
      </c>
      <c r="B152" s="1">
        <f>DATE(2010,5,29) + TIME(7,38,28)</f>
        <v>40327.318379629629</v>
      </c>
      <c r="C152">
        <v>1391.394043</v>
      </c>
      <c r="D152">
        <v>1376.2678223</v>
      </c>
      <c r="E152">
        <v>1313.3843993999999</v>
      </c>
      <c r="F152">
        <v>1306.4990233999999</v>
      </c>
      <c r="G152">
        <v>80</v>
      </c>
      <c r="H152">
        <v>79.460922241000006</v>
      </c>
      <c r="I152">
        <v>50</v>
      </c>
      <c r="J152">
        <v>14.999625205999999</v>
      </c>
      <c r="K152">
        <v>1200</v>
      </c>
      <c r="L152">
        <v>0</v>
      </c>
      <c r="M152">
        <v>0</v>
      </c>
      <c r="N152">
        <v>1200</v>
      </c>
    </row>
    <row r="153" spans="1:14" x14ac:dyDescent="0.25">
      <c r="A153">
        <v>28.829825</v>
      </c>
      <c r="B153" s="1">
        <f>DATE(2010,5,29) + TIME(19,54,56)</f>
        <v>40327.829814814817</v>
      </c>
      <c r="C153">
        <v>1391.2795410000001</v>
      </c>
      <c r="D153">
        <v>1376.1599120999999</v>
      </c>
      <c r="E153">
        <v>1313.3845214999999</v>
      </c>
      <c r="F153">
        <v>1306.4990233999999</v>
      </c>
      <c r="G153">
        <v>80</v>
      </c>
      <c r="H153">
        <v>79.461914062000005</v>
      </c>
      <c r="I153">
        <v>50</v>
      </c>
      <c r="J153">
        <v>14.999629973999999</v>
      </c>
      <c r="K153">
        <v>1200</v>
      </c>
      <c r="L153">
        <v>0</v>
      </c>
      <c r="M153">
        <v>0</v>
      </c>
      <c r="N153">
        <v>1200</v>
      </c>
    </row>
    <row r="154" spans="1:14" x14ac:dyDescent="0.25">
      <c r="A154">
        <v>29.345222</v>
      </c>
      <c r="B154" s="1">
        <f>DATE(2010,5,30) + TIME(8,17,7)</f>
        <v>40328.345219907409</v>
      </c>
      <c r="C154">
        <v>1391.1662598</v>
      </c>
      <c r="D154">
        <v>1376.0532227000001</v>
      </c>
      <c r="E154">
        <v>1313.3847656</v>
      </c>
      <c r="F154">
        <v>1306.4989014</v>
      </c>
      <c r="G154">
        <v>80</v>
      </c>
      <c r="H154">
        <v>79.462860106999997</v>
      </c>
      <c r="I154">
        <v>50</v>
      </c>
      <c r="J154">
        <v>14.999634743</v>
      </c>
      <c r="K154">
        <v>1200</v>
      </c>
      <c r="L154">
        <v>0</v>
      </c>
      <c r="M154">
        <v>0</v>
      </c>
      <c r="N154">
        <v>1200</v>
      </c>
    </row>
    <row r="155" spans="1:14" x14ac:dyDescent="0.25">
      <c r="A155">
        <v>29.865338999999999</v>
      </c>
      <c r="B155" s="1">
        <f>DATE(2010,5,30) + TIME(20,46,5)</f>
        <v>40328.865335648145</v>
      </c>
      <c r="C155">
        <v>1391.0541992000001</v>
      </c>
      <c r="D155">
        <v>1375.9477539</v>
      </c>
      <c r="E155">
        <v>1313.3848877</v>
      </c>
      <c r="F155">
        <v>1306.4989014</v>
      </c>
      <c r="G155">
        <v>80</v>
      </c>
      <c r="H155">
        <v>79.463783264</v>
      </c>
      <c r="I155">
        <v>50</v>
      </c>
      <c r="J155">
        <v>14.999639511</v>
      </c>
      <c r="K155">
        <v>1200</v>
      </c>
      <c r="L155">
        <v>0</v>
      </c>
      <c r="M155">
        <v>0</v>
      </c>
      <c r="N155">
        <v>1200</v>
      </c>
    </row>
    <row r="156" spans="1:14" x14ac:dyDescent="0.25">
      <c r="A156">
        <v>30.39096</v>
      </c>
      <c r="B156" s="1">
        <f>DATE(2010,5,31) + TIME(9,22,58)</f>
        <v>40329.390949074077</v>
      </c>
      <c r="C156">
        <v>1390.9428711</v>
      </c>
      <c r="D156">
        <v>1375.8431396000001</v>
      </c>
      <c r="E156">
        <v>1313.3850098</v>
      </c>
      <c r="F156">
        <v>1306.4987793</v>
      </c>
      <c r="G156">
        <v>80</v>
      </c>
      <c r="H156">
        <v>79.464675903</v>
      </c>
      <c r="I156">
        <v>50</v>
      </c>
      <c r="J156">
        <v>14.999645233000001</v>
      </c>
      <c r="K156">
        <v>1200</v>
      </c>
      <c r="L156">
        <v>0</v>
      </c>
      <c r="M156">
        <v>0</v>
      </c>
      <c r="N156">
        <v>1200</v>
      </c>
    </row>
    <row r="157" spans="1:14" x14ac:dyDescent="0.25">
      <c r="A157">
        <v>30.922896000000001</v>
      </c>
      <c r="B157" s="1">
        <f>DATE(2010,5,31) + TIME(22,8,58)</f>
        <v>40329.922893518517</v>
      </c>
      <c r="C157">
        <v>1390.8323975000001</v>
      </c>
      <c r="D157">
        <v>1375.7392577999999</v>
      </c>
      <c r="E157">
        <v>1313.3852539</v>
      </c>
      <c r="F157">
        <v>1306.4987793</v>
      </c>
      <c r="G157">
        <v>80</v>
      </c>
      <c r="H157">
        <v>79.465553283999995</v>
      </c>
      <c r="I157">
        <v>50</v>
      </c>
      <c r="J157">
        <v>14.999650001999999</v>
      </c>
      <c r="K157">
        <v>1200</v>
      </c>
      <c r="L157">
        <v>0</v>
      </c>
      <c r="M157">
        <v>0</v>
      </c>
      <c r="N157">
        <v>1200</v>
      </c>
    </row>
    <row r="158" spans="1:14" x14ac:dyDescent="0.25">
      <c r="A158">
        <v>31</v>
      </c>
      <c r="B158" s="1">
        <f>DATE(2010,6,1) + TIME(0,0,0)</f>
        <v>40330</v>
      </c>
      <c r="C158">
        <v>1390.7255858999999</v>
      </c>
      <c r="D158">
        <v>1375.6389160000001</v>
      </c>
      <c r="E158">
        <v>1313.3859863</v>
      </c>
      <c r="F158">
        <v>1306.4993896000001</v>
      </c>
      <c r="G158">
        <v>80</v>
      </c>
      <c r="H158">
        <v>79.465660095000004</v>
      </c>
      <c r="I158">
        <v>50</v>
      </c>
      <c r="J158">
        <v>14.999650955</v>
      </c>
      <c r="K158">
        <v>1200</v>
      </c>
      <c r="L158">
        <v>0</v>
      </c>
      <c r="M158">
        <v>0</v>
      </c>
      <c r="N158">
        <v>1200</v>
      </c>
    </row>
    <row r="159" spans="1:14" x14ac:dyDescent="0.25">
      <c r="A159">
        <v>31.539089000000001</v>
      </c>
      <c r="B159" s="1">
        <f>DATE(2010,6,1) + TIME(12,56,17)</f>
        <v>40330.539085648146</v>
      </c>
      <c r="C159">
        <v>1390.7059326000001</v>
      </c>
      <c r="D159">
        <v>1375.6204834</v>
      </c>
      <c r="E159">
        <v>1313.3851318</v>
      </c>
      <c r="F159">
        <v>1306.4985352000001</v>
      </c>
      <c r="G159">
        <v>80</v>
      </c>
      <c r="H159">
        <v>79.466537475999999</v>
      </c>
      <c r="I159">
        <v>50</v>
      </c>
      <c r="J159">
        <v>14.999655724</v>
      </c>
      <c r="K159">
        <v>1200</v>
      </c>
      <c r="L159">
        <v>0</v>
      </c>
      <c r="M159">
        <v>0</v>
      </c>
      <c r="N159">
        <v>1200</v>
      </c>
    </row>
    <row r="160" spans="1:14" x14ac:dyDescent="0.25">
      <c r="A160">
        <v>32.087547000000001</v>
      </c>
      <c r="B160" s="1">
        <f>DATE(2010,6,2) + TIME(2,6,4)</f>
        <v>40331.087546296294</v>
      </c>
      <c r="C160">
        <v>1390.5972899999999</v>
      </c>
      <c r="D160">
        <v>1375.5185547000001</v>
      </c>
      <c r="E160">
        <v>1313.3854980000001</v>
      </c>
      <c r="F160">
        <v>1306.4986572</v>
      </c>
      <c r="G160">
        <v>80</v>
      </c>
      <c r="H160">
        <v>79.467384338000002</v>
      </c>
      <c r="I160">
        <v>50</v>
      </c>
      <c r="J160">
        <v>14.999660492</v>
      </c>
      <c r="K160">
        <v>1200</v>
      </c>
      <c r="L160">
        <v>0</v>
      </c>
      <c r="M160">
        <v>0</v>
      </c>
      <c r="N160">
        <v>1200</v>
      </c>
    </row>
    <row r="161" spans="1:14" x14ac:dyDescent="0.25">
      <c r="A161">
        <v>32.645271999999999</v>
      </c>
      <c r="B161" s="1">
        <f>DATE(2010,6,2) + TIME(15,29,11)</f>
        <v>40331.645266203705</v>
      </c>
      <c r="C161">
        <v>1390.4880370999999</v>
      </c>
      <c r="D161">
        <v>1375.4161377</v>
      </c>
      <c r="E161">
        <v>1313.3857422000001</v>
      </c>
      <c r="F161">
        <v>1306.4985352000001</v>
      </c>
      <c r="G161">
        <v>80</v>
      </c>
      <c r="H161">
        <v>79.468231200999995</v>
      </c>
      <c r="I161">
        <v>50</v>
      </c>
      <c r="J161">
        <v>14.99966526</v>
      </c>
      <c r="K161">
        <v>1200</v>
      </c>
      <c r="L161">
        <v>0</v>
      </c>
      <c r="M161">
        <v>0</v>
      </c>
      <c r="N161">
        <v>1200</v>
      </c>
    </row>
    <row r="162" spans="1:14" x14ac:dyDescent="0.25">
      <c r="A162">
        <v>33.213123000000003</v>
      </c>
      <c r="B162" s="1">
        <f>DATE(2010,6,3) + TIME(5,6,53)</f>
        <v>40332.213113425925</v>
      </c>
      <c r="C162">
        <v>1390.3786620999999</v>
      </c>
      <c r="D162">
        <v>1375.3137207</v>
      </c>
      <c r="E162">
        <v>1313.3858643000001</v>
      </c>
      <c r="F162">
        <v>1306.4985352000001</v>
      </c>
      <c r="G162">
        <v>80</v>
      </c>
      <c r="H162">
        <v>79.469070435000006</v>
      </c>
      <c r="I162">
        <v>50</v>
      </c>
      <c r="J162">
        <v>14.999670029000001</v>
      </c>
      <c r="K162">
        <v>1200</v>
      </c>
      <c r="L162">
        <v>0</v>
      </c>
      <c r="M162">
        <v>0</v>
      </c>
      <c r="N162">
        <v>1200</v>
      </c>
    </row>
    <row r="163" spans="1:14" x14ac:dyDescent="0.25">
      <c r="A163">
        <v>33.792180000000002</v>
      </c>
      <c r="B163" s="1">
        <f>DATE(2010,6,3) + TIME(19,0,44)</f>
        <v>40332.792175925926</v>
      </c>
      <c r="C163">
        <v>1390.2691649999999</v>
      </c>
      <c r="D163">
        <v>1375.2113036999999</v>
      </c>
      <c r="E163">
        <v>1313.3861084</v>
      </c>
      <c r="F163">
        <v>1306.4984131000001</v>
      </c>
      <c r="G163">
        <v>80</v>
      </c>
      <c r="H163">
        <v>79.469909668</v>
      </c>
      <c r="I163">
        <v>50</v>
      </c>
      <c r="J163">
        <v>14.999674797000001</v>
      </c>
      <c r="K163">
        <v>1200</v>
      </c>
      <c r="L163">
        <v>0</v>
      </c>
      <c r="M163">
        <v>0</v>
      </c>
      <c r="N163">
        <v>1200</v>
      </c>
    </row>
    <row r="164" spans="1:14" x14ac:dyDescent="0.25">
      <c r="A164">
        <v>34.383609</v>
      </c>
      <c r="B164" s="1">
        <f>DATE(2010,6,4) + TIME(9,12,23)</f>
        <v>40333.383599537039</v>
      </c>
      <c r="C164">
        <v>1390.1594238</v>
      </c>
      <c r="D164">
        <v>1375.1086425999999</v>
      </c>
      <c r="E164">
        <v>1313.3862305</v>
      </c>
      <c r="F164">
        <v>1306.4984131000001</v>
      </c>
      <c r="G164">
        <v>80</v>
      </c>
      <c r="H164">
        <v>79.470756531000006</v>
      </c>
      <c r="I164">
        <v>50</v>
      </c>
      <c r="J164">
        <v>14.999679564999999</v>
      </c>
      <c r="K164">
        <v>1200</v>
      </c>
      <c r="L164">
        <v>0</v>
      </c>
      <c r="M164">
        <v>0</v>
      </c>
      <c r="N164">
        <v>1200</v>
      </c>
    </row>
    <row r="165" spans="1:14" x14ac:dyDescent="0.25">
      <c r="A165">
        <v>34.988146999999998</v>
      </c>
      <c r="B165" s="1">
        <f>DATE(2010,6,4) + TIME(23,42,55)</f>
        <v>40333.988136574073</v>
      </c>
      <c r="C165">
        <v>1390.0493164</v>
      </c>
      <c r="D165">
        <v>1375.0056152</v>
      </c>
      <c r="E165">
        <v>1313.3863524999999</v>
      </c>
      <c r="F165">
        <v>1306.4982910000001</v>
      </c>
      <c r="G165">
        <v>80</v>
      </c>
      <c r="H165">
        <v>79.471603393999999</v>
      </c>
      <c r="I165">
        <v>50</v>
      </c>
      <c r="J165">
        <v>14.999684333999999</v>
      </c>
      <c r="K165">
        <v>1200</v>
      </c>
      <c r="L165">
        <v>0</v>
      </c>
      <c r="M165">
        <v>0</v>
      </c>
      <c r="N165">
        <v>1200</v>
      </c>
    </row>
    <row r="166" spans="1:14" x14ac:dyDescent="0.25">
      <c r="A166">
        <v>35.605289999999997</v>
      </c>
      <c r="B166" s="1">
        <f>DATE(2010,6,5) + TIME(14,31,37)</f>
        <v>40334.60528935185</v>
      </c>
      <c r="C166">
        <v>1389.9384766000001</v>
      </c>
      <c r="D166">
        <v>1374.9020995999999</v>
      </c>
      <c r="E166">
        <v>1313.3865966999999</v>
      </c>
      <c r="F166">
        <v>1306.4981689000001</v>
      </c>
      <c r="G166">
        <v>80</v>
      </c>
      <c r="H166">
        <v>79.472457886000001</v>
      </c>
      <c r="I166">
        <v>50</v>
      </c>
      <c r="J166">
        <v>14.999689102</v>
      </c>
      <c r="K166">
        <v>1200</v>
      </c>
      <c r="L166">
        <v>0</v>
      </c>
      <c r="M166">
        <v>0</v>
      </c>
      <c r="N166">
        <v>1200</v>
      </c>
    </row>
    <row r="167" spans="1:14" x14ac:dyDescent="0.25">
      <c r="A167">
        <v>36.236382999999996</v>
      </c>
      <c r="B167" s="1">
        <f>DATE(2010,6,6) + TIME(5,40,23)</f>
        <v>40335.236377314817</v>
      </c>
      <c r="C167">
        <v>1389.8273925999999</v>
      </c>
      <c r="D167">
        <v>1374.7983397999999</v>
      </c>
      <c r="E167">
        <v>1313.3867187999999</v>
      </c>
      <c r="F167">
        <v>1306.4980469</v>
      </c>
      <c r="G167">
        <v>80</v>
      </c>
      <c r="H167">
        <v>79.473327636999997</v>
      </c>
      <c r="I167">
        <v>50</v>
      </c>
      <c r="J167">
        <v>14.999693871</v>
      </c>
      <c r="K167">
        <v>1200</v>
      </c>
      <c r="L167">
        <v>0</v>
      </c>
      <c r="M167">
        <v>0</v>
      </c>
      <c r="N167">
        <v>1200</v>
      </c>
    </row>
    <row r="168" spans="1:14" x14ac:dyDescent="0.25">
      <c r="A168">
        <v>36.881619999999998</v>
      </c>
      <c r="B168" s="1">
        <f>DATE(2010,6,6) + TIME(21,9,31)</f>
        <v>40335.881608796299</v>
      </c>
      <c r="C168">
        <v>1389.7155762</v>
      </c>
      <c r="D168">
        <v>1374.6940918</v>
      </c>
      <c r="E168">
        <v>1313.3869629000001</v>
      </c>
      <c r="F168">
        <v>1306.4980469</v>
      </c>
      <c r="G168">
        <v>80</v>
      </c>
      <c r="H168">
        <v>79.474197387999993</v>
      </c>
      <c r="I168">
        <v>50</v>
      </c>
      <c r="J168">
        <v>14.999699593000001</v>
      </c>
      <c r="K168">
        <v>1200</v>
      </c>
      <c r="L168">
        <v>0</v>
      </c>
      <c r="M168">
        <v>0</v>
      </c>
      <c r="N168">
        <v>1200</v>
      </c>
    </row>
    <row r="169" spans="1:14" x14ac:dyDescent="0.25">
      <c r="A169">
        <v>37.206758000000001</v>
      </c>
      <c r="B169" s="1">
        <f>DATE(2010,6,7) + TIME(4,57,43)</f>
        <v>40336.206747685188</v>
      </c>
      <c r="C169">
        <v>1389.6025391000001</v>
      </c>
      <c r="D169">
        <v>1374.5883789</v>
      </c>
      <c r="E169">
        <v>1313.3868408000001</v>
      </c>
      <c r="F169">
        <v>1306.4976807</v>
      </c>
      <c r="G169">
        <v>80</v>
      </c>
      <c r="H169">
        <v>79.474609375</v>
      </c>
      <c r="I169">
        <v>50</v>
      </c>
      <c r="J169">
        <v>14.9997015</v>
      </c>
      <c r="K169">
        <v>1200</v>
      </c>
      <c r="L169">
        <v>0</v>
      </c>
      <c r="M169">
        <v>0</v>
      </c>
      <c r="N169">
        <v>1200</v>
      </c>
    </row>
    <row r="170" spans="1:14" x14ac:dyDescent="0.25">
      <c r="A170">
        <v>37.531894999999999</v>
      </c>
      <c r="B170" s="1">
        <f>DATE(2010,6,7) + TIME(12,45,55)</f>
        <v>40336.531886574077</v>
      </c>
      <c r="C170">
        <v>1389.5455322</v>
      </c>
      <c r="D170">
        <v>1374.5351562000001</v>
      </c>
      <c r="E170">
        <v>1313.3865966999999</v>
      </c>
      <c r="F170">
        <v>1306.4971923999999</v>
      </c>
      <c r="G170">
        <v>80</v>
      </c>
      <c r="H170">
        <v>79.475028992000006</v>
      </c>
      <c r="I170">
        <v>50</v>
      </c>
      <c r="J170">
        <v>14.999704360999999</v>
      </c>
      <c r="K170">
        <v>1200</v>
      </c>
      <c r="L170">
        <v>0</v>
      </c>
      <c r="M170">
        <v>0</v>
      </c>
      <c r="N170">
        <v>1200</v>
      </c>
    </row>
    <row r="171" spans="1:14" x14ac:dyDescent="0.25">
      <c r="A171">
        <v>38.182169999999999</v>
      </c>
      <c r="B171" s="1">
        <f>DATE(2010,6,8) + TIME(4,22,19)</f>
        <v>40337.182164351849</v>
      </c>
      <c r="C171">
        <v>1389.4913329999999</v>
      </c>
      <c r="D171">
        <v>1374.4848632999999</v>
      </c>
      <c r="E171">
        <v>1313.3869629000001</v>
      </c>
      <c r="F171">
        <v>1306.4974365</v>
      </c>
      <c r="G171">
        <v>80</v>
      </c>
      <c r="H171">
        <v>79.475906371999997</v>
      </c>
      <c r="I171">
        <v>50</v>
      </c>
      <c r="J171">
        <v>14.999709128999999</v>
      </c>
      <c r="K171">
        <v>1200</v>
      </c>
      <c r="L171">
        <v>0</v>
      </c>
      <c r="M171">
        <v>0</v>
      </c>
      <c r="N171">
        <v>1200</v>
      </c>
    </row>
    <row r="172" spans="1:14" x14ac:dyDescent="0.25">
      <c r="A172">
        <v>38.832518999999998</v>
      </c>
      <c r="B172" s="1">
        <f>DATE(2010,6,8) + TIME(19,58,49)</f>
        <v>40337.832511574074</v>
      </c>
      <c r="C172">
        <v>1389.3824463000001</v>
      </c>
      <c r="D172">
        <v>1374.3834228999999</v>
      </c>
      <c r="E172">
        <v>1313.3873291</v>
      </c>
      <c r="F172">
        <v>1306.4975586</v>
      </c>
      <c r="G172">
        <v>80</v>
      </c>
      <c r="H172">
        <v>79.476760863999999</v>
      </c>
      <c r="I172">
        <v>50</v>
      </c>
      <c r="J172">
        <v>14.999713898</v>
      </c>
      <c r="K172">
        <v>1200</v>
      </c>
      <c r="L172">
        <v>0</v>
      </c>
      <c r="M172">
        <v>0</v>
      </c>
      <c r="N172">
        <v>1200</v>
      </c>
    </row>
    <row r="173" spans="1:14" x14ac:dyDescent="0.25">
      <c r="A173">
        <v>39.484901999999998</v>
      </c>
      <c r="B173" s="1">
        <f>DATE(2010,6,9) + TIME(11,38,15)</f>
        <v>40338.484895833331</v>
      </c>
      <c r="C173">
        <v>1389.2747803</v>
      </c>
      <c r="D173">
        <v>1374.2833252</v>
      </c>
      <c r="E173">
        <v>1313.3874512</v>
      </c>
      <c r="F173">
        <v>1306.4974365</v>
      </c>
      <c r="G173">
        <v>80</v>
      </c>
      <c r="H173">
        <v>79.477622986</v>
      </c>
      <c r="I173">
        <v>50</v>
      </c>
      <c r="J173">
        <v>14.999718666</v>
      </c>
      <c r="K173">
        <v>1200</v>
      </c>
      <c r="L173">
        <v>0</v>
      </c>
      <c r="M173">
        <v>0</v>
      </c>
      <c r="N173">
        <v>1200</v>
      </c>
    </row>
    <row r="174" spans="1:14" x14ac:dyDescent="0.25">
      <c r="A174">
        <v>40.140341999999997</v>
      </c>
      <c r="B174" s="1">
        <f>DATE(2010,6,10) + TIME(3,22,5)</f>
        <v>40339.140335648146</v>
      </c>
      <c r="C174">
        <v>1389.1685791</v>
      </c>
      <c r="D174">
        <v>1374.1844481999999</v>
      </c>
      <c r="E174">
        <v>1313.3876952999999</v>
      </c>
      <c r="F174">
        <v>1306.4973144999999</v>
      </c>
      <c r="G174">
        <v>80</v>
      </c>
      <c r="H174">
        <v>79.478469849000007</v>
      </c>
      <c r="I174">
        <v>50</v>
      </c>
      <c r="J174">
        <v>14.999723434</v>
      </c>
      <c r="K174">
        <v>1200</v>
      </c>
      <c r="L174">
        <v>0</v>
      </c>
      <c r="M174">
        <v>0</v>
      </c>
      <c r="N174">
        <v>1200</v>
      </c>
    </row>
    <row r="175" spans="1:14" x14ac:dyDescent="0.25">
      <c r="A175">
        <v>40.799847999999997</v>
      </c>
      <c r="B175" s="1">
        <f>DATE(2010,6,10) + TIME(19,11,46)</f>
        <v>40339.799837962964</v>
      </c>
      <c r="C175">
        <v>1389.0635986</v>
      </c>
      <c r="D175">
        <v>1374.0869141000001</v>
      </c>
      <c r="E175">
        <v>1313.3878173999999</v>
      </c>
      <c r="F175">
        <v>1306.4971923999999</v>
      </c>
      <c r="G175">
        <v>80</v>
      </c>
      <c r="H175">
        <v>79.479324340999995</v>
      </c>
      <c r="I175">
        <v>50</v>
      </c>
      <c r="J175">
        <v>14.999728203</v>
      </c>
      <c r="K175">
        <v>1200</v>
      </c>
      <c r="L175">
        <v>0</v>
      </c>
      <c r="M175">
        <v>0</v>
      </c>
      <c r="N175">
        <v>1200</v>
      </c>
    </row>
    <row r="176" spans="1:14" x14ac:dyDescent="0.25">
      <c r="A176">
        <v>41.464426000000003</v>
      </c>
      <c r="B176" s="1">
        <f>DATE(2010,6,11) + TIME(11,8,46)</f>
        <v>40340.464421296296</v>
      </c>
      <c r="C176">
        <v>1388.9595947</v>
      </c>
      <c r="D176">
        <v>1373.9902344</v>
      </c>
      <c r="E176">
        <v>1313.3879394999999</v>
      </c>
      <c r="F176">
        <v>1306.4970702999999</v>
      </c>
      <c r="G176">
        <v>80</v>
      </c>
      <c r="H176">
        <v>79.480171204000001</v>
      </c>
      <c r="I176">
        <v>50</v>
      </c>
      <c r="J176">
        <v>14.999732971</v>
      </c>
      <c r="K176">
        <v>1200</v>
      </c>
      <c r="L176">
        <v>0</v>
      </c>
      <c r="M176">
        <v>0</v>
      </c>
      <c r="N176">
        <v>1200</v>
      </c>
    </row>
    <row r="177" spans="1:14" x14ac:dyDescent="0.25">
      <c r="A177">
        <v>42.135102000000003</v>
      </c>
      <c r="B177" s="1">
        <f>DATE(2010,6,12) + TIME(3,14,32)</f>
        <v>40341.135092592594</v>
      </c>
      <c r="C177">
        <v>1388.8564452999999</v>
      </c>
      <c r="D177">
        <v>1373.8945312000001</v>
      </c>
      <c r="E177">
        <v>1313.3880615</v>
      </c>
      <c r="F177">
        <v>1306.4969481999999</v>
      </c>
      <c r="G177">
        <v>80</v>
      </c>
      <c r="H177">
        <v>79.481033324999999</v>
      </c>
      <c r="I177">
        <v>50</v>
      </c>
      <c r="J177">
        <v>14.99973774</v>
      </c>
      <c r="K177">
        <v>1200</v>
      </c>
      <c r="L177">
        <v>0</v>
      </c>
      <c r="M177">
        <v>0</v>
      </c>
      <c r="N177">
        <v>1200</v>
      </c>
    </row>
    <row r="178" spans="1:14" x14ac:dyDescent="0.25">
      <c r="A178">
        <v>42.812925</v>
      </c>
      <c r="B178" s="1">
        <f>DATE(2010,6,12) + TIME(19,30,36)</f>
        <v>40341.812916666669</v>
      </c>
      <c r="C178">
        <v>1388.7540283000001</v>
      </c>
      <c r="D178">
        <v>1373.7994385</v>
      </c>
      <c r="E178">
        <v>1313.3881836</v>
      </c>
      <c r="F178">
        <v>1306.4967041</v>
      </c>
      <c r="G178">
        <v>80</v>
      </c>
      <c r="H178">
        <v>79.481895446999999</v>
      </c>
      <c r="I178">
        <v>50</v>
      </c>
      <c r="J178">
        <v>14.999741554</v>
      </c>
      <c r="K178">
        <v>1200</v>
      </c>
      <c r="L178">
        <v>0</v>
      </c>
      <c r="M178">
        <v>0</v>
      </c>
      <c r="N178">
        <v>1200</v>
      </c>
    </row>
    <row r="179" spans="1:14" x14ac:dyDescent="0.25">
      <c r="A179">
        <v>43.498981000000001</v>
      </c>
      <c r="B179" s="1">
        <f>DATE(2010,6,13) + TIME(11,58,31)</f>
        <v>40342.498969907407</v>
      </c>
      <c r="C179">
        <v>1388.6520995999999</v>
      </c>
      <c r="D179">
        <v>1373.7048339999999</v>
      </c>
      <c r="E179">
        <v>1313.3883057</v>
      </c>
      <c r="F179">
        <v>1306.496582</v>
      </c>
      <c r="G179">
        <v>80</v>
      </c>
      <c r="H179">
        <v>79.482757567999997</v>
      </c>
      <c r="I179">
        <v>50</v>
      </c>
      <c r="J179">
        <v>14.999746323</v>
      </c>
      <c r="K179">
        <v>1200</v>
      </c>
      <c r="L179">
        <v>0</v>
      </c>
      <c r="M179">
        <v>0</v>
      </c>
      <c r="N179">
        <v>1200</v>
      </c>
    </row>
    <row r="180" spans="1:14" x14ac:dyDescent="0.25">
      <c r="A180">
        <v>44.194400999999999</v>
      </c>
      <c r="B180" s="1">
        <f>DATE(2010,6,14) + TIME(4,39,56)</f>
        <v>40343.194398148145</v>
      </c>
      <c r="C180">
        <v>1388.5505370999999</v>
      </c>
      <c r="D180">
        <v>1373.6107178</v>
      </c>
      <c r="E180">
        <v>1313.3885498</v>
      </c>
      <c r="F180">
        <v>1306.4964600000001</v>
      </c>
      <c r="G180">
        <v>80</v>
      </c>
      <c r="H180">
        <v>79.483634949000006</v>
      </c>
      <c r="I180">
        <v>50</v>
      </c>
      <c r="J180">
        <v>14.999751091</v>
      </c>
      <c r="K180">
        <v>1200</v>
      </c>
      <c r="L180">
        <v>0</v>
      </c>
      <c r="M180">
        <v>0</v>
      </c>
      <c r="N180">
        <v>1200</v>
      </c>
    </row>
    <row r="181" spans="1:14" x14ac:dyDescent="0.25">
      <c r="A181">
        <v>44.900590999999999</v>
      </c>
      <c r="B181" s="1">
        <f>DATE(2010,6,14) + TIME(21,36,51)</f>
        <v>40343.900590277779</v>
      </c>
      <c r="C181">
        <v>1388.4492187999999</v>
      </c>
      <c r="D181">
        <v>1373.5167236</v>
      </c>
      <c r="E181">
        <v>1313.3886719</v>
      </c>
      <c r="F181">
        <v>1306.4962158000001</v>
      </c>
      <c r="G181">
        <v>80</v>
      </c>
      <c r="H181">
        <v>79.484527588000006</v>
      </c>
      <c r="I181">
        <v>50</v>
      </c>
      <c r="J181">
        <v>14.999755859</v>
      </c>
      <c r="K181">
        <v>1200</v>
      </c>
      <c r="L181">
        <v>0</v>
      </c>
      <c r="M181">
        <v>0</v>
      </c>
      <c r="N181">
        <v>1200</v>
      </c>
    </row>
    <row r="182" spans="1:14" x14ac:dyDescent="0.25">
      <c r="A182">
        <v>45.618704000000001</v>
      </c>
      <c r="B182" s="1">
        <f>DATE(2010,6,15) + TIME(14,50,56)</f>
        <v>40344.618703703702</v>
      </c>
      <c r="C182">
        <v>1388.3479004000001</v>
      </c>
      <c r="D182">
        <v>1373.4229736</v>
      </c>
      <c r="E182">
        <v>1313.3887939000001</v>
      </c>
      <c r="F182">
        <v>1306.4960937999999</v>
      </c>
      <c r="G182">
        <v>80</v>
      </c>
      <c r="H182">
        <v>79.485427856000001</v>
      </c>
      <c r="I182">
        <v>50</v>
      </c>
      <c r="J182">
        <v>14.999759674</v>
      </c>
      <c r="K182">
        <v>1200</v>
      </c>
      <c r="L182">
        <v>0</v>
      </c>
      <c r="M182">
        <v>0</v>
      </c>
      <c r="N182">
        <v>1200</v>
      </c>
    </row>
    <row r="183" spans="1:14" x14ac:dyDescent="0.25">
      <c r="A183">
        <v>46.349997000000002</v>
      </c>
      <c r="B183" s="1">
        <f>DATE(2010,6,16) + TIME(8,23,59)</f>
        <v>40345.349988425929</v>
      </c>
      <c r="C183">
        <v>1388.2464600000001</v>
      </c>
      <c r="D183">
        <v>1373.3289795000001</v>
      </c>
      <c r="E183">
        <v>1313.3889160000001</v>
      </c>
      <c r="F183">
        <v>1306.4959716999999</v>
      </c>
      <c r="G183">
        <v>80</v>
      </c>
      <c r="H183">
        <v>79.486343383999994</v>
      </c>
      <c r="I183">
        <v>50</v>
      </c>
      <c r="J183">
        <v>14.999764442</v>
      </c>
      <c r="K183">
        <v>1200</v>
      </c>
      <c r="L183">
        <v>0</v>
      </c>
      <c r="M183">
        <v>0</v>
      </c>
      <c r="N183">
        <v>1200</v>
      </c>
    </row>
    <row r="184" spans="1:14" x14ac:dyDescent="0.25">
      <c r="A184">
        <v>47.095534000000001</v>
      </c>
      <c r="B184" s="1">
        <f>DATE(2010,6,17) + TIME(2,17,34)</f>
        <v>40346.095532407409</v>
      </c>
      <c r="C184">
        <v>1388.1446533000001</v>
      </c>
      <c r="D184">
        <v>1373.2349853999999</v>
      </c>
      <c r="E184">
        <v>1313.3891602000001</v>
      </c>
      <c r="F184">
        <v>1306.4957274999999</v>
      </c>
      <c r="G184">
        <v>80</v>
      </c>
      <c r="H184">
        <v>79.487274170000006</v>
      </c>
      <c r="I184">
        <v>50</v>
      </c>
      <c r="J184">
        <v>14.999769211</v>
      </c>
      <c r="K184">
        <v>1200</v>
      </c>
      <c r="L184">
        <v>0</v>
      </c>
      <c r="M184">
        <v>0</v>
      </c>
      <c r="N184">
        <v>1200</v>
      </c>
    </row>
    <row r="185" spans="1:14" x14ac:dyDescent="0.25">
      <c r="A185">
        <v>47.85371</v>
      </c>
      <c r="B185" s="1">
        <f>DATE(2010,6,17) + TIME(20,29,20)</f>
        <v>40346.853703703702</v>
      </c>
      <c r="C185">
        <v>1388.0426024999999</v>
      </c>
      <c r="D185">
        <v>1373.1405029</v>
      </c>
      <c r="E185">
        <v>1313.3892822</v>
      </c>
      <c r="F185">
        <v>1306.4956055</v>
      </c>
      <c r="G185">
        <v>80</v>
      </c>
      <c r="H185">
        <v>79.488212584999999</v>
      </c>
      <c r="I185">
        <v>50</v>
      </c>
      <c r="J185">
        <v>14.999773979</v>
      </c>
      <c r="K185">
        <v>1200</v>
      </c>
      <c r="L185">
        <v>0</v>
      </c>
      <c r="M185">
        <v>0</v>
      </c>
      <c r="N185">
        <v>1200</v>
      </c>
    </row>
    <row r="186" spans="1:14" x14ac:dyDescent="0.25">
      <c r="A186">
        <v>48.625805</v>
      </c>
      <c r="B186" s="1">
        <f>DATE(2010,6,18) + TIME(15,1,9)</f>
        <v>40347.625798611109</v>
      </c>
      <c r="C186">
        <v>1387.9404297000001</v>
      </c>
      <c r="D186">
        <v>1373.0460204999999</v>
      </c>
      <c r="E186">
        <v>1313.3894043</v>
      </c>
      <c r="F186">
        <v>1306.4953613</v>
      </c>
      <c r="G186">
        <v>80</v>
      </c>
      <c r="H186">
        <v>79.489173889</v>
      </c>
      <c r="I186">
        <v>50</v>
      </c>
      <c r="J186">
        <v>14.999777794</v>
      </c>
      <c r="K186">
        <v>1200</v>
      </c>
      <c r="L186">
        <v>0</v>
      </c>
      <c r="M186">
        <v>0</v>
      </c>
      <c r="N186">
        <v>1200</v>
      </c>
    </row>
    <row r="187" spans="1:14" x14ac:dyDescent="0.25">
      <c r="A187">
        <v>49.019686999999998</v>
      </c>
      <c r="B187" s="1">
        <f>DATE(2010,6,19) + TIME(0,28,20)</f>
        <v>40348.019675925927</v>
      </c>
      <c r="C187">
        <v>1387.8371582</v>
      </c>
      <c r="D187">
        <v>1372.9505615</v>
      </c>
      <c r="E187">
        <v>1313.3894043</v>
      </c>
      <c r="F187">
        <v>1306.4949951000001</v>
      </c>
      <c r="G187">
        <v>80</v>
      </c>
      <c r="H187">
        <v>79.489631653000004</v>
      </c>
      <c r="I187">
        <v>50</v>
      </c>
      <c r="J187">
        <v>14.999780655</v>
      </c>
      <c r="K187">
        <v>1200</v>
      </c>
      <c r="L187">
        <v>0</v>
      </c>
      <c r="M187">
        <v>0</v>
      </c>
      <c r="N187">
        <v>1200</v>
      </c>
    </row>
    <row r="188" spans="1:14" x14ac:dyDescent="0.25">
      <c r="A188">
        <v>49.413569000000003</v>
      </c>
      <c r="B188" s="1">
        <f>DATE(2010,6,19) + TIME(9,55,32)</f>
        <v>40348.413564814815</v>
      </c>
      <c r="C188">
        <v>1387.7845459</v>
      </c>
      <c r="D188">
        <v>1372.9017334</v>
      </c>
      <c r="E188">
        <v>1313.3890381000001</v>
      </c>
      <c r="F188">
        <v>1306.4945068</v>
      </c>
      <c r="G188">
        <v>80</v>
      </c>
      <c r="H188">
        <v>79.490097046000002</v>
      </c>
      <c r="I188">
        <v>50</v>
      </c>
      <c r="J188">
        <v>14.999783516000001</v>
      </c>
      <c r="K188">
        <v>1200</v>
      </c>
      <c r="L188">
        <v>0</v>
      </c>
      <c r="M188">
        <v>0</v>
      </c>
      <c r="N188">
        <v>1200</v>
      </c>
    </row>
    <row r="189" spans="1:14" x14ac:dyDescent="0.25">
      <c r="A189">
        <v>49.807451</v>
      </c>
      <c r="B189" s="1">
        <f>DATE(2010,6,19) + TIME(19,22,43)</f>
        <v>40348.807442129626</v>
      </c>
      <c r="C189">
        <v>1387.7331543</v>
      </c>
      <c r="D189">
        <v>1372.8542480000001</v>
      </c>
      <c r="E189">
        <v>1313.3890381000001</v>
      </c>
      <c r="F189">
        <v>1306.4942627</v>
      </c>
      <c r="G189">
        <v>80</v>
      </c>
      <c r="H189">
        <v>79.490570067999997</v>
      </c>
      <c r="I189">
        <v>50</v>
      </c>
      <c r="J189">
        <v>14.999785423000001</v>
      </c>
      <c r="K189">
        <v>1200</v>
      </c>
      <c r="L189">
        <v>0</v>
      </c>
      <c r="M189">
        <v>0</v>
      </c>
      <c r="N189">
        <v>1200</v>
      </c>
    </row>
    <row r="190" spans="1:14" x14ac:dyDescent="0.25">
      <c r="A190">
        <v>50.201332999999998</v>
      </c>
      <c r="B190" s="1">
        <f>DATE(2010,6,20) + TIME(4,49,55)</f>
        <v>40349.201331018521</v>
      </c>
      <c r="C190">
        <v>1387.682251</v>
      </c>
      <c r="D190">
        <v>1372.8071289</v>
      </c>
      <c r="E190">
        <v>1313.3891602000001</v>
      </c>
      <c r="F190">
        <v>1306.4941406</v>
      </c>
      <c r="G190">
        <v>80</v>
      </c>
      <c r="H190">
        <v>79.491043090999995</v>
      </c>
      <c r="I190">
        <v>50</v>
      </c>
      <c r="J190">
        <v>14.999788283999999</v>
      </c>
      <c r="K190">
        <v>1200</v>
      </c>
      <c r="L190">
        <v>0</v>
      </c>
      <c r="M190">
        <v>0</v>
      </c>
      <c r="N190">
        <v>1200</v>
      </c>
    </row>
    <row r="191" spans="1:14" x14ac:dyDescent="0.25">
      <c r="A191">
        <v>50.595215000000003</v>
      </c>
      <c r="B191" s="1">
        <f>DATE(2010,6,20) + TIME(14,17,6)</f>
        <v>40349.595208333332</v>
      </c>
      <c r="C191">
        <v>1387.6317139</v>
      </c>
      <c r="D191">
        <v>1372.7604980000001</v>
      </c>
      <c r="E191">
        <v>1313.3891602000001</v>
      </c>
      <c r="F191">
        <v>1306.4941406</v>
      </c>
      <c r="G191">
        <v>80</v>
      </c>
      <c r="H191">
        <v>79.491516113000003</v>
      </c>
      <c r="I191">
        <v>50</v>
      </c>
      <c r="J191">
        <v>14.999790192000001</v>
      </c>
      <c r="K191">
        <v>1200</v>
      </c>
      <c r="L191">
        <v>0</v>
      </c>
      <c r="M191">
        <v>0</v>
      </c>
      <c r="N191">
        <v>1200</v>
      </c>
    </row>
    <row r="192" spans="1:14" x14ac:dyDescent="0.25">
      <c r="A192">
        <v>51.382978999999999</v>
      </c>
      <c r="B192" s="1">
        <f>DATE(2010,6,21) + TIME(9,11,29)</f>
        <v>40350.382974537039</v>
      </c>
      <c r="C192">
        <v>1387.5827637</v>
      </c>
      <c r="D192">
        <v>1372.7154541</v>
      </c>
      <c r="E192">
        <v>1313.3896483999999</v>
      </c>
      <c r="F192">
        <v>1306.4943848</v>
      </c>
      <c r="G192">
        <v>80</v>
      </c>
      <c r="H192">
        <v>79.492507935000006</v>
      </c>
      <c r="I192">
        <v>50</v>
      </c>
      <c r="J192">
        <v>14.999794959999999</v>
      </c>
      <c r="K192">
        <v>1200</v>
      </c>
      <c r="L192">
        <v>0</v>
      </c>
      <c r="M192">
        <v>0</v>
      </c>
      <c r="N192">
        <v>1200</v>
      </c>
    </row>
    <row r="193" spans="1:14" x14ac:dyDescent="0.25">
      <c r="A193">
        <v>52.170856999999998</v>
      </c>
      <c r="B193" s="1">
        <f>DATE(2010,6,22) + TIME(4,6,2)</f>
        <v>40351.170856481483</v>
      </c>
      <c r="C193">
        <v>1387.4842529</v>
      </c>
      <c r="D193">
        <v>1372.6246338000001</v>
      </c>
      <c r="E193">
        <v>1313.3901367000001</v>
      </c>
      <c r="F193">
        <v>1306.4943848</v>
      </c>
      <c r="G193">
        <v>80</v>
      </c>
      <c r="H193">
        <v>79.493484496999997</v>
      </c>
      <c r="I193">
        <v>50</v>
      </c>
      <c r="J193">
        <v>14.999798775</v>
      </c>
      <c r="K193">
        <v>1200</v>
      </c>
      <c r="L193">
        <v>0</v>
      </c>
      <c r="M193">
        <v>0</v>
      </c>
      <c r="N193">
        <v>1200</v>
      </c>
    </row>
    <row r="194" spans="1:14" x14ac:dyDescent="0.25">
      <c r="A194">
        <v>52.962257999999999</v>
      </c>
      <c r="B194" s="1">
        <f>DATE(2010,6,22) + TIME(23,5,39)</f>
        <v>40351.962256944447</v>
      </c>
      <c r="C194">
        <v>1387.3865966999999</v>
      </c>
      <c r="D194">
        <v>1372.534668</v>
      </c>
      <c r="E194">
        <v>1313.3902588000001</v>
      </c>
      <c r="F194">
        <v>1306.4942627</v>
      </c>
      <c r="G194">
        <v>80</v>
      </c>
      <c r="H194">
        <v>79.494468689000001</v>
      </c>
      <c r="I194">
        <v>50</v>
      </c>
      <c r="J194">
        <v>14.999803543000001</v>
      </c>
      <c r="K194">
        <v>1200</v>
      </c>
      <c r="L194">
        <v>0</v>
      </c>
      <c r="M194">
        <v>0</v>
      </c>
      <c r="N194">
        <v>1200</v>
      </c>
    </row>
    <row r="195" spans="1:14" x14ac:dyDescent="0.25">
      <c r="A195">
        <v>53.758383000000002</v>
      </c>
      <c r="B195" s="1">
        <f>DATE(2010,6,23) + TIME(18,12,4)</f>
        <v>40352.758379629631</v>
      </c>
      <c r="C195">
        <v>1387.2900391000001</v>
      </c>
      <c r="D195">
        <v>1372.4456786999999</v>
      </c>
      <c r="E195">
        <v>1313.3903809000001</v>
      </c>
      <c r="F195">
        <v>1306.4940185999999</v>
      </c>
      <c r="G195">
        <v>80</v>
      </c>
      <c r="H195">
        <v>79.495437621999997</v>
      </c>
      <c r="I195">
        <v>50</v>
      </c>
      <c r="J195">
        <v>14.999807358</v>
      </c>
      <c r="K195">
        <v>1200</v>
      </c>
      <c r="L195">
        <v>0</v>
      </c>
      <c r="M195">
        <v>0</v>
      </c>
      <c r="N195">
        <v>1200</v>
      </c>
    </row>
    <row r="196" spans="1:14" x14ac:dyDescent="0.25">
      <c r="A196">
        <v>54.560465999999998</v>
      </c>
      <c r="B196" s="1">
        <f>DATE(2010,6,24) + TIME(13,27,4)</f>
        <v>40353.56046296296</v>
      </c>
      <c r="C196">
        <v>1387.1943358999999</v>
      </c>
      <c r="D196">
        <v>1372.3574219</v>
      </c>
      <c r="E196">
        <v>1313.390625</v>
      </c>
      <c r="F196">
        <v>1306.4937743999999</v>
      </c>
      <c r="G196">
        <v>80</v>
      </c>
      <c r="H196">
        <v>79.496421814000001</v>
      </c>
      <c r="I196">
        <v>50</v>
      </c>
      <c r="J196">
        <v>14.999811171999999</v>
      </c>
      <c r="K196">
        <v>1200</v>
      </c>
      <c r="L196">
        <v>0</v>
      </c>
      <c r="M196">
        <v>0</v>
      </c>
      <c r="N196">
        <v>1200</v>
      </c>
    </row>
    <row r="197" spans="1:14" x14ac:dyDescent="0.25">
      <c r="A197">
        <v>55.369760999999997</v>
      </c>
      <c r="B197" s="1">
        <f>DATE(2010,6,25) + TIME(8,52,27)</f>
        <v>40354.369756944441</v>
      </c>
      <c r="C197">
        <v>1387.0992432</v>
      </c>
      <c r="D197">
        <v>1372.2698975000001</v>
      </c>
      <c r="E197">
        <v>1313.3907471</v>
      </c>
      <c r="F197">
        <v>1306.4935303</v>
      </c>
      <c r="G197">
        <v>80</v>
      </c>
      <c r="H197">
        <v>79.497406006000006</v>
      </c>
      <c r="I197">
        <v>50</v>
      </c>
      <c r="J197">
        <v>14.999815941</v>
      </c>
      <c r="K197">
        <v>1200</v>
      </c>
      <c r="L197">
        <v>0</v>
      </c>
      <c r="M197">
        <v>0</v>
      </c>
      <c r="N197">
        <v>1200</v>
      </c>
    </row>
    <row r="198" spans="1:14" x14ac:dyDescent="0.25">
      <c r="A198">
        <v>56.187555000000003</v>
      </c>
      <c r="B198" s="1">
        <f>DATE(2010,6,26) + TIME(4,30,4)</f>
        <v>40355.1875462963</v>
      </c>
      <c r="C198">
        <v>1387.0046387</v>
      </c>
      <c r="D198">
        <v>1372.1828613</v>
      </c>
      <c r="E198">
        <v>1313.3908690999999</v>
      </c>
      <c r="F198">
        <v>1306.4932861</v>
      </c>
      <c r="G198">
        <v>80</v>
      </c>
      <c r="H198">
        <v>79.498397827000005</v>
      </c>
      <c r="I198">
        <v>50</v>
      </c>
      <c r="J198">
        <v>14.999819756000001</v>
      </c>
      <c r="K198">
        <v>1200</v>
      </c>
      <c r="L198">
        <v>0</v>
      </c>
      <c r="M198">
        <v>0</v>
      </c>
      <c r="N198">
        <v>1200</v>
      </c>
    </row>
    <row r="199" spans="1:14" x14ac:dyDescent="0.25">
      <c r="A199">
        <v>57.015177000000001</v>
      </c>
      <c r="B199" s="1">
        <f>DATE(2010,6,27) + TIME(0,21,51)</f>
        <v>40356.015173611115</v>
      </c>
      <c r="C199">
        <v>1386.9105225000001</v>
      </c>
      <c r="D199">
        <v>1372.0961914</v>
      </c>
      <c r="E199">
        <v>1313.3909911999999</v>
      </c>
      <c r="F199">
        <v>1306.4931641000001</v>
      </c>
      <c r="G199">
        <v>80</v>
      </c>
      <c r="H199">
        <v>79.499397278000004</v>
      </c>
      <c r="I199">
        <v>50</v>
      </c>
      <c r="J199">
        <v>14.99982357</v>
      </c>
      <c r="K199">
        <v>1200</v>
      </c>
      <c r="L199">
        <v>0</v>
      </c>
      <c r="M199">
        <v>0</v>
      </c>
      <c r="N199">
        <v>1200</v>
      </c>
    </row>
    <row r="200" spans="1:14" x14ac:dyDescent="0.25">
      <c r="A200">
        <v>57.854013000000002</v>
      </c>
      <c r="B200" s="1">
        <f>DATE(2010,6,27) + TIME(20,29,46)</f>
        <v>40356.854004629633</v>
      </c>
      <c r="C200">
        <v>1386.8165283000001</v>
      </c>
      <c r="D200">
        <v>1372.0097656</v>
      </c>
      <c r="E200">
        <v>1313.3912353999999</v>
      </c>
      <c r="F200">
        <v>1306.4929199000001</v>
      </c>
      <c r="G200">
        <v>80</v>
      </c>
      <c r="H200">
        <v>79.500404357999997</v>
      </c>
      <c r="I200">
        <v>50</v>
      </c>
      <c r="J200">
        <v>14.999828339</v>
      </c>
      <c r="K200">
        <v>1200</v>
      </c>
      <c r="L200">
        <v>0</v>
      </c>
      <c r="M200">
        <v>0</v>
      </c>
      <c r="N200">
        <v>1200</v>
      </c>
    </row>
    <row r="201" spans="1:14" x14ac:dyDescent="0.25">
      <c r="A201">
        <v>58.705888000000002</v>
      </c>
      <c r="B201" s="1">
        <f>DATE(2010,6,28) + TIME(16,56,28)</f>
        <v>40357.705879629626</v>
      </c>
      <c r="C201">
        <v>1386.7227783000001</v>
      </c>
      <c r="D201">
        <v>1371.9234618999999</v>
      </c>
      <c r="E201">
        <v>1313.3913574000001</v>
      </c>
      <c r="F201">
        <v>1306.4926757999999</v>
      </c>
      <c r="G201">
        <v>80</v>
      </c>
      <c r="H201">
        <v>79.501426696999999</v>
      </c>
      <c r="I201">
        <v>50</v>
      </c>
      <c r="J201">
        <v>14.999832153</v>
      </c>
      <c r="K201">
        <v>1200</v>
      </c>
      <c r="L201">
        <v>0</v>
      </c>
      <c r="M201">
        <v>0</v>
      </c>
      <c r="N201">
        <v>1200</v>
      </c>
    </row>
    <row r="202" spans="1:14" x14ac:dyDescent="0.25">
      <c r="A202">
        <v>59.572046999999998</v>
      </c>
      <c r="B202" s="1">
        <f>DATE(2010,6,29) + TIME(13,43,44)</f>
        <v>40358.57203703704</v>
      </c>
      <c r="C202">
        <v>1386.6287841999999</v>
      </c>
      <c r="D202">
        <v>1371.8371582</v>
      </c>
      <c r="E202">
        <v>1313.3914795000001</v>
      </c>
      <c r="F202">
        <v>1306.4924315999999</v>
      </c>
      <c r="G202">
        <v>80</v>
      </c>
      <c r="H202">
        <v>79.502464294000006</v>
      </c>
      <c r="I202">
        <v>50</v>
      </c>
      <c r="J202">
        <v>14.999836922</v>
      </c>
      <c r="K202">
        <v>1200</v>
      </c>
      <c r="L202">
        <v>0</v>
      </c>
      <c r="M202">
        <v>0</v>
      </c>
      <c r="N202">
        <v>1200</v>
      </c>
    </row>
    <row r="203" spans="1:14" x14ac:dyDescent="0.25">
      <c r="A203">
        <v>60.453344000000001</v>
      </c>
      <c r="B203" s="1">
        <f>DATE(2010,6,30) + TIME(10,52,48)</f>
        <v>40359.453333333331</v>
      </c>
      <c r="C203">
        <v>1386.5345459</v>
      </c>
      <c r="D203">
        <v>1371.7506103999999</v>
      </c>
      <c r="E203">
        <v>1313.3917236</v>
      </c>
      <c r="F203">
        <v>1306.4921875</v>
      </c>
      <c r="G203">
        <v>80</v>
      </c>
      <c r="H203">
        <v>79.503517150999997</v>
      </c>
      <c r="I203">
        <v>50</v>
      </c>
      <c r="J203">
        <v>14.999840735999999</v>
      </c>
      <c r="K203">
        <v>1200</v>
      </c>
      <c r="L203">
        <v>0</v>
      </c>
      <c r="M203">
        <v>0</v>
      </c>
      <c r="N203">
        <v>1200</v>
      </c>
    </row>
    <row r="204" spans="1:14" x14ac:dyDescent="0.25">
      <c r="A204">
        <v>61</v>
      </c>
      <c r="B204" s="1">
        <f>DATE(2010,7,1) + TIME(0,0,0)</f>
        <v>40360</v>
      </c>
      <c r="C204">
        <v>1386.4398193</v>
      </c>
      <c r="D204">
        <v>1371.6634521000001</v>
      </c>
      <c r="E204">
        <v>1313.3917236</v>
      </c>
      <c r="F204">
        <v>1306.4916992000001</v>
      </c>
      <c r="G204">
        <v>80</v>
      </c>
      <c r="H204">
        <v>79.504142760999997</v>
      </c>
      <c r="I204">
        <v>50</v>
      </c>
      <c r="J204">
        <v>14.999843597</v>
      </c>
      <c r="K204">
        <v>1200</v>
      </c>
      <c r="L204">
        <v>0</v>
      </c>
      <c r="M204">
        <v>0</v>
      </c>
      <c r="N204">
        <v>1200</v>
      </c>
    </row>
    <row r="205" spans="1:14" x14ac:dyDescent="0.25">
      <c r="A205">
        <v>61.894233999999997</v>
      </c>
      <c r="B205" s="1">
        <f>DATE(2010,7,1) + TIME(21,27,41)</f>
        <v>40360.894224537034</v>
      </c>
      <c r="C205">
        <v>1386.3818358999999</v>
      </c>
      <c r="D205">
        <v>1371.6102295000001</v>
      </c>
      <c r="E205">
        <v>1313.3918457</v>
      </c>
      <c r="F205">
        <v>1306.4915771000001</v>
      </c>
      <c r="G205">
        <v>80</v>
      </c>
      <c r="H205">
        <v>79.505218506000006</v>
      </c>
      <c r="I205">
        <v>50</v>
      </c>
      <c r="J205">
        <v>14.999847411999999</v>
      </c>
      <c r="K205">
        <v>1200</v>
      </c>
      <c r="L205">
        <v>0</v>
      </c>
      <c r="M205">
        <v>0</v>
      </c>
      <c r="N205">
        <v>1200</v>
      </c>
    </row>
    <row r="206" spans="1:14" x14ac:dyDescent="0.25">
      <c r="A206">
        <v>62.812221999999998</v>
      </c>
      <c r="B206" s="1">
        <f>DATE(2010,7,2) + TIME(19,29,35)</f>
        <v>40361.812210648146</v>
      </c>
      <c r="C206">
        <v>1386.2885742000001</v>
      </c>
      <c r="D206">
        <v>1371.5246582</v>
      </c>
      <c r="E206">
        <v>1313.3922118999999</v>
      </c>
      <c r="F206">
        <v>1306.4914550999999</v>
      </c>
      <c r="G206">
        <v>80</v>
      </c>
      <c r="H206">
        <v>79.506309509000005</v>
      </c>
      <c r="I206">
        <v>50</v>
      </c>
      <c r="J206">
        <v>14.99985218</v>
      </c>
      <c r="K206">
        <v>1200</v>
      </c>
      <c r="L206">
        <v>0</v>
      </c>
      <c r="M206">
        <v>0</v>
      </c>
      <c r="N206">
        <v>1200</v>
      </c>
    </row>
    <row r="207" spans="1:14" x14ac:dyDescent="0.25">
      <c r="A207">
        <v>63.746667000000002</v>
      </c>
      <c r="B207" s="1">
        <f>DATE(2010,7,3) + TIME(17,55,12)</f>
        <v>40362.746666666666</v>
      </c>
      <c r="C207">
        <v>1386.1938477000001</v>
      </c>
      <c r="D207">
        <v>1371.4377440999999</v>
      </c>
      <c r="E207">
        <v>1313.3923339999999</v>
      </c>
      <c r="F207">
        <v>1306.4912108999999</v>
      </c>
      <c r="G207">
        <v>80</v>
      </c>
      <c r="H207">
        <v>79.507415770999998</v>
      </c>
      <c r="I207">
        <v>50</v>
      </c>
      <c r="J207">
        <v>14.999855995000001</v>
      </c>
      <c r="K207">
        <v>1200</v>
      </c>
      <c r="L207">
        <v>0</v>
      </c>
      <c r="M207">
        <v>0</v>
      </c>
      <c r="N207">
        <v>1200</v>
      </c>
    </row>
    <row r="208" spans="1:14" x14ac:dyDescent="0.25">
      <c r="A208">
        <v>64.691539000000006</v>
      </c>
      <c r="B208" s="1">
        <f>DATE(2010,7,4) + TIME(16,35,48)</f>
        <v>40363.691527777781</v>
      </c>
      <c r="C208">
        <v>1386.0988769999999</v>
      </c>
      <c r="D208">
        <v>1371.3504639</v>
      </c>
      <c r="E208">
        <v>1313.3925781</v>
      </c>
      <c r="F208">
        <v>1306.4909668</v>
      </c>
      <c r="G208">
        <v>80</v>
      </c>
      <c r="H208">
        <v>79.508529663000004</v>
      </c>
      <c r="I208">
        <v>50</v>
      </c>
      <c r="J208">
        <v>14.999860763999999</v>
      </c>
      <c r="K208">
        <v>1200</v>
      </c>
      <c r="L208">
        <v>0</v>
      </c>
      <c r="M208">
        <v>0</v>
      </c>
      <c r="N208">
        <v>1200</v>
      </c>
    </row>
    <row r="209" spans="1:14" x14ac:dyDescent="0.25">
      <c r="A209">
        <v>65.636429000000007</v>
      </c>
      <c r="B209" s="1">
        <f>DATE(2010,7,5) + TIME(15,16,27)</f>
        <v>40364.636423611111</v>
      </c>
      <c r="C209">
        <v>1386.0040283000001</v>
      </c>
      <c r="D209">
        <v>1371.2635498</v>
      </c>
      <c r="E209">
        <v>1313.3927002</v>
      </c>
      <c r="F209">
        <v>1306.4906006000001</v>
      </c>
      <c r="G209">
        <v>80</v>
      </c>
      <c r="H209">
        <v>79.509635924999998</v>
      </c>
      <c r="I209">
        <v>50</v>
      </c>
      <c r="J209">
        <v>14.999864578</v>
      </c>
      <c r="K209">
        <v>1200</v>
      </c>
      <c r="L209">
        <v>0</v>
      </c>
      <c r="M209">
        <v>0</v>
      </c>
      <c r="N209">
        <v>1200</v>
      </c>
    </row>
    <row r="210" spans="1:14" x14ac:dyDescent="0.25">
      <c r="A210">
        <v>66.582995999999994</v>
      </c>
      <c r="B210" s="1">
        <f>DATE(2010,7,6) + TIME(13,59,30)</f>
        <v>40365.582986111112</v>
      </c>
      <c r="C210">
        <v>1385.9106445</v>
      </c>
      <c r="D210">
        <v>1371.1778564000001</v>
      </c>
      <c r="E210">
        <v>1313.3929443</v>
      </c>
      <c r="F210">
        <v>1306.4903564000001</v>
      </c>
      <c r="G210">
        <v>80</v>
      </c>
      <c r="H210">
        <v>79.510742187999995</v>
      </c>
      <c r="I210">
        <v>50</v>
      </c>
      <c r="J210">
        <v>14.999868393</v>
      </c>
      <c r="K210">
        <v>1200</v>
      </c>
      <c r="L210">
        <v>0</v>
      </c>
      <c r="M210">
        <v>0</v>
      </c>
      <c r="N210">
        <v>1200</v>
      </c>
    </row>
    <row r="211" spans="1:14" x14ac:dyDescent="0.25">
      <c r="A211">
        <v>67.532831000000002</v>
      </c>
      <c r="B211" s="1">
        <f>DATE(2010,7,7) + TIME(12,47,16)</f>
        <v>40366.532824074071</v>
      </c>
      <c r="C211">
        <v>1385.8183594</v>
      </c>
      <c r="D211">
        <v>1371.0932617000001</v>
      </c>
      <c r="E211">
        <v>1313.3930664</v>
      </c>
      <c r="F211">
        <v>1306.4899902</v>
      </c>
      <c r="G211">
        <v>80</v>
      </c>
      <c r="H211">
        <v>79.511840820000003</v>
      </c>
      <c r="I211">
        <v>50</v>
      </c>
      <c r="J211">
        <v>14.999873161</v>
      </c>
      <c r="K211">
        <v>1200</v>
      </c>
      <c r="L211">
        <v>0</v>
      </c>
      <c r="M211">
        <v>0</v>
      </c>
      <c r="N211">
        <v>1200</v>
      </c>
    </row>
    <row r="212" spans="1:14" x14ac:dyDescent="0.25">
      <c r="A212">
        <v>68.487498000000002</v>
      </c>
      <c r="B212" s="1">
        <f>DATE(2010,7,8) + TIME(11,41,59)</f>
        <v>40367.487488425926</v>
      </c>
      <c r="C212">
        <v>1385.7270507999999</v>
      </c>
      <c r="D212">
        <v>1371.0096435999999</v>
      </c>
      <c r="E212">
        <v>1313.3933105000001</v>
      </c>
      <c r="F212">
        <v>1306.4897461</v>
      </c>
      <c r="G212">
        <v>80</v>
      </c>
      <c r="H212">
        <v>79.512947083</v>
      </c>
      <c r="I212">
        <v>50</v>
      </c>
      <c r="J212">
        <v>14.999876975999999</v>
      </c>
      <c r="K212">
        <v>1200</v>
      </c>
      <c r="L212">
        <v>0</v>
      </c>
      <c r="M212">
        <v>0</v>
      </c>
      <c r="N212">
        <v>1200</v>
      </c>
    </row>
    <row r="213" spans="1:14" x14ac:dyDescent="0.25">
      <c r="A213">
        <v>69.448535000000007</v>
      </c>
      <c r="B213" s="1">
        <f>DATE(2010,7,9) + TIME(10,45,53)</f>
        <v>40368.448530092595</v>
      </c>
      <c r="C213">
        <v>1385.6365966999999</v>
      </c>
      <c r="D213">
        <v>1370.9266356999999</v>
      </c>
      <c r="E213">
        <v>1313.3934326000001</v>
      </c>
      <c r="F213">
        <v>1306.4893798999999</v>
      </c>
      <c r="G213">
        <v>80</v>
      </c>
      <c r="H213">
        <v>79.514060974000003</v>
      </c>
      <c r="I213">
        <v>50</v>
      </c>
      <c r="J213">
        <v>14.999880791000001</v>
      </c>
      <c r="K213">
        <v>1200</v>
      </c>
      <c r="L213">
        <v>0</v>
      </c>
      <c r="M213">
        <v>0</v>
      </c>
      <c r="N213">
        <v>1200</v>
      </c>
    </row>
    <row r="214" spans="1:14" x14ac:dyDescent="0.25">
      <c r="A214">
        <v>70.417512000000002</v>
      </c>
      <c r="B214" s="1">
        <f>DATE(2010,7,10) + TIME(10,1,13)</f>
        <v>40369.417511574073</v>
      </c>
      <c r="C214">
        <v>1385.5467529</v>
      </c>
      <c r="D214">
        <v>1370.8443603999999</v>
      </c>
      <c r="E214">
        <v>1313.3936768000001</v>
      </c>
      <c r="F214">
        <v>1306.4891356999999</v>
      </c>
      <c r="G214">
        <v>80</v>
      </c>
      <c r="H214">
        <v>79.515174865999995</v>
      </c>
      <c r="I214">
        <v>50</v>
      </c>
      <c r="J214">
        <v>14.999884605</v>
      </c>
      <c r="K214">
        <v>1200</v>
      </c>
      <c r="L214">
        <v>0</v>
      </c>
      <c r="M214">
        <v>0</v>
      </c>
      <c r="N214">
        <v>1200</v>
      </c>
    </row>
    <row r="215" spans="1:14" x14ac:dyDescent="0.25">
      <c r="A215">
        <v>71.396012999999996</v>
      </c>
      <c r="B215" s="1">
        <f>DATE(2010,7,11) + TIME(9,30,15)</f>
        <v>40370.396006944444</v>
      </c>
      <c r="C215">
        <v>1385.4572754000001</v>
      </c>
      <c r="D215">
        <v>1370.7624512</v>
      </c>
      <c r="E215">
        <v>1313.3937988</v>
      </c>
      <c r="F215">
        <v>1306.4887695</v>
      </c>
      <c r="G215">
        <v>80</v>
      </c>
      <c r="H215">
        <v>79.516296386999997</v>
      </c>
      <c r="I215">
        <v>50</v>
      </c>
      <c r="J215">
        <v>14.99988842</v>
      </c>
      <c r="K215">
        <v>1200</v>
      </c>
      <c r="L215">
        <v>0</v>
      </c>
      <c r="M215">
        <v>0</v>
      </c>
      <c r="N215">
        <v>1200</v>
      </c>
    </row>
    <row r="216" spans="1:14" x14ac:dyDescent="0.25">
      <c r="A216">
        <v>72.385682000000003</v>
      </c>
      <c r="B216" s="1">
        <f>DATE(2010,7,12) + TIME(9,15,22)</f>
        <v>40371.385671296295</v>
      </c>
      <c r="C216">
        <v>1385.3682861</v>
      </c>
      <c r="D216">
        <v>1370.6809082</v>
      </c>
      <c r="E216">
        <v>1313.394043</v>
      </c>
      <c r="F216">
        <v>1306.4885254000001</v>
      </c>
      <c r="G216">
        <v>80</v>
      </c>
      <c r="H216">
        <v>79.517425536999994</v>
      </c>
      <c r="I216">
        <v>50</v>
      </c>
      <c r="J216">
        <v>14.999893188</v>
      </c>
      <c r="K216">
        <v>1200</v>
      </c>
      <c r="L216">
        <v>0</v>
      </c>
      <c r="M216">
        <v>0</v>
      </c>
      <c r="N216">
        <v>1200</v>
      </c>
    </row>
    <row r="217" spans="1:14" x14ac:dyDescent="0.25">
      <c r="A217">
        <v>73.388221999999999</v>
      </c>
      <c r="B217" s="1">
        <f>DATE(2010,7,13) + TIME(9,19,2)</f>
        <v>40372.38821759259</v>
      </c>
      <c r="C217">
        <v>1385.2794189000001</v>
      </c>
      <c r="D217">
        <v>1370.5996094</v>
      </c>
      <c r="E217">
        <v>1313.3941649999999</v>
      </c>
      <c r="F217">
        <v>1306.4881591999999</v>
      </c>
      <c r="G217">
        <v>80</v>
      </c>
      <c r="H217">
        <v>79.518569946</v>
      </c>
      <c r="I217">
        <v>50</v>
      </c>
      <c r="J217">
        <v>14.999897002999999</v>
      </c>
      <c r="K217">
        <v>1200</v>
      </c>
      <c r="L217">
        <v>0</v>
      </c>
      <c r="M217">
        <v>0</v>
      </c>
      <c r="N217">
        <v>1200</v>
      </c>
    </row>
    <row r="218" spans="1:14" x14ac:dyDescent="0.25">
      <c r="A218">
        <v>74.405726999999999</v>
      </c>
      <c r="B218" s="1">
        <f>DATE(2010,7,14) + TIME(9,44,14)</f>
        <v>40373.405717592592</v>
      </c>
      <c r="C218">
        <v>1385.1906738</v>
      </c>
      <c r="D218">
        <v>1370.5183105000001</v>
      </c>
      <c r="E218">
        <v>1313.3944091999999</v>
      </c>
      <c r="F218">
        <v>1306.4879149999999</v>
      </c>
      <c r="G218">
        <v>80</v>
      </c>
      <c r="H218">
        <v>79.519721985000004</v>
      </c>
      <c r="I218">
        <v>50</v>
      </c>
      <c r="J218">
        <v>14.999900818</v>
      </c>
      <c r="K218">
        <v>1200</v>
      </c>
      <c r="L218">
        <v>0</v>
      </c>
      <c r="M218">
        <v>0</v>
      </c>
      <c r="N218">
        <v>1200</v>
      </c>
    </row>
    <row r="219" spans="1:14" x14ac:dyDescent="0.25">
      <c r="A219">
        <v>75.437006999999994</v>
      </c>
      <c r="B219" s="1">
        <f>DATE(2010,7,15) + TIME(10,29,17)</f>
        <v>40374.437002314815</v>
      </c>
      <c r="C219">
        <v>1385.1018065999999</v>
      </c>
      <c r="D219">
        <v>1370.4370117000001</v>
      </c>
      <c r="E219">
        <v>1313.3946533000001</v>
      </c>
      <c r="F219">
        <v>1306.4875488</v>
      </c>
      <c r="G219">
        <v>80</v>
      </c>
      <c r="H219">
        <v>79.520889281999999</v>
      </c>
      <c r="I219">
        <v>50</v>
      </c>
      <c r="J219">
        <v>14.999904633</v>
      </c>
      <c r="K219">
        <v>1200</v>
      </c>
      <c r="L219">
        <v>0</v>
      </c>
      <c r="M219">
        <v>0</v>
      </c>
      <c r="N219">
        <v>1200</v>
      </c>
    </row>
    <row r="220" spans="1:14" x14ac:dyDescent="0.25">
      <c r="A220">
        <v>76.480090000000004</v>
      </c>
      <c r="B220" s="1">
        <f>DATE(2010,7,16) + TIME(11,31,19)</f>
        <v>40375.480081018519</v>
      </c>
      <c r="C220">
        <v>1385.0129394999999</v>
      </c>
      <c r="D220">
        <v>1370.3557129000001</v>
      </c>
      <c r="E220">
        <v>1313.3948975000001</v>
      </c>
      <c r="F220">
        <v>1306.4871826000001</v>
      </c>
      <c r="G220">
        <v>80</v>
      </c>
      <c r="H220">
        <v>79.522064209000007</v>
      </c>
      <c r="I220">
        <v>50</v>
      </c>
      <c r="J220">
        <v>14.999908446999999</v>
      </c>
      <c r="K220">
        <v>1200</v>
      </c>
      <c r="L220">
        <v>0</v>
      </c>
      <c r="M220">
        <v>0</v>
      </c>
      <c r="N220">
        <v>1200</v>
      </c>
    </row>
    <row r="221" spans="1:14" x14ac:dyDescent="0.25">
      <c r="A221">
        <v>77.536997999999997</v>
      </c>
      <c r="B221" s="1">
        <f>DATE(2010,7,17) + TIME(12,53,16)</f>
        <v>40376.536990740744</v>
      </c>
      <c r="C221">
        <v>1384.9243164</v>
      </c>
      <c r="D221">
        <v>1370.2745361</v>
      </c>
      <c r="E221">
        <v>1313.3951416</v>
      </c>
      <c r="F221">
        <v>1306.4869385</v>
      </c>
      <c r="G221">
        <v>80</v>
      </c>
      <c r="H221">
        <v>79.523246764999996</v>
      </c>
      <c r="I221">
        <v>50</v>
      </c>
      <c r="J221">
        <v>14.999913215999999</v>
      </c>
      <c r="K221">
        <v>1200</v>
      </c>
      <c r="L221">
        <v>0</v>
      </c>
      <c r="M221">
        <v>0</v>
      </c>
      <c r="N221">
        <v>1200</v>
      </c>
    </row>
    <row r="222" spans="1:14" x14ac:dyDescent="0.25">
      <c r="A222">
        <v>78.609579999999994</v>
      </c>
      <c r="B222" s="1">
        <f>DATE(2010,7,18) + TIME(14,37,47)</f>
        <v>40377.609571759262</v>
      </c>
      <c r="C222">
        <v>1384.8355713000001</v>
      </c>
      <c r="D222">
        <v>1370.1934814000001</v>
      </c>
      <c r="E222">
        <v>1313.3953856999999</v>
      </c>
      <c r="F222">
        <v>1306.4865723</v>
      </c>
      <c r="G222">
        <v>80</v>
      </c>
      <c r="H222">
        <v>79.524444579999994</v>
      </c>
      <c r="I222">
        <v>50</v>
      </c>
      <c r="J222">
        <v>14.999917030000001</v>
      </c>
      <c r="K222">
        <v>1200</v>
      </c>
      <c r="L222">
        <v>0</v>
      </c>
      <c r="M222">
        <v>0</v>
      </c>
      <c r="N222">
        <v>1200</v>
      </c>
    </row>
    <row r="223" spans="1:14" x14ac:dyDescent="0.25">
      <c r="A223">
        <v>79.154572000000002</v>
      </c>
      <c r="B223" s="1">
        <f>DATE(2010,7,19) + TIME(3,42,34)</f>
        <v>40378.154560185183</v>
      </c>
      <c r="C223">
        <v>1384.7464600000001</v>
      </c>
      <c r="D223">
        <v>1370.1116943</v>
      </c>
      <c r="E223">
        <v>1313.3953856999999</v>
      </c>
      <c r="F223">
        <v>1306.4860839999999</v>
      </c>
      <c r="G223">
        <v>80</v>
      </c>
      <c r="H223">
        <v>79.525024414000001</v>
      </c>
      <c r="I223">
        <v>50</v>
      </c>
      <c r="J223">
        <v>14.999918938</v>
      </c>
      <c r="K223">
        <v>1200</v>
      </c>
      <c r="L223">
        <v>0</v>
      </c>
      <c r="M223">
        <v>0</v>
      </c>
      <c r="N223">
        <v>1200</v>
      </c>
    </row>
    <row r="224" spans="1:14" x14ac:dyDescent="0.25">
      <c r="A224">
        <v>79.699562999999998</v>
      </c>
      <c r="B224" s="1">
        <f>DATE(2010,7,19) + TIME(16,47,22)</f>
        <v>40378.699560185189</v>
      </c>
      <c r="C224">
        <v>1384.7008057</v>
      </c>
      <c r="D224">
        <v>1370.0699463000001</v>
      </c>
      <c r="E224">
        <v>1313.3951416</v>
      </c>
      <c r="F224">
        <v>1306.4854736</v>
      </c>
      <c r="G224">
        <v>80</v>
      </c>
      <c r="H224">
        <v>79.525611877000003</v>
      </c>
      <c r="I224">
        <v>50</v>
      </c>
      <c r="J224">
        <v>14.999921798999999</v>
      </c>
      <c r="K224">
        <v>1200</v>
      </c>
      <c r="L224">
        <v>0</v>
      </c>
      <c r="M224">
        <v>0</v>
      </c>
      <c r="N224">
        <v>1200</v>
      </c>
    </row>
    <row r="225" spans="1:14" x14ac:dyDescent="0.25">
      <c r="A225">
        <v>80.244555000000005</v>
      </c>
      <c r="B225" s="1">
        <f>DATE(2010,7,20) + TIME(5,52,9)</f>
        <v>40379.24454861111</v>
      </c>
      <c r="C225">
        <v>1384.6563721</v>
      </c>
      <c r="D225">
        <v>1370.0291748</v>
      </c>
      <c r="E225">
        <v>1313.3951416</v>
      </c>
      <c r="F225">
        <v>1306.4852295000001</v>
      </c>
      <c r="G225">
        <v>80</v>
      </c>
      <c r="H225">
        <v>79.526199340999995</v>
      </c>
      <c r="I225">
        <v>50</v>
      </c>
      <c r="J225">
        <v>14.999923706000001</v>
      </c>
      <c r="K225">
        <v>1200</v>
      </c>
      <c r="L225">
        <v>0</v>
      </c>
      <c r="M225">
        <v>0</v>
      </c>
      <c r="N225">
        <v>1200</v>
      </c>
    </row>
    <row r="226" spans="1:14" x14ac:dyDescent="0.25">
      <c r="A226">
        <v>80.789546999999999</v>
      </c>
      <c r="B226" s="1">
        <f>DATE(2010,7,20) + TIME(18,56,56)</f>
        <v>40379.789537037039</v>
      </c>
      <c r="C226">
        <v>1384.6123047000001</v>
      </c>
      <c r="D226">
        <v>1369.9887695</v>
      </c>
      <c r="E226">
        <v>1313.3952637</v>
      </c>
      <c r="F226">
        <v>1306.4851074000001</v>
      </c>
      <c r="G226">
        <v>80</v>
      </c>
      <c r="H226">
        <v>79.526786803999997</v>
      </c>
      <c r="I226">
        <v>50</v>
      </c>
      <c r="J226">
        <v>14.999925613</v>
      </c>
      <c r="K226">
        <v>1200</v>
      </c>
      <c r="L226">
        <v>0</v>
      </c>
      <c r="M226">
        <v>0</v>
      </c>
      <c r="N226">
        <v>1200</v>
      </c>
    </row>
    <row r="227" spans="1:14" x14ac:dyDescent="0.25">
      <c r="A227">
        <v>81.879531</v>
      </c>
      <c r="B227" s="1">
        <f>DATE(2010,7,21) + TIME(21,6,31)</f>
        <v>40380.879525462966</v>
      </c>
      <c r="C227">
        <v>1384.5693358999999</v>
      </c>
      <c r="D227">
        <v>1369.949707</v>
      </c>
      <c r="E227">
        <v>1313.3957519999999</v>
      </c>
      <c r="F227">
        <v>1306.4852295000001</v>
      </c>
      <c r="G227">
        <v>80</v>
      </c>
      <c r="H227">
        <v>79.528015136999997</v>
      </c>
      <c r="I227">
        <v>50</v>
      </c>
      <c r="J227">
        <v>14.999929428</v>
      </c>
      <c r="K227">
        <v>1200</v>
      </c>
      <c r="L227">
        <v>0</v>
      </c>
      <c r="M227">
        <v>0</v>
      </c>
      <c r="N227">
        <v>1200</v>
      </c>
    </row>
    <row r="228" spans="1:14" x14ac:dyDescent="0.25">
      <c r="A228">
        <v>82.969680999999994</v>
      </c>
      <c r="B228" s="1">
        <f>DATE(2010,7,22) + TIME(23,16,20)</f>
        <v>40381.969675925924</v>
      </c>
      <c r="C228">
        <v>1384.4832764</v>
      </c>
      <c r="D228">
        <v>1369.8710937999999</v>
      </c>
      <c r="E228">
        <v>1313.3962402</v>
      </c>
      <c r="F228">
        <v>1306.4852295000001</v>
      </c>
      <c r="G228">
        <v>80</v>
      </c>
      <c r="H228">
        <v>79.529228209999999</v>
      </c>
      <c r="I228">
        <v>50</v>
      </c>
      <c r="J228">
        <v>14.999933242999999</v>
      </c>
      <c r="K228">
        <v>1200</v>
      </c>
      <c r="L228">
        <v>0</v>
      </c>
      <c r="M228">
        <v>0</v>
      </c>
      <c r="N228">
        <v>1200</v>
      </c>
    </row>
    <row r="229" spans="1:14" x14ac:dyDescent="0.25">
      <c r="A229">
        <v>84.065307000000004</v>
      </c>
      <c r="B229" s="1">
        <f>DATE(2010,7,24) + TIME(1,34,2)</f>
        <v>40383.065300925926</v>
      </c>
      <c r="C229">
        <v>1384.3977050999999</v>
      </c>
      <c r="D229">
        <v>1369.7928466999999</v>
      </c>
      <c r="E229">
        <v>1313.3966064000001</v>
      </c>
      <c r="F229">
        <v>1306.4848632999999</v>
      </c>
      <c r="G229">
        <v>80</v>
      </c>
      <c r="H229">
        <v>79.530433654999996</v>
      </c>
      <c r="I229">
        <v>50</v>
      </c>
      <c r="J229">
        <v>14.999937057</v>
      </c>
      <c r="K229">
        <v>1200</v>
      </c>
      <c r="L229">
        <v>0</v>
      </c>
      <c r="M229">
        <v>0</v>
      </c>
      <c r="N229">
        <v>1200</v>
      </c>
    </row>
    <row r="230" spans="1:14" x14ac:dyDescent="0.25">
      <c r="A230">
        <v>85.168198000000004</v>
      </c>
      <c r="B230" s="1">
        <f>DATE(2010,7,25) + TIME(4,2,12)</f>
        <v>40384.168194444443</v>
      </c>
      <c r="C230">
        <v>1384.3128661999999</v>
      </c>
      <c r="D230">
        <v>1369.715332</v>
      </c>
      <c r="E230">
        <v>1313.3968506000001</v>
      </c>
      <c r="F230">
        <v>1306.4844971</v>
      </c>
      <c r="G230">
        <v>80</v>
      </c>
      <c r="H230">
        <v>79.531639099000003</v>
      </c>
      <c r="I230">
        <v>50</v>
      </c>
      <c r="J230">
        <v>14.999940872</v>
      </c>
      <c r="K230">
        <v>1200</v>
      </c>
      <c r="L230">
        <v>0</v>
      </c>
      <c r="M230">
        <v>0</v>
      </c>
      <c r="N230">
        <v>1200</v>
      </c>
    </row>
    <row r="231" spans="1:14" x14ac:dyDescent="0.25">
      <c r="A231">
        <v>86.280165999999994</v>
      </c>
      <c r="B231" s="1">
        <f>DATE(2010,7,26) + TIME(6,43,26)</f>
        <v>40385.280162037037</v>
      </c>
      <c r="C231">
        <v>1384.2285156</v>
      </c>
      <c r="D231">
        <v>1369.6381836</v>
      </c>
      <c r="E231">
        <v>1313.3970947</v>
      </c>
      <c r="F231">
        <v>1306.4841309000001</v>
      </c>
      <c r="G231">
        <v>80</v>
      </c>
      <c r="H231">
        <v>79.532844542999996</v>
      </c>
      <c r="I231">
        <v>50</v>
      </c>
      <c r="J231">
        <v>14.999944686999999</v>
      </c>
      <c r="K231">
        <v>1200</v>
      </c>
      <c r="L231">
        <v>0</v>
      </c>
      <c r="M231">
        <v>0</v>
      </c>
      <c r="N231">
        <v>1200</v>
      </c>
    </row>
    <row r="232" spans="1:14" x14ac:dyDescent="0.25">
      <c r="A232">
        <v>87.403004999999993</v>
      </c>
      <c r="B232" s="1">
        <f>DATE(2010,7,27) + TIME(9,40,19)</f>
        <v>40386.402997685182</v>
      </c>
      <c r="C232">
        <v>1384.1445312000001</v>
      </c>
      <c r="D232">
        <v>1369.5615233999999</v>
      </c>
      <c r="E232">
        <v>1313.3973389</v>
      </c>
      <c r="F232">
        <v>1306.4837646000001</v>
      </c>
      <c r="G232">
        <v>80</v>
      </c>
      <c r="H232">
        <v>79.534057617000002</v>
      </c>
      <c r="I232">
        <v>50</v>
      </c>
      <c r="J232">
        <v>14.999947548</v>
      </c>
      <c r="K232">
        <v>1200</v>
      </c>
      <c r="L232">
        <v>0</v>
      </c>
      <c r="M232">
        <v>0</v>
      </c>
      <c r="N232">
        <v>1200</v>
      </c>
    </row>
    <row r="233" spans="1:14" x14ac:dyDescent="0.25">
      <c r="A233">
        <v>88.538618</v>
      </c>
      <c r="B233" s="1">
        <f>DATE(2010,7,28) + TIME(12,55,36)</f>
        <v>40387.538611111115</v>
      </c>
      <c r="C233">
        <v>1384.0609131000001</v>
      </c>
      <c r="D233">
        <v>1369.4849853999999</v>
      </c>
      <c r="E233">
        <v>1313.3975829999999</v>
      </c>
      <c r="F233">
        <v>1306.4835204999999</v>
      </c>
      <c r="G233">
        <v>80</v>
      </c>
      <c r="H233">
        <v>79.535270690999994</v>
      </c>
      <c r="I233">
        <v>50</v>
      </c>
      <c r="J233">
        <v>14.999951362999999</v>
      </c>
      <c r="K233">
        <v>1200</v>
      </c>
      <c r="L233">
        <v>0</v>
      </c>
      <c r="M233">
        <v>0</v>
      </c>
      <c r="N233">
        <v>1200</v>
      </c>
    </row>
    <row r="234" spans="1:14" x14ac:dyDescent="0.25">
      <c r="A234">
        <v>89.688978000000006</v>
      </c>
      <c r="B234" s="1">
        <f>DATE(2010,7,29) + TIME(16,32,7)</f>
        <v>40388.688969907409</v>
      </c>
      <c r="C234">
        <v>1383.9772949000001</v>
      </c>
      <c r="D234">
        <v>1369.4086914</v>
      </c>
      <c r="E234">
        <v>1313.3979492000001</v>
      </c>
      <c r="F234">
        <v>1306.4831543</v>
      </c>
      <c r="G234">
        <v>80</v>
      </c>
      <c r="H234">
        <v>79.536499023000005</v>
      </c>
      <c r="I234">
        <v>50</v>
      </c>
      <c r="J234">
        <v>14.999955177</v>
      </c>
      <c r="K234">
        <v>1200</v>
      </c>
      <c r="L234">
        <v>0</v>
      </c>
      <c r="M234">
        <v>0</v>
      </c>
      <c r="N234">
        <v>1200</v>
      </c>
    </row>
    <row r="235" spans="1:14" x14ac:dyDescent="0.25">
      <c r="A235">
        <v>90.856414000000001</v>
      </c>
      <c r="B235" s="1">
        <f>DATE(2010,7,30) + TIME(20,33,14)</f>
        <v>40389.856412037036</v>
      </c>
      <c r="C235">
        <v>1383.8936768000001</v>
      </c>
      <c r="D235">
        <v>1369.3322754000001</v>
      </c>
      <c r="E235">
        <v>1313.3981934000001</v>
      </c>
      <c r="F235">
        <v>1306.4827881000001</v>
      </c>
      <c r="G235">
        <v>80</v>
      </c>
      <c r="H235">
        <v>79.537742614999999</v>
      </c>
      <c r="I235">
        <v>50</v>
      </c>
      <c r="J235">
        <v>14.999958992</v>
      </c>
      <c r="K235">
        <v>1200</v>
      </c>
      <c r="L235">
        <v>0</v>
      </c>
      <c r="M235">
        <v>0</v>
      </c>
      <c r="N235">
        <v>1200</v>
      </c>
    </row>
    <row r="236" spans="1:14" x14ac:dyDescent="0.25">
      <c r="A236">
        <v>92</v>
      </c>
      <c r="B236" s="1">
        <f>DATE(2010,8,1) + TIME(0,0,0)</f>
        <v>40391</v>
      </c>
      <c r="C236">
        <v>1383.8099365</v>
      </c>
      <c r="D236">
        <v>1369.2557373</v>
      </c>
      <c r="E236">
        <v>1313.3985596</v>
      </c>
      <c r="F236">
        <v>1306.4824219</v>
      </c>
      <c r="G236">
        <v>80</v>
      </c>
      <c r="H236">
        <v>79.538948059000006</v>
      </c>
      <c r="I236">
        <v>50</v>
      </c>
      <c r="J236">
        <v>14.999962806999999</v>
      </c>
      <c r="K236">
        <v>1200</v>
      </c>
      <c r="L236">
        <v>0</v>
      </c>
      <c r="M236">
        <v>0</v>
      </c>
      <c r="N236">
        <v>1200</v>
      </c>
    </row>
    <row r="237" spans="1:14" x14ac:dyDescent="0.25">
      <c r="A237">
        <v>93.178467999999995</v>
      </c>
      <c r="B237" s="1">
        <f>DATE(2010,8,2) + TIME(4,16,59)</f>
        <v>40392.178460648145</v>
      </c>
      <c r="C237">
        <v>1383.7288818</v>
      </c>
      <c r="D237">
        <v>1369.1816406</v>
      </c>
      <c r="E237">
        <v>1313.3988036999999</v>
      </c>
      <c r="F237">
        <v>1306.4820557</v>
      </c>
      <c r="G237">
        <v>80</v>
      </c>
      <c r="H237">
        <v>79.540184021000002</v>
      </c>
      <c r="I237">
        <v>50</v>
      </c>
      <c r="J237">
        <v>14.999966621</v>
      </c>
      <c r="K237">
        <v>1200</v>
      </c>
      <c r="L237">
        <v>0</v>
      </c>
      <c r="M237">
        <v>0</v>
      </c>
      <c r="N237">
        <v>1200</v>
      </c>
    </row>
    <row r="238" spans="1:14" x14ac:dyDescent="0.25">
      <c r="A238">
        <v>94.382655</v>
      </c>
      <c r="B238" s="1">
        <f>DATE(2010,8,3) + TIME(9,11,1)</f>
        <v>40393.382650462961</v>
      </c>
      <c r="C238">
        <v>1383.6464844</v>
      </c>
      <c r="D238">
        <v>1369.1064452999999</v>
      </c>
      <c r="E238">
        <v>1313.3991699000001</v>
      </c>
      <c r="F238">
        <v>1306.4816894999999</v>
      </c>
      <c r="G238">
        <v>80</v>
      </c>
      <c r="H238">
        <v>79.541442871000001</v>
      </c>
      <c r="I238">
        <v>50</v>
      </c>
      <c r="J238">
        <v>14.999970436</v>
      </c>
      <c r="K238">
        <v>1200</v>
      </c>
      <c r="L238">
        <v>0</v>
      </c>
      <c r="M238">
        <v>0</v>
      </c>
      <c r="N238">
        <v>1200</v>
      </c>
    </row>
    <row r="239" spans="1:14" x14ac:dyDescent="0.25">
      <c r="A239">
        <v>95.603290999999999</v>
      </c>
      <c r="B239" s="1">
        <f>DATE(2010,8,4) + TIME(14,28,44)</f>
        <v>40394.60328703704</v>
      </c>
      <c r="C239">
        <v>1383.5632324000001</v>
      </c>
      <c r="D239">
        <v>1369.0303954999999</v>
      </c>
      <c r="E239">
        <v>1313.3995361</v>
      </c>
      <c r="F239">
        <v>1306.4813231999999</v>
      </c>
      <c r="G239">
        <v>80</v>
      </c>
      <c r="H239">
        <v>79.542716979999994</v>
      </c>
      <c r="I239">
        <v>50</v>
      </c>
      <c r="J239">
        <v>14.999974250999999</v>
      </c>
      <c r="K239">
        <v>1200</v>
      </c>
      <c r="L239">
        <v>0</v>
      </c>
      <c r="M239">
        <v>0</v>
      </c>
      <c r="N239">
        <v>1200</v>
      </c>
    </row>
    <row r="240" spans="1:14" x14ac:dyDescent="0.25">
      <c r="A240">
        <v>96.842202</v>
      </c>
      <c r="B240" s="1">
        <f>DATE(2010,8,5) + TIME(20,12,46)</f>
        <v>40395.842199074075</v>
      </c>
      <c r="C240">
        <v>1383.4799805</v>
      </c>
      <c r="D240">
        <v>1368.9543457</v>
      </c>
      <c r="E240">
        <v>1313.3999022999999</v>
      </c>
      <c r="F240">
        <v>1306.4810791</v>
      </c>
      <c r="G240">
        <v>80</v>
      </c>
      <c r="H240">
        <v>79.543998717999997</v>
      </c>
      <c r="I240">
        <v>50</v>
      </c>
      <c r="J240">
        <v>14.999978065000001</v>
      </c>
      <c r="K240">
        <v>1200</v>
      </c>
      <c r="L240">
        <v>0</v>
      </c>
      <c r="M240">
        <v>0</v>
      </c>
      <c r="N240">
        <v>1200</v>
      </c>
    </row>
    <row r="241" spans="1:14" x14ac:dyDescent="0.25">
      <c r="A241">
        <v>98.096908999999997</v>
      </c>
      <c r="B241" s="1">
        <f>DATE(2010,8,7) + TIME(2,19,32)</f>
        <v>40397.096898148149</v>
      </c>
      <c r="C241">
        <v>1383.3964844</v>
      </c>
      <c r="D241">
        <v>1368.8781738</v>
      </c>
      <c r="E241">
        <v>1313.4002685999999</v>
      </c>
      <c r="F241">
        <v>1306.4807129000001</v>
      </c>
      <c r="G241">
        <v>80</v>
      </c>
      <c r="H241">
        <v>79.545288085999999</v>
      </c>
      <c r="I241">
        <v>50</v>
      </c>
      <c r="J241">
        <v>14.99998188</v>
      </c>
      <c r="K241">
        <v>1200</v>
      </c>
      <c r="L241">
        <v>0</v>
      </c>
      <c r="M241">
        <v>0</v>
      </c>
      <c r="N241">
        <v>1200</v>
      </c>
    </row>
    <row r="242" spans="1:14" x14ac:dyDescent="0.25">
      <c r="A242">
        <v>99.353003999999999</v>
      </c>
      <c r="B242" s="1">
        <f>DATE(2010,8,8) + TIME(8,28,19)</f>
        <v>40398.352997685186</v>
      </c>
      <c r="C242">
        <v>1383.3129882999999</v>
      </c>
      <c r="D242">
        <v>1368.8018798999999</v>
      </c>
      <c r="E242">
        <v>1313.4006348</v>
      </c>
      <c r="F242">
        <v>1306.4803466999999</v>
      </c>
      <c r="G242">
        <v>80</v>
      </c>
      <c r="H242">
        <v>79.546569824000002</v>
      </c>
      <c r="I242">
        <v>50</v>
      </c>
      <c r="J242">
        <v>14.999985694999999</v>
      </c>
      <c r="K242">
        <v>1200</v>
      </c>
      <c r="L242">
        <v>0</v>
      </c>
      <c r="M242">
        <v>0</v>
      </c>
      <c r="N242">
        <v>1200</v>
      </c>
    </row>
    <row r="243" spans="1:14" x14ac:dyDescent="0.25">
      <c r="A243">
        <v>100.61274400000001</v>
      </c>
      <c r="B243" s="1">
        <f>DATE(2010,8,9) + TIME(14,42,21)</f>
        <v>40399.612743055557</v>
      </c>
      <c r="C243">
        <v>1383.2304687999999</v>
      </c>
      <c r="D243">
        <v>1368.7265625</v>
      </c>
      <c r="E243">
        <v>1313.401001</v>
      </c>
      <c r="F243">
        <v>1306.4799805</v>
      </c>
      <c r="G243">
        <v>80</v>
      </c>
      <c r="H243">
        <v>79.547851562000005</v>
      </c>
      <c r="I243">
        <v>50</v>
      </c>
      <c r="J243">
        <v>14.999989510000001</v>
      </c>
      <c r="K243">
        <v>1200</v>
      </c>
      <c r="L243">
        <v>0</v>
      </c>
      <c r="M243">
        <v>0</v>
      </c>
      <c r="N243">
        <v>1200</v>
      </c>
    </row>
    <row r="244" spans="1:14" x14ac:dyDescent="0.25">
      <c r="A244">
        <v>101.878379</v>
      </c>
      <c r="B244" s="1">
        <f>DATE(2010,8,10) + TIME(21,4,51)</f>
        <v>40400.878368055557</v>
      </c>
      <c r="C244">
        <v>1383.1488036999999</v>
      </c>
      <c r="D244">
        <v>1368.6518555</v>
      </c>
      <c r="E244">
        <v>1313.4013672000001</v>
      </c>
      <c r="F244">
        <v>1306.4796143000001</v>
      </c>
      <c r="G244">
        <v>80</v>
      </c>
      <c r="H244">
        <v>79.549133300999998</v>
      </c>
      <c r="I244">
        <v>50</v>
      </c>
      <c r="J244">
        <v>14.999993324</v>
      </c>
      <c r="K244">
        <v>1200</v>
      </c>
      <c r="L244">
        <v>0</v>
      </c>
      <c r="M244">
        <v>0</v>
      </c>
      <c r="N244">
        <v>1200</v>
      </c>
    </row>
    <row r="245" spans="1:14" x14ac:dyDescent="0.25">
      <c r="A245">
        <v>103.15213300000001</v>
      </c>
      <c r="B245" s="1">
        <f>DATE(2010,8,12) + TIME(3,39,4)</f>
        <v>40402.152129629627</v>
      </c>
      <c r="C245">
        <v>1383.0676269999999</v>
      </c>
      <c r="D245">
        <v>1368.5777588000001</v>
      </c>
      <c r="E245">
        <v>1313.4017334</v>
      </c>
      <c r="F245">
        <v>1306.4792480000001</v>
      </c>
      <c r="G245">
        <v>80</v>
      </c>
      <c r="H245">
        <v>79.550407410000005</v>
      </c>
      <c r="I245">
        <v>50</v>
      </c>
      <c r="J245">
        <v>14.999997139</v>
      </c>
      <c r="K245">
        <v>1200</v>
      </c>
      <c r="L245">
        <v>0</v>
      </c>
      <c r="M245">
        <v>0</v>
      </c>
      <c r="N245">
        <v>1200</v>
      </c>
    </row>
    <row r="246" spans="1:14" x14ac:dyDescent="0.25">
      <c r="A246">
        <v>104.43623599999999</v>
      </c>
      <c r="B246" s="1">
        <f>DATE(2010,8,13) + TIME(10,28,10)</f>
        <v>40403.436226851853</v>
      </c>
      <c r="C246">
        <v>1382.9869385</v>
      </c>
      <c r="D246">
        <v>1368.5041504000001</v>
      </c>
      <c r="E246">
        <v>1313.4022216999999</v>
      </c>
      <c r="F246">
        <v>1306.4788818</v>
      </c>
      <c r="G246">
        <v>80</v>
      </c>
      <c r="H246">
        <v>79.551689147999994</v>
      </c>
      <c r="I246">
        <v>50</v>
      </c>
      <c r="J246">
        <v>15.000000954000001</v>
      </c>
      <c r="K246">
        <v>1200</v>
      </c>
      <c r="L246">
        <v>0</v>
      </c>
      <c r="M246">
        <v>0</v>
      </c>
      <c r="N246">
        <v>1200</v>
      </c>
    </row>
    <row r="247" spans="1:14" x14ac:dyDescent="0.25">
      <c r="A247">
        <v>105.73292499999999</v>
      </c>
      <c r="B247" s="1">
        <f>DATE(2010,8,14) + TIME(17,35,24)</f>
        <v>40404.732916666668</v>
      </c>
      <c r="C247">
        <v>1382.9067382999999</v>
      </c>
      <c r="D247">
        <v>1368.4307861</v>
      </c>
      <c r="E247">
        <v>1313.4025879000001</v>
      </c>
      <c r="F247">
        <v>1306.4785156</v>
      </c>
      <c r="G247">
        <v>80</v>
      </c>
      <c r="H247">
        <v>79.552978515999996</v>
      </c>
      <c r="I247">
        <v>50</v>
      </c>
      <c r="J247">
        <v>15.000004768</v>
      </c>
      <c r="K247">
        <v>1200</v>
      </c>
      <c r="L247">
        <v>0</v>
      </c>
      <c r="M247">
        <v>0</v>
      </c>
      <c r="N247">
        <v>1200</v>
      </c>
    </row>
    <row r="248" spans="1:14" x14ac:dyDescent="0.25">
      <c r="A248">
        <v>107.04450300000001</v>
      </c>
      <c r="B248" s="1">
        <f>DATE(2010,8,16) + TIME(1,4,5)</f>
        <v>40406.044502314813</v>
      </c>
      <c r="C248">
        <v>1382.8265381000001</v>
      </c>
      <c r="D248">
        <v>1368.3575439000001</v>
      </c>
      <c r="E248">
        <v>1313.4030762</v>
      </c>
      <c r="F248">
        <v>1306.4781493999999</v>
      </c>
      <c r="G248">
        <v>80</v>
      </c>
      <c r="H248">
        <v>79.554275512999993</v>
      </c>
      <c r="I248">
        <v>50</v>
      </c>
      <c r="J248">
        <v>15.000008583</v>
      </c>
      <c r="K248">
        <v>1200</v>
      </c>
      <c r="L248">
        <v>0</v>
      </c>
      <c r="M248">
        <v>0</v>
      </c>
      <c r="N248">
        <v>1200</v>
      </c>
    </row>
    <row r="249" spans="1:14" x14ac:dyDescent="0.25">
      <c r="A249">
        <v>108.36894100000001</v>
      </c>
      <c r="B249" s="1">
        <f>DATE(2010,8,17) + TIME(8,51,16)</f>
        <v>40407.368935185186</v>
      </c>
      <c r="C249">
        <v>1382.746582</v>
      </c>
      <c r="D249">
        <v>1368.2844238</v>
      </c>
      <c r="E249">
        <v>1313.4035644999999</v>
      </c>
      <c r="F249">
        <v>1306.4777832</v>
      </c>
      <c r="G249">
        <v>80</v>
      </c>
      <c r="H249">
        <v>79.555572510000005</v>
      </c>
      <c r="I249">
        <v>50</v>
      </c>
      <c r="J249">
        <v>15.000012398000001</v>
      </c>
      <c r="K249">
        <v>1200</v>
      </c>
      <c r="L249">
        <v>0</v>
      </c>
      <c r="M249">
        <v>0</v>
      </c>
      <c r="N249">
        <v>1200</v>
      </c>
    </row>
    <row r="250" spans="1:14" x14ac:dyDescent="0.25">
      <c r="A250">
        <v>109.702181</v>
      </c>
      <c r="B250" s="1">
        <f>DATE(2010,8,18) + TIME(16,51,8)</f>
        <v>40408.702175925922</v>
      </c>
      <c r="C250">
        <v>1382.666626</v>
      </c>
      <c r="D250">
        <v>1368.2114257999999</v>
      </c>
      <c r="E250">
        <v>1313.4039307</v>
      </c>
      <c r="F250">
        <v>1306.4774170000001</v>
      </c>
      <c r="G250">
        <v>80</v>
      </c>
      <c r="H250">
        <v>79.556869507000002</v>
      </c>
      <c r="I250">
        <v>50</v>
      </c>
      <c r="J250">
        <v>15.000015259</v>
      </c>
      <c r="K250">
        <v>1200</v>
      </c>
      <c r="L250">
        <v>0</v>
      </c>
      <c r="M250">
        <v>0</v>
      </c>
      <c r="N250">
        <v>1200</v>
      </c>
    </row>
    <row r="251" spans="1:14" x14ac:dyDescent="0.25">
      <c r="A251">
        <v>111.046386</v>
      </c>
      <c r="B251" s="1">
        <f>DATE(2010,8,20) + TIME(1,6,47)</f>
        <v>40410.046377314815</v>
      </c>
      <c r="C251">
        <v>1382.5872803</v>
      </c>
      <c r="D251">
        <v>1368.1389160000001</v>
      </c>
      <c r="E251">
        <v>1313.4044189000001</v>
      </c>
      <c r="F251">
        <v>1306.4770507999999</v>
      </c>
      <c r="G251">
        <v>80</v>
      </c>
      <c r="H251">
        <v>79.558174132999994</v>
      </c>
      <c r="I251">
        <v>50</v>
      </c>
      <c r="J251">
        <v>15.000019073000001</v>
      </c>
      <c r="K251">
        <v>1200</v>
      </c>
      <c r="L251">
        <v>0</v>
      </c>
      <c r="M251">
        <v>0</v>
      </c>
      <c r="N251">
        <v>1200</v>
      </c>
    </row>
    <row r="252" spans="1:14" x14ac:dyDescent="0.25">
      <c r="A252">
        <v>112.40374199999999</v>
      </c>
      <c r="B252" s="1">
        <f>DATE(2010,8,21) + TIME(9,41,23)</f>
        <v>40411.403738425928</v>
      </c>
      <c r="C252">
        <v>1382.5080565999999</v>
      </c>
      <c r="D252">
        <v>1368.0666504000001</v>
      </c>
      <c r="E252">
        <v>1313.4050293</v>
      </c>
      <c r="F252">
        <v>1306.4768065999999</v>
      </c>
      <c r="G252">
        <v>80</v>
      </c>
      <c r="H252">
        <v>79.559486389</v>
      </c>
      <c r="I252">
        <v>50</v>
      </c>
      <c r="J252">
        <v>15.000022888</v>
      </c>
      <c r="K252">
        <v>1200</v>
      </c>
      <c r="L252">
        <v>0</v>
      </c>
      <c r="M252">
        <v>0</v>
      </c>
      <c r="N252">
        <v>1200</v>
      </c>
    </row>
    <row r="253" spans="1:14" x14ac:dyDescent="0.25">
      <c r="A253">
        <v>113.776521</v>
      </c>
      <c r="B253" s="1">
        <f>DATE(2010,8,22) + TIME(18,38,11)</f>
        <v>40412.776516203703</v>
      </c>
      <c r="C253">
        <v>1382.4291992000001</v>
      </c>
      <c r="D253">
        <v>1367.9945068</v>
      </c>
      <c r="E253">
        <v>1313.4055175999999</v>
      </c>
      <c r="F253">
        <v>1306.4764404</v>
      </c>
      <c r="G253">
        <v>80</v>
      </c>
      <c r="H253">
        <v>79.560798645000006</v>
      </c>
      <c r="I253">
        <v>50</v>
      </c>
      <c r="J253">
        <v>15.000026703</v>
      </c>
      <c r="K253">
        <v>1200</v>
      </c>
      <c r="L253">
        <v>0</v>
      </c>
      <c r="M253">
        <v>0</v>
      </c>
      <c r="N253">
        <v>1200</v>
      </c>
    </row>
    <row r="254" spans="1:14" x14ac:dyDescent="0.25">
      <c r="A254">
        <v>115.167613</v>
      </c>
      <c r="B254" s="1">
        <f>DATE(2010,8,24) + TIME(4,1,21)</f>
        <v>40414.167604166665</v>
      </c>
      <c r="C254">
        <v>1382.3502197</v>
      </c>
      <c r="D254">
        <v>1367.9223632999999</v>
      </c>
      <c r="E254">
        <v>1313.4060059000001</v>
      </c>
      <c r="F254">
        <v>1306.4760742000001</v>
      </c>
      <c r="G254">
        <v>80</v>
      </c>
      <c r="H254">
        <v>79.562118530000006</v>
      </c>
      <c r="I254">
        <v>50</v>
      </c>
      <c r="J254">
        <v>15.000030518000001</v>
      </c>
      <c r="K254">
        <v>1200</v>
      </c>
      <c r="L254">
        <v>0</v>
      </c>
      <c r="M254">
        <v>0</v>
      </c>
      <c r="N254">
        <v>1200</v>
      </c>
    </row>
    <row r="255" spans="1:14" x14ac:dyDescent="0.25">
      <c r="A255">
        <v>116.572329</v>
      </c>
      <c r="B255" s="1">
        <f>DATE(2010,8,25) + TIME(13,44,9)</f>
        <v>40415.572326388887</v>
      </c>
      <c r="C255">
        <v>1382.2712402</v>
      </c>
      <c r="D255">
        <v>1367.8502197</v>
      </c>
      <c r="E255">
        <v>1313.4066161999999</v>
      </c>
      <c r="F255">
        <v>1306.4758300999999</v>
      </c>
      <c r="G255">
        <v>80</v>
      </c>
      <c r="H255">
        <v>79.563453674000002</v>
      </c>
      <c r="I255">
        <v>50</v>
      </c>
      <c r="J255">
        <v>15.000034332</v>
      </c>
      <c r="K255">
        <v>1200</v>
      </c>
      <c r="L255">
        <v>0</v>
      </c>
      <c r="M255">
        <v>0</v>
      </c>
      <c r="N255">
        <v>1200</v>
      </c>
    </row>
    <row r="256" spans="1:14" x14ac:dyDescent="0.25">
      <c r="A256">
        <v>117.97983600000001</v>
      </c>
      <c r="B256" s="1">
        <f>DATE(2010,8,26) + TIME(23,30,57)</f>
        <v>40416.979826388888</v>
      </c>
      <c r="C256">
        <v>1382.1923827999999</v>
      </c>
      <c r="D256">
        <v>1367.7781981999999</v>
      </c>
      <c r="E256">
        <v>1313.4072266000001</v>
      </c>
      <c r="F256">
        <v>1306.4754639</v>
      </c>
      <c r="G256">
        <v>80</v>
      </c>
      <c r="H256">
        <v>79.564773560000006</v>
      </c>
      <c r="I256">
        <v>50</v>
      </c>
      <c r="J256">
        <v>15.000038147</v>
      </c>
      <c r="K256">
        <v>1200</v>
      </c>
      <c r="L256">
        <v>0</v>
      </c>
      <c r="M256">
        <v>0</v>
      </c>
      <c r="N256">
        <v>1200</v>
      </c>
    </row>
    <row r="257" spans="1:14" x14ac:dyDescent="0.25">
      <c r="A257">
        <v>119.39267599999999</v>
      </c>
      <c r="B257" s="1">
        <f>DATE(2010,8,28) + TIME(9,25,27)</f>
        <v>40418.39267361111</v>
      </c>
      <c r="C257">
        <v>1382.1143798999999</v>
      </c>
      <c r="D257">
        <v>1367.7067870999999</v>
      </c>
      <c r="E257">
        <v>1313.4078368999999</v>
      </c>
      <c r="F257">
        <v>1306.4750977000001</v>
      </c>
      <c r="G257">
        <v>80</v>
      </c>
      <c r="H257">
        <v>79.566085814999994</v>
      </c>
      <c r="I257">
        <v>50</v>
      </c>
      <c r="J257">
        <v>15.000041961999999</v>
      </c>
      <c r="K257">
        <v>1200</v>
      </c>
      <c r="L257">
        <v>0</v>
      </c>
      <c r="M257">
        <v>0</v>
      </c>
      <c r="N257">
        <v>1200</v>
      </c>
    </row>
    <row r="258" spans="1:14" x14ac:dyDescent="0.25">
      <c r="A258">
        <v>120.81343</v>
      </c>
      <c r="B258" s="1">
        <f>DATE(2010,8,29) + TIME(19,31,20)</f>
        <v>40419.813425925924</v>
      </c>
      <c r="C258">
        <v>1382.0368652</v>
      </c>
      <c r="D258">
        <v>1367.6359863</v>
      </c>
      <c r="E258">
        <v>1313.4084473</v>
      </c>
      <c r="F258">
        <v>1306.4748535000001</v>
      </c>
      <c r="G258">
        <v>80</v>
      </c>
      <c r="H258">
        <v>79.567405700999998</v>
      </c>
      <c r="I258">
        <v>50</v>
      </c>
      <c r="J258">
        <v>15.000045776</v>
      </c>
      <c r="K258">
        <v>1200</v>
      </c>
      <c r="L258">
        <v>0</v>
      </c>
      <c r="M258">
        <v>0</v>
      </c>
      <c r="N258">
        <v>1200</v>
      </c>
    </row>
    <row r="259" spans="1:14" x14ac:dyDescent="0.25">
      <c r="A259">
        <v>122.24468400000001</v>
      </c>
      <c r="B259" s="1">
        <f>DATE(2010,8,31) + TIME(5,52,20)</f>
        <v>40421.244675925926</v>
      </c>
      <c r="C259">
        <v>1381.9599608999999</v>
      </c>
      <c r="D259">
        <v>1367.5656738</v>
      </c>
      <c r="E259">
        <v>1313.4090576000001</v>
      </c>
      <c r="F259">
        <v>1306.4744873</v>
      </c>
      <c r="G259">
        <v>80</v>
      </c>
      <c r="H259">
        <v>79.568717957000004</v>
      </c>
      <c r="I259">
        <v>50</v>
      </c>
      <c r="J259">
        <v>15.000049591</v>
      </c>
      <c r="K259">
        <v>1200</v>
      </c>
      <c r="L259">
        <v>0</v>
      </c>
      <c r="M259">
        <v>0</v>
      </c>
      <c r="N259">
        <v>1200</v>
      </c>
    </row>
    <row r="260" spans="1:14" x14ac:dyDescent="0.25">
      <c r="A260">
        <v>123</v>
      </c>
      <c r="B260" s="1">
        <f>DATE(2010,9,1) + TIME(0,0,0)</f>
        <v>40422</v>
      </c>
      <c r="C260">
        <v>1381.8830565999999</v>
      </c>
      <c r="D260">
        <v>1367.4953613</v>
      </c>
      <c r="E260">
        <v>1313.4095459</v>
      </c>
      <c r="F260">
        <v>1306.4741211</v>
      </c>
      <c r="G260">
        <v>80</v>
      </c>
      <c r="H260">
        <v>79.569389342999997</v>
      </c>
      <c r="I260">
        <v>50</v>
      </c>
      <c r="J260">
        <v>15.000051497999999</v>
      </c>
      <c r="K260">
        <v>1200</v>
      </c>
      <c r="L260">
        <v>0</v>
      </c>
      <c r="M260">
        <v>0</v>
      </c>
      <c r="N260">
        <v>1200</v>
      </c>
    </row>
    <row r="261" spans="1:14" x14ac:dyDescent="0.25">
      <c r="A261">
        <v>124.444361</v>
      </c>
      <c r="B261" s="1">
        <f>DATE(2010,9,2) + TIME(10,39,52)</f>
        <v>40423.444351851853</v>
      </c>
      <c r="C261">
        <v>1381.8427733999999</v>
      </c>
      <c r="D261">
        <v>1367.4584961</v>
      </c>
      <c r="E261">
        <v>1313.4099120999999</v>
      </c>
      <c r="F261">
        <v>1306.4738769999999</v>
      </c>
      <c r="G261">
        <v>80</v>
      </c>
      <c r="H261">
        <v>79.570716857999997</v>
      </c>
      <c r="I261">
        <v>50</v>
      </c>
      <c r="J261">
        <v>15.000055313000001</v>
      </c>
      <c r="K261">
        <v>1200</v>
      </c>
      <c r="L261">
        <v>0</v>
      </c>
      <c r="M261">
        <v>0</v>
      </c>
      <c r="N261">
        <v>1200</v>
      </c>
    </row>
    <row r="262" spans="1:14" x14ac:dyDescent="0.25">
      <c r="A262">
        <v>125.908558</v>
      </c>
      <c r="B262" s="1">
        <f>DATE(2010,9,3) + TIME(21,48,19)</f>
        <v>40424.908553240741</v>
      </c>
      <c r="C262">
        <v>1381.7670897999999</v>
      </c>
      <c r="D262">
        <v>1367.3894043</v>
      </c>
      <c r="E262">
        <v>1313.4107666</v>
      </c>
      <c r="F262">
        <v>1306.4737548999999</v>
      </c>
      <c r="G262">
        <v>80</v>
      </c>
      <c r="H262">
        <v>79.572044372999997</v>
      </c>
      <c r="I262">
        <v>50</v>
      </c>
      <c r="J262">
        <v>15.000059128</v>
      </c>
      <c r="K262">
        <v>1200</v>
      </c>
      <c r="L262">
        <v>0</v>
      </c>
      <c r="M262">
        <v>0</v>
      </c>
      <c r="N262">
        <v>1200</v>
      </c>
    </row>
    <row r="263" spans="1:14" x14ac:dyDescent="0.25">
      <c r="A263">
        <v>127.379259</v>
      </c>
      <c r="B263" s="1">
        <f>DATE(2010,9,5) + TIME(9,6,7)</f>
        <v>40426.379247685189</v>
      </c>
      <c r="C263">
        <v>1381.690918</v>
      </c>
      <c r="D263">
        <v>1367.3197021000001</v>
      </c>
      <c r="E263">
        <v>1313.411499</v>
      </c>
      <c r="F263">
        <v>1306.4735106999999</v>
      </c>
      <c r="G263">
        <v>80</v>
      </c>
      <c r="H263">
        <v>79.573371886999993</v>
      </c>
      <c r="I263">
        <v>50</v>
      </c>
      <c r="J263">
        <v>15.000061989000001</v>
      </c>
      <c r="K263">
        <v>1200</v>
      </c>
      <c r="L263">
        <v>0</v>
      </c>
      <c r="M263">
        <v>0</v>
      </c>
      <c r="N263">
        <v>1200</v>
      </c>
    </row>
    <row r="264" spans="1:14" x14ac:dyDescent="0.25">
      <c r="A264">
        <v>128.858925</v>
      </c>
      <c r="B264" s="1">
        <f>DATE(2010,9,6) + TIME(20,36,51)</f>
        <v>40427.858923611115</v>
      </c>
      <c r="C264">
        <v>1381.6153564000001</v>
      </c>
      <c r="D264">
        <v>1367.2506103999999</v>
      </c>
      <c r="E264">
        <v>1313.4122314000001</v>
      </c>
      <c r="F264">
        <v>1306.4732666</v>
      </c>
      <c r="G264">
        <v>80</v>
      </c>
      <c r="H264">
        <v>79.574691771999994</v>
      </c>
      <c r="I264">
        <v>50</v>
      </c>
      <c r="J264">
        <v>15.000065804</v>
      </c>
      <c r="K264">
        <v>1200</v>
      </c>
      <c r="L264">
        <v>0</v>
      </c>
      <c r="M264">
        <v>0</v>
      </c>
      <c r="N264">
        <v>1200</v>
      </c>
    </row>
    <row r="265" spans="1:14" x14ac:dyDescent="0.25">
      <c r="A265">
        <v>130.34999400000001</v>
      </c>
      <c r="B265" s="1">
        <f>DATE(2010,9,8) + TIME(8,23,59)</f>
        <v>40429.349988425929</v>
      </c>
      <c r="C265">
        <v>1381.5400391000001</v>
      </c>
      <c r="D265">
        <v>1367.1817627</v>
      </c>
      <c r="E265">
        <v>1313.4129639</v>
      </c>
      <c r="F265">
        <v>1306.4730225000001</v>
      </c>
      <c r="G265">
        <v>80</v>
      </c>
      <c r="H265">
        <v>79.576019286999994</v>
      </c>
      <c r="I265">
        <v>50</v>
      </c>
      <c r="J265">
        <v>15.000069617999999</v>
      </c>
      <c r="K265">
        <v>1200</v>
      </c>
      <c r="L265">
        <v>0</v>
      </c>
      <c r="M265">
        <v>0</v>
      </c>
      <c r="N265">
        <v>1200</v>
      </c>
    </row>
    <row r="266" spans="1:14" x14ac:dyDescent="0.25">
      <c r="A266">
        <v>131.85489799999999</v>
      </c>
      <c r="B266" s="1">
        <f>DATE(2010,9,9) + TIME(20,31,3)</f>
        <v>40430.854895833334</v>
      </c>
      <c r="C266">
        <v>1381.4650879000001</v>
      </c>
      <c r="D266">
        <v>1367.1131591999999</v>
      </c>
      <c r="E266">
        <v>1313.4138184000001</v>
      </c>
      <c r="F266">
        <v>1306.4727783000001</v>
      </c>
      <c r="G266">
        <v>80</v>
      </c>
      <c r="H266">
        <v>79.577346801999994</v>
      </c>
      <c r="I266">
        <v>50</v>
      </c>
      <c r="J266">
        <v>15.000073433000001</v>
      </c>
      <c r="K266">
        <v>1200</v>
      </c>
      <c r="L266">
        <v>0</v>
      </c>
      <c r="M266">
        <v>0</v>
      </c>
      <c r="N266">
        <v>1200</v>
      </c>
    </row>
    <row r="267" spans="1:14" x14ac:dyDescent="0.25">
      <c r="A267">
        <v>133.37616299999999</v>
      </c>
      <c r="B267" s="1">
        <f>DATE(2010,9,11) + TIME(9,1,40)</f>
        <v>40432.376157407409</v>
      </c>
      <c r="C267">
        <v>1381.3902588000001</v>
      </c>
      <c r="D267">
        <v>1367.0446777</v>
      </c>
      <c r="E267">
        <v>1313.4146728999999</v>
      </c>
      <c r="F267">
        <v>1306.4725341999999</v>
      </c>
      <c r="G267">
        <v>80</v>
      </c>
      <c r="H267">
        <v>79.578674316000004</v>
      </c>
      <c r="I267">
        <v>50</v>
      </c>
      <c r="J267">
        <v>15.000077248</v>
      </c>
      <c r="K267">
        <v>1200</v>
      </c>
      <c r="L267">
        <v>0</v>
      </c>
      <c r="M267">
        <v>0</v>
      </c>
      <c r="N267">
        <v>1200</v>
      </c>
    </row>
    <row r="268" spans="1:14" x14ac:dyDescent="0.25">
      <c r="A268">
        <v>134.91688600000001</v>
      </c>
      <c r="B268" s="1">
        <f>DATE(2010,9,12) + TIME(22,0,18)</f>
        <v>40433.916875000003</v>
      </c>
      <c r="C268">
        <v>1381.3155518000001</v>
      </c>
      <c r="D268">
        <v>1366.9763184000001</v>
      </c>
      <c r="E268">
        <v>1313.4155272999999</v>
      </c>
      <c r="F268">
        <v>1306.4724120999999</v>
      </c>
      <c r="G268">
        <v>80</v>
      </c>
      <c r="H268">
        <v>79.580009459999999</v>
      </c>
      <c r="I268">
        <v>50</v>
      </c>
      <c r="J268">
        <v>15.000081062</v>
      </c>
      <c r="K268">
        <v>1200</v>
      </c>
      <c r="L268">
        <v>0</v>
      </c>
      <c r="M268">
        <v>0</v>
      </c>
      <c r="N268">
        <v>1200</v>
      </c>
    </row>
    <row r="269" spans="1:14" x14ac:dyDescent="0.25">
      <c r="A269">
        <v>136.47969599999999</v>
      </c>
      <c r="B269" s="1">
        <f>DATE(2010,9,14) + TIME(11,30,45)</f>
        <v>40435.479687500003</v>
      </c>
      <c r="C269">
        <v>1381.2406006000001</v>
      </c>
      <c r="D269">
        <v>1366.9078368999999</v>
      </c>
      <c r="E269">
        <v>1313.4163818</v>
      </c>
      <c r="F269">
        <v>1306.472168</v>
      </c>
      <c r="G269">
        <v>80</v>
      </c>
      <c r="H269">
        <v>79.581359863000003</v>
      </c>
      <c r="I269">
        <v>50</v>
      </c>
      <c r="J269">
        <v>15.000084877000001</v>
      </c>
      <c r="K269">
        <v>1200</v>
      </c>
      <c r="L269">
        <v>0</v>
      </c>
      <c r="M269">
        <v>0</v>
      </c>
      <c r="N269">
        <v>1200</v>
      </c>
    </row>
    <row r="270" spans="1:14" x14ac:dyDescent="0.25">
      <c r="A270">
        <v>138.05624</v>
      </c>
      <c r="B270" s="1">
        <f>DATE(2010,9,16) + TIME(1,20,59)</f>
        <v>40437.056238425925</v>
      </c>
      <c r="C270">
        <v>1381.1655272999999</v>
      </c>
      <c r="D270">
        <v>1366.8389893000001</v>
      </c>
      <c r="E270">
        <v>1313.4173584</v>
      </c>
      <c r="F270">
        <v>1306.4720459</v>
      </c>
      <c r="G270">
        <v>80</v>
      </c>
      <c r="H270">
        <v>79.582710266000007</v>
      </c>
      <c r="I270">
        <v>50</v>
      </c>
      <c r="J270">
        <v>15.000088692</v>
      </c>
      <c r="K270">
        <v>1200</v>
      </c>
      <c r="L270">
        <v>0</v>
      </c>
      <c r="M270">
        <v>0</v>
      </c>
      <c r="N270">
        <v>1200</v>
      </c>
    </row>
    <row r="271" spans="1:14" x14ac:dyDescent="0.25">
      <c r="A271">
        <v>139.63921199999999</v>
      </c>
      <c r="B271" s="1">
        <f>DATE(2010,9,17) + TIME(15,20,27)</f>
        <v>40438.639201388891</v>
      </c>
      <c r="C271">
        <v>1381.0905762</v>
      </c>
      <c r="D271">
        <v>1366.7705077999999</v>
      </c>
      <c r="E271">
        <v>1313.4182129000001</v>
      </c>
      <c r="F271">
        <v>1306.4718018000001</v>
      </c>
      <c r="G271">
        <v>80</v>
      </c>
      <c r="H271">
        <v>79.584053040000001</v>
      </c>
      <c r="I271">
        <v>50</v>
      </c>
      <c r="J271">
        <v>15.000092506</v>
      </c>
      <c r="K271">
        <v>1200</v>
      </c>
      <c r="L271">
        <v>0</v>
      </c>
      <c r="M271">
        <v>0</v>
      </c>
      <c r="N271">
        <v>1200</v>
      </c>
    </row>
    <row r="272" spans="1:14" x14ac:dyDescent="0.25">
      <c r="A272">
        <v>141.23153600000001</v>
      </c>
      <c r="B272" s="1">
        <f>DATE(2010,9,19) + TIME(5,33,24)</f>
        <v>40440.231527777774</v>
      </c>
      <c r="C272">
        <v>1381.0162353999999</v>
      </c>
      <c r="D272">
        <v>1366.7023925999999</v>
      </c>
      <c r="E272">
        <v>1313.4193115</v>
      </c>
      <c r="F272">
        <v>1306.4716797000001</v>
      </c>
      <c r="G272">
        <v>80</v>
      </c>
      <c r="H272">
        <v>79.585388183999996</v>
      </c>
      <c r="I272">
        <v>50</v>
      </c>
      <c r="J272">
        <v>15.000097275</v>
      </c>
      <c r="K272">
        <v>1200</v>
      </c>
      <c r="L272">
        <v>0</v>
      </c>
      <c r="M272">
        <v>0</v>
      </c>
      <c r="N272">
        <v>1200</v>
      </c>
    </row>
    <row r="273" spans="1:14" x14ac:dyDescent="0.25">
      <c r="A273">
        <v>142.83620999999999</v>
      </c>
      <c r="B273" s="1">
        <f>DATE(2010,9,20) + TIME(20,4,8)</f>
        <v>40441.8362037037</v>
      </c>
      <c r="C273">
        <v>1380.9422606999999</v>
      </c>
      <c r="D273">
        <v>1366.6345214999999</v>
      </c>
      <c r="E273">
        <v>1313.4202881000001</v>
      </c>
      <c r="F273">
        <v>1306.4715576000001</v>
      </c>
      <c r="G273">
        <v>80</v>
      </c>
      <c r="H273">
        <v>79.586730957</v>
      </c>
      <c r="I273">
        <v>50</v>
      </c>
      <c r="J273">
        <v>15.000101088999999</v>
      </c>
      <c r="K273">
        <v>1200</v>
      </c>
      <c r="L273">
        <v>0</v>
      </c>
      <c r="M273">
        <v>0</v>
      </c>
      <c r="N273">
        <v>1200</v>
      </c>
    </row>
    <row r="274" spans="1:14" x14ac:dyDescent="0.25">
      <c r="A274">
        <v>144.455997</v>
      </c>
      <c r="B274" s="1">
        <f>DATE(2010,9,22) + TIME(10,56,38)</f>
        <v>40443.455995370372</v>
      </c>
      <c r="C274">
        <v>1380.8685303</v>
      </c>
      <c r="D274">
        <v>1366.5670166</v>
      </c>
      <c r="E274">
        <v>1313.4213867000001</v>
      </c>
      <c r="F274">
        <v>1306.4714355000001</v>
      </c>
      <c r="G274">
        <v>80</v>
      </c>
      <c r="H274">
        <v>79.588073730000005</v>
      </c>
      <c r="I274">
        <v>50</v>
      </c>
      <c r="J274">
        <v>15.000104904000001</v>
      </c>
      <c r="K274">
        <v>1200</v>
      </c>
      <c r="L274">
        <v>0</v>
      </c>
      <c r="M274">
        <v>0</v>
      </c>
      <c r="N274">
        <v>1200</v>
      </c>
    </row>
    <row r="275" spans="1:14" x14ac:dyDescent="0.25">
      <c r="A275">
        <v>146.07854599999999</v>
      </c>
      <c r="B275" s="1">
        <f>DATE(2010,9,24) + TIME(1,53,6)</f>
        <v>40445.078541666669</v>
      </c>
      <c r="C275">
        <v>1380.7947998</v>
      </c>
      <c r="D275">
        <v>1366.4995117000001</v>
      </c>
      <c r="E275">
        <v>1313.4224853999999</v>
      </c>
      <c r="F275">
        <v>1306.4713135</v>
      </c>
      <c r="G275">
        <v>80</v>
      </c>
      <c r="H275">
        <v>79.589416503999999</v>
      </c>
      <c r="I275">
        <v>50</v>
      </c>
      <c r="J275">
        <v>15.000108719</v>
      </c>
      <c r="K275">
        <v>1200</v>
      </c>
      <c r="L275">
        <v>0</v>
      </c>
      <c r="M275">
        <v>0</v>
      </c>
      <c r="N275">
        <v>1200</v>
      </c>
    </row>
    <row r="276" spans="1:14" x14ac:dyDescent="0.25">
      <c r="A276">
        <v>147.70660000000001</v>
      </c>
      <c r="B276" s="1">
        <f>DATE(2010,9,25) + TIME(16,57,30)</f>
        <v>40446.706597222219</v>
      </c>
      <c r="C276">
        <v>1380.7219238</v>
      </c>
      <c r="D276">
        <v>1366.4327393000001</v>
      </c>
      <c r="E276">
        <v>1313.4235839999999</v>
      </c>
      <c r="F276">
        <v>1306.4711914</v>
      </c>
      <c r="G276">
        <v>80</v>
      </c>
      <c r="H276">
        <v>79.590744018999999</v>
      </c>
      <c r="I276">
        <v>50</v>
      </c>
      <c r="J276">
        <v>15.000113487</v>
      </c>
      <c r="K276">
        <v>1200</v>
      </c>
      <c r="L276">
        <v>0</v>
      </c>
      <c r="M276">
        <v>0</v>
      </c>
      <c r="N276">
        <v>1200</v>
      </c>
    </row>
    <row r="277" spans="1:14" x14ac:dyDescent="0.25">
      <c r="A277">
        <v>149.34290999999999</v>
      </c>
      <c r="B277" s="1">
        <f>DATE(2010,9,27) + TIME(8,13,47)</f>
        <v>40448.342905092592</v>
      </c>
      <c r="C277">
        <v>1380.6494141000001</v>
      </c>
      <c r="D277">
        <v>1366.3663329999999</v>
      </c>
      <c r="E277">
        <v>1313.4246826000001</v>
      </c>
      <c r="F277">
        <v>1306.4711914</v>
      </c>
      <c r="G277">
        <v>80</v>
      </c>
      <c r="H277">
        <v>79.592071532999995</v>
      </c>
      <c r="I277">
        <v>50</v>
      </c>
      <c r="J277">
        <v>15.000117302</v>
      </c>
      <c r="K277">
        <v>1200</v>
      </c>
      <c r="L277">
        <v>0</v>
      </c>
      <c r="M277">
        <v>0</v>
      </c>
      <c r="N277">
        <v>1200</v>
      </c>
    </row>
    <row r="278" spans="1:14" x14ac:dyDescent="0.25">
      <c r="A278">
        <v>150.990241</v>
      </c>
      <c r="B278" s="1">
        <f>DATE(2010,9,28) + TIME(23,45,56)</f>
        <v>40449.990231481483</v>
      </c>
      <c r="C278">
        <v>1380.5775146000001</v>
      </c>
      <c r="D278">
        <v>1366.300293</v>
      </c>
      <c r="E278">
        <v>1313.4259033000001</v>
      </c>
      <c r="F278">
        <v>1306.4711914</v>
      </c>
      <c r="G278">
        <v>80</v>
      </c>
      <c r="H278">
        <v>79.593391417999996</v>
      </c>
      <c r="I278">
        <v>50</v>
      </c>
      <c r="J278">
        <v>15.00012207</v>
      </c>
      <c r="K278">
        <v>1200</v>
      </c>
      <c r="L278">
        <v>0</v>
      </c>
      <c r="M278">
        <v>0</v>
      </c>
      <c r="N278">
        <v>1200</v>
      </c>
    </row>
    <row r="279" spans="1:14" x14ac:dyDescent="0.25">
      <c r="A279">
        <v>152.65138099999999</v>
      </c>
      <c r="B279" s="1">
        <f>DATE(2010,9,30) + TIME(15,37,59)</f>
        <v>40451.651377314818</v>
      </c>
      <c r="C279">
        <v>1380.5057373</v>
      </c>
      <c r="D279">
        <v>1366.2346190999999</v>
      </c>
      <c r="E279">
        <v>1313.4272461</v>
      </c>
      <c r="F279">
        <v>1306.4710693</v>
      </c>
      <c r="G279">
        <v>80</v>
      </c>
      <c r="H279">
        <v>79.594718932999996</v>
      </c>
      <c r="I279">
        <v>50</v>
      </c>
      <c r="J279">
        <v>15.000126839</v>
      </c>
      <c r="K279">
        <v>1200</v>
      </c>
      <c r="L279">
        <v>0</v>
      </c>
      <c r="M279">
        <v>0</v>
      </c>
      <c r="N279">
        <v>1200</v>
      </c>
    </row>
    <row r="280" spans="1:14" x14ac:dyDescent="0.25">
      <c r="A280">
        <v>153</v>
      </c>
      <c r="B280" s="1">
        <f>DATE(2010,10,1) + TIME(0,0,0)</f>
        <v>40452</v>
      </c>
      <c r="C280">
        <v>1380.4355469</v>
      </c>
      <c r="D280">
        <v>1366.1701660000001</v>
      </c>
      <c r="E280">
        <v>1313.4290771000001</v>
      </c>
      <c r="F280">
        <v>1306.4716797000001</v>
      </c>
      <c r="G280">
        <v>80</v>
      </c>
      <c r="H280">
        <v>79.594978333</v>
      </c>
      <c r="I280">
        <v>50</v>
      </c>
      <c r="J280">
        <v>15.000128746</v>
      </c>
      <c r="K280">
        <v>1200</v>
      </c>
      <c r="L280">
        <v>0</v>
      </c>
      <c r="M280">
        <v>0</v>
      </c>
      <c r="N280">
        <v>1200</v>
      </c>
    </row>
    <row r="281" spans="1:14" x14ac:dyDescent="0.25">
      <c r="A281">
        <v>154.67775399999999</v>
      </c>
      <c r="B281" s="1">
        <f>DATE(2010,10,2) + TIME(16,15,57)</f>
        <v>40453.677743055552</v>
      </c>
      <c r="C281">
        <v>1380.4187012</v>
      </c>
      <c r="D281">
        <v>1366.1546631000001</v>
      </c>
      <c r="E281">
        <v>1313.4284668</v>
      </c>
      <c r="F281">
        <v>1306.4708252</v>
      </c>
      <c r="G281">
        <v>80</v>
      </c>
      <c r="H281">
        <v>79.596313476999995</v>
      </c>
      <c r="I281">
        <v>50</v>
      </c>
      <c r="J281">
        <v>15.000133514</v>
      </c>
      <c r="K281">
        <v>1200</v>
      </c>
      <c r="L281">
        <v>0</v>
      </c>
      <c r="M281">
        <v>0</v>
      </c>
      <c r="N281">
        <v>1200</v>
      </c>
    </row>
    <row r="282" spans="1:14" x14ac:dyDescent="0.25">
      <c r="A282">
        <v>156.379864</v>
      </c>
      <c r="B282" s="1">
        <f>DATE(2010,10,4) + TIME(9,7,0)</f>
        <v>40455.379861111112</v>
      </c>
      <c r="C282">
        <v>1380.3479004000001</v>
      </c>
      <c r="D282">
        <v>1366.0898437999999</v>
      </c>
      <c r="E282">
        <v>1313.4301757999999</v>
      </c>
      <c r="F282">
        <v>1306.4711914</v>
      </c>
      <c r="G282">
        <v>80</v>
      </c>
      <c r="H282">
        <v>79.59765625</v>
      </c>
      <c r="I282">
        <v>50</v>
      </c>
      <c r="J282">
        <v>15.000138283</v>
      </c>
      <c r="K282">
        <v>1200</v>
      </c>
      <c r="L282">
        <v>0</v>
      </c>
      <c r="M282">
        <v>0</v>
      </c>
      <c r="N282">
        <v>1200</v>
      </c>
    </row>
    <row r="283" spans="1:14" x14ac:dyDescent="0.25">
      <c r="A283">
        <v>158.10573199999999</v>
      </c>
      <c r="B283" s="1">
        <f>DATE(2010,10,6) + TIME(2,32,15)</f>
        <v>40457.105729166666</v>
      </c>
      <c r="C283">
        <v>1380.2763672000001</v>
      </c>
      <c r="D283">
        <v>1366.0241699000001</v>
      </c>
      <c r="E283">
        <v>1313.4316406</v>
      </c>
      <c r="F283">
        <v>1306.4713135</v>
      </c>
      <c r="G283">
        <v>80</v>
      </c>
      <c r="H283">
        <v>79.599006653000004</v>
      </c>
      <c r="I283">
        <v>50</v>
      </c>
      <c r="J283">
        <v>15.000144004999999</v>
      </c>
      <c r="K283">
        <v>1200</v>
      </c>
      <c r="L283">
        <v>0</v>
      </c>
      <c r="M283">
        <v>0</v>
      </c>
      <c r="N283">
        <v>1200</v>
      </c>
    </row>
    <row r="284" spans="1:14" x14ac:dyDescent="0.25">
      <c r="A284">
        <v>159.840416</v>
      </c>
      <c r="B284" s="1">
        <f>DATE(2010,10,7) + TIME(20,10,11)</f>
        <v>40458.840405092589</v>
      </c>
      <c r="C284">
        <v>1380.2045897999999</v>
      </c>
      <c r="D284">
        <v>1365.9582519999999</v>
      </c>
      <c r="E284">
        <v>1313.4331055</v>
      </c>
      <c r="F284">
        <v>1306.4714355000001</v>
      </c>
      <c r="G284">
        <v>80</v>
      </c>
      <c r="H284">
        <v>79.600341796999999</v>
      </c>
      <c r="I284">
        <v>50</v>
      </c>
      <c r="J284">
        <v>15.000149727</v>
      </c>
      <c r="K284">
        <v>1200</v>
      </c>
      <c r="L284">
        <v>0</v>
      </c>
      <c r="M284">
        <v>0</v>
      </c>
      <c r="N284">
        <v>1200</v>
      </c>
    </row>
    <row r="285" spans="1:14" x14ac:dyDescent="0.25">
      <c r="A285">
        <v>161.58550299999999</v>
      </c>
      <c r="B285" s="1">
        <f>DATE(2010,10,9) + TIME(14,3,7)</f>
        <v>40460.585497685184</v>
      </c>
      <c r="C285">
        <v>1380.1330565999999</v>
      </c>
      <c r="D285">
        <v>1365.8927002</v>
      </c>
      <c r="E285">
        <v>1313.4345702999999</v>
      </c>
      <c r="F285">
        <v>1306.4715576000001</v>
      </c>
      <c r="G285">
        <v>80</v>
      </c>
      <c r="H285">
        <v>79.601684570000003</v>
      </c>
      <c r="I285">
        <v>50</v>
      </c>
      <c r="J285">
        <v>15.000156403</v>
      </c>
      <c r="K285">
        <v>1200</v>
      </c>
      <c r="L285">
        <v>0</v>
      </c>
      <c r="M285">
        <v>0</v>
      </c>
      <c r="N285">
        <v>1200</v>
      </c>
    </row>
    <row r="286" spans="1:14" x14ac:dyDescent="0.25">
      <c r="A286">
        <v>163.34429600000001</v>
      </c>
      <c r="B286" s="1">
        <f>DATE(2010,10,11) + TIME(8,15,47)</f>
        <v>40462.344293981485</v>
      </c>
      <c r="C286">
        <v>1380.0620117000001</v>
      </c>
      <c r="D286">
        <v>1365.8273925999999</v>
      </c>
      <c r="E286">
        <v>1313.4361572</v>
      </c>
      <c r="F286">
        <v>1306.4716797000001</v>
      </c>
      <c r="G286">
        <v>80</v>
      </c>
      <c r="H286">
        <v>79.603019713999998</v>
      </c>
      <c r="I286">
        <v>50</v>
      </c>
      <c r="J286">
        <v>15.000163078</v>
      </c>
      <c r="K286">
        <v>1200</v>
      </c>
      <c r="L286">
        <v>0</v>
      </c>
      <c r="M286">
        <v>0</v>
      </c>
      <c r="N286">
        <v>1200</v>
      </c>
    </row>
    <row r="287" spans="1:14" x14ac:dyDescent="0.25">
      <c r="A287">
        <v>165.103106</v>
      </c>
      <c r="B287" s="1">
        <f>DATE(2010,10,13) + TIME(2,28,28)</f>
        <v>40464.103101851855</v>
      </c>
      <c r="C287">
        <v>1379.9910889</v>
      </c>
      <c r="D287">
        <v>1365.7623291</v>
      </c>
      <c r="E287">
        <v>1313.4378661999999</v>
      </c>
      <c r="F287">
        <v>1306.4719238</v>
      </c>
      <c r="G287">
        <v>80</v>
      </c>
      <c r="H287">
        <v>79.604347228999998</v>
      </c>
      <c r="I287">
        <v>50</v>
      </c>
      <c r="J287">
        <v>15.000170708000001</v>
      </c>
      <c r="K287">
        <v>1200</v>
      </c>
      <c r="L287">
        <v>0</v>
      </c>
      <c r="M287">
        <v>0</v>
      </c>
      <c r="N287">
        <v>1200</v>
      </c>
    </row>
    <row r="288" spans="1:14" x14ac:dyDescent="0.25">
      <c r="A288">
        <v>166.864375</v>
      </c>
      <c r="B288" s="1">
        <f>DATE(2010,10,14) + TIME(20,44,41)</f>
        <v>40465.864363425928</v>
      </c>
      <c r="C288">
        <v>1379.9208983999999</v>
      </c>
      <c r="D288">
        <v>1365.6977539</v>
      </c>
      <c r="E288">
        <v>1313.4394531</v>
      </c>
      <c r="F288">
        <v>1306.4720459</v>
      </c>
      <c r="G288">
        <v>80</v>
      </c>
      <c r="H288">
        <v>79.605659485000004</v>
      </c>
      <c r="I288">
        <v>50</v>
      </c>
      <c r="J288">
        <v>15.000178336999999</v>
      </c>
      <c r="K288">
        <v>1200</v>
      </c>
      <c r="L288">
        <v>0</v>
      </c>
      <c r="M288">
        <v>0</v>
      </c>
      <c r="N288">
        <v>1200</v>
      </c>
    </row>
    <row r="289" spans="1:14" x14ac:dyDescent="0.25">
      <c r="A289">
        <v>168.630977</v>
      </c>
      <c r="B289" s="1">
        <f>DATE(2010,10,16) + TIME(15,8,36)</f>
        <v>40467.630972222221</v>
      </c>
      <c r="C289">
        <v>1379.8513184000001</v>
      </c>
      <c r="D289">
        <v>1365.6339111</v>
      </c>
      <c r="E289">
        <v>1313.4411620999999</v>
      </c>
      <c r="F289">
        <v>1306.4722899999999</v>
      </c>
      <c r="G289">
        <v>80</v>
      </c>
      <c r="H289">
        <v>79.606971740999995</v>
      </c>
      <c r="I289">
        <v>50</v>
      </c>
      <c r="J289">
        <v>15.000187874</v>
      </c>
      <c r="K289">
        <v>1200</v>
      </c>
      <c r="L289">
        <v>0</v>
      </c>
      <c r="M289">
        <v>0</v>
      </c>
      <c r="N289">
        <v>1200</v>
      </c>
    </row>
    <row r="290" spans="1:14" x14ac:dyDescent="0.25">
      <c r="A290">
        <v>170.4059</v>
      </c>
      <c r="B290" s="1">
        <f>DATE(2010,10,18) + TIME(9,44,29)</f>
        <v>40469.405891203707</v>
      </c>
      <c r="C290">
        <v>1379.7823486</v>
      </c>
      <c r="D290">
        <v>1365.5704346</v>
      </c>
      <c r="E290">
        <v>1313.4429932</v>
      </c>
      <c r="F290">
        <v>1306.4726562000001</v>
      </c>
      <c r="G290">
        <v>80</v>
      </c>
      <c r="H290">
        <v>79.608276367000002</v>
      </c>
      <c r="I290">
        <v>50</v>
      </c>
      <c r="J290">
        <v>15.000198363999999</v>
      </c>
      <c r="K290">
        <v>1200</v>
      </c>
      <c r="L290">
        <v>0</v>
      </c>
      <c r="M290">
        <v>0</v>
      </c>
      <c r="N290">
        <v>1200</v>
      </c>
    </row>
    <row r="291" spans="1:14" x14ac:dyDescent="0.25">
      <c r="A291">
        <v>172.19224</v>
      </c>
      <c r="B291" s="1">
        <f>DATE(2010,10,20) + TIME(4,36,49)</f>
        <v>40471.192233796297</v>
      </c>
      <c r="C291">
        <v>1379.7136230000001</v>
      </c>
      <c r="D291">
        <v>1365.5073242000001</v>
      </c>
      <c r="E291">
        <v>1313.4448242000001</v>
      </c>
      <c r="F291">
        <v>1306.4730225000001</v>
      </c>
      <c r="G291">
        <v>80</v>
      </c>
      <c r="H291">
        <v>79.609573363999999</v>
      </c>
      <c r="I291">
        <v>50</v>
      </c>
      <c r="J291">
        <v>15.000209807999999</v>
      </c>
      <c r="K291">
        <v>1200</v>
      </c>
      <c r="L291">
        <v>0</v>
      </c>
      <c r="M291">
        <v>0</v>
      </c>
      <c r="N291">
        <v>1200</v>
      </c>
    </row>
    <row r="292" spans="1:14" x14ac:dyDescent="0.25">
      <c r="A292">
        <v>173.99311499999999</v>
      </c>
      <c r="B292" s="1">
        <f>DATE(2010,10,21) + TIME(23,50,5)</f>
        <v>40472.993113425924</v>
      </c>
      <c r="C292">
        <v>1379.6451416</v>
      </c>
      <c r="D292">
        <v>1365.4443358999999</v>
      </c>
      <c r="E292">
        <v>1313.4467772999999</v>
      </c>
      <c r="F292">
        <v>1306.4733887</v>
      </c>
      <c r="G292">
        <v>80</v>
      </c>
      <c r="H292">
        <v>79.610877990999995</v>
      </c>
      <c r="I292">
        <v>50</v>
      </c>
      <c r="J292">
        <v>15.000222206</v>
      </c>
      <c r="K292">
        <v>1200</v>
      </c>
      <c r="L292">
        <v>0</v>
      </c>
      <c r="M292">
        <v>0</v>
      </c>
      <c r="N292">
        <v>1200</v>
      </c>
    </row>
    <row r="293" spans="1:14" x14ac:dyDescent="0.25">
      <c r="A293">
        <v>175.81170299999999</v>
      </c>
      <c r="B293" s="1">
        <f>DATE(2010,10,23) + TIME(19,28,51)</f>
        <v>40474.811701388891</v>
      </c>
      <c r="C293">
        <v>1379.5769043</v>
      </c>
      <c r="D293">
        <v>1365.3815918</v>
      </c>
      <c r="E293">
        <v>1313.4487305</v>
      </c>
      <c r="F293">
        <v>1306.4737548999999</v>
      </c>
      <c r="G293">
        <v>80</v>
      </c>
      <c r="H293">
        <v>79.612182617000002</v>
      </c>
      <c r="I293">
        <v>50</v>
      </c>
      <c r="J293">
        <v>15.000237465</v>
      </c>
      <c r="K293">
        <v>1200</v>
      </c>
      <c r="L293">
        <v>0</v>
      </c>
      <c r="M293">
        <v>0</v>
      </c>
      <c r="N293">
        <v>1200</v>
      </c>
    </row>
    <row r="294" spans="1:14" x14ac:dyDescent="0.25">
      <c r="A294">
        <v>177.651218</v>
      </c>
      <c r="B294" s="1">
        <f>DATE(2010,10,25) + TIME(15,37,45)</f>
        <v>40476.65121527778</v>
      </c>
      <c r="C294">
        <v>1379.5086670000001</v>
      </c>
      <c r="D294">
        <v>1365.3187256000001</v>
      </c>
      <c r="E294">
        <v>1313.4508057</v>
      </c>
      <c r="F294">
        <v>1306.4742432</v>
      </c>
      <c r="G294">
        <v>80</v>
      </c>
      <c r="H294">
        <v>79.613494872999993</v>
      </c>
      <c r="I294">
        <v>50</v>
      </c>
      <c r="J294">
        <v>15.000253677</v>
      </c>
      <c r="K294">
        <v>1200</v>
      </c>
      <c r="L294">
        <v>0</v>
      </c>
      <c r="M294">
        <v>0</v>
      </c>
      <c r="N294">
        <v>1200</v>
      </c>
    </row>
    <row r="295" spans="1:14" x14ac:dyDescent="0.25">
      <c r="A295">
        <v>179.51577700000001</v>
      </c>
      <c r="B295" s="1">
        <f>DATE(2010,10,27) + TIME(12,22,43)</f>
        <v>40478.515775462962</v>
      </c>
      <c r="C295">
        <v>1379.4403076000001</v>
      </c>
      <c r="D295">
        <v>1365.2558594</v>
      </c>
      <c r="E295">
        <v>1313.4530029</v>
      </c>
      <c r="F295">
        <v>1306.4747314000001</v>
      </c>
      <c r="G295">
        <v>80</v>
      </c>
      <c r="H295">
        <v>79.614807128999999</v>
      </c>
      <c r="I295">
        <v>50</v>
      </c>
      <c r="J295">
        <v>15.000273705</v>
      </c>
      <c r="K295">
        <v>1200</v>
      </c>
      <c r="L295">
        <v>0</v>
      </c>
      <c r="M295">
        <v>0</v>
      </c>
      <c r="N295">
        <v>1200</v>
      </c>
    </row>
    <row r="296" spans="1:14" x14ac:dyDescent="0.25">
      <c r="A296">
        <v>181.40826799999999</v>
      </c>
      <c r="B296" s="1">
        <f>DATE(2010,10,29) + TIME(9,47,54)</f>
        <v>40480.408263888887</v>
      </c>
      <c r="C296">
        <v>1379.3717041</v>
      </c>
      <c r="D296">
        <v>1365.192749</v>
      </c>
      <c r="E296">
        <v>1313.4553223</v>
      </c>
      <c r="F296">
        <v>1306.4753418</v>
      </c>
      <c r="G296">
        <v>80</v>
      </c>
      <c r="H296">
        <v>79.616134643999999</v>
      </c>
      <c r="I296">
        <v>50</v>
      </c>
      <c r="J296">
        <v>15.000296593</v>
      </c>
      <c r="K296">
        <v>1200</v>
      </c>
      <c r="L296">
        <v>0</v>
      </c>
      <c r="M296">
        <v>0</v>
      </c>
      <c r="N296">
        <v>1200</v>
      </c>
    </row>
    <row r="297" spans="1:14" x14ac:dyDescent="0.25">
      <c r="A297">
        <v>182.36441300000001</v>
      </c>
      <c r="B297" s="1">
        <f>DATE(2010,10,30) + TIME(8,44,45)</f>
        <v>40481.36440972222</v>
      </c>
      <c r="C297">
        <v>1379.3024902</v>
      </c>
      <c r="D297">
        <v>1365.1290283000001</v>
      </c>
      <c r="E297">
        <v>1313.4575195</v>
      </c>
      <c r="F297">
        <v>1306.4758300999999</v>
      </c>
      <c r="G297">
        <v>80</v>
      </c>
      <c r="H297">
        <v>79.616775512999993</v>
      </c>
      <c r="I297">
        <v>50</v>
      </c>
      <c r="J297">
        <v>15.000313759000001</v>
      </c>
      <c r="K297">
        <v>1200</v>
      </c>
      <c r="L297">
        <v>0</v>
      </c>
      <c r="M297">
        <v>0</v>
      </c>
      <c r="N297">
        <v>1200</v>
      </c>
    </row>
    <row r="298" spans="1:14" x14ac:dyDescent="0.25">
      <c r="A298">
        <v>184</v>
      </c>
      <c r="B298" s="1">
        <f>DATE(2010,11,1) + TIME(0,0,0)</f>
        <v>40483</v>
      </c>
      <c r="C298">
        <v>1379.2675781</v>
      </c>
      <c r="D298">
        <v>1365.0968018000001</v>
      </c>
      <c r="E298">
        <v>1313.4584961</v>
      </c>
      <c r="F298">
        <v>1306.4759521000001</v>
      </c>
      <c r="G298">
        <v>80</v>
      </c>
      <c r="H298">
        <v>79.617904663000004</v>
      </c>
      <c r="I298">
        <v>50</v>
      </c>
      <c r="J298">
        <v>15.000338554000001</v>
      </c>
      <c r="K298">
        <v>1200</v>
      </c>
      <c r="L298">
        <v>0</v>
      </c>
      <c r="M298">
        <v>0</v>
      </c>
      <c r="N298">
        <v>1200</v>
      </c>
    </row>
    <row r="299" spans="1:14" x14ac:dyDescent="0.25">
      <c r="A299">
        <v>184.000001</v>
      </c>
      <c r="B299" s="1">
        <f>DATE(2010,11,1) + TIME(0,0,0)</f>
        <v>40483</v>
      </c>
      <c r="C299">
        <v>1364.8084716999999</v>
      </c>
      <c r="D299">
        <v>1352.2371826000001</v>
      </c>
      <c r="E299">
        <v>1320.4855957</v>
      </c>
      <c r="F299">
        <v>1313.7395019999999</v>
      </c>
      <c r="G299">
        <v>80</v>
      </c>
      <c r="H299">
        <v>79.617866516000007</v>
      </c>
      <c r="I299">
        <v>50</v>
      </c>
      <c r="J299">
        <v>15.000379561999999</v>
      </c>
      <c r="K299">
        <v>0</v>
      </c>
      <c r="L299">
        <v>1200</v>
      </c>
      <c r="M299">
        <v>1200</v>
      </c>
      <c r="N299">
        <v>0</v>
      </c>
    </row>
    <row r="300" spans="1:14" x14ac:dyDescent="0.25">
      <c r="A300">
        <v>184.00000399999999</v>
      </c>
      <c r="B300" s="1">
        <f>DATE(2010,11,1) + TIME(0,0,0)</f>
        <v>40483</v>
      </c>
      <c r="C300">
        <v>1364.0086670000001</v>
      </c>
      <c r="D300">
        <v>1351.4350586</v>
      </c>
      <c r="E300">
        <v>1321.2866211</v>
      </c>
      <c r="F300">
        <v>1314.5405272999999</v>
      </c>
      <c r="G300">
        <v>80</v>
      </c>
      <c r="H300">
        <v>79.617752074999999</v>
      </c>
      <c r="I300">
        <v>50</v>
      </c>
      <c r="J300">
        <v>15.000498772</v>
      </c>
      <c r="K300">
        <v>0</v>
      </c>
      <c r="L300">
        <v>1200</v>
      </c>
      <c r="M300">
        <v>1200</v>
      </c>
      <c r="N300">
        <v>0</v>
      </c>
    </row>
    <row r="301" spans="1:14" x14ac:dyDescent="0.25">
      <c r="A301">
        <v>184.000013</v>
      </c>
      <c r="B301" s="1">
        <f>DATE(2010,11,1) + TIME(0,0,1)</f>
        <v>40483.000011574077</v>
      </c>
      <c r="C301">
        <v>1362.0446777</v>
      </c>
      <c r="D301">
        <v>1349.4667969</v>
      </c>
      <c r="E301">
        <v>1323.3726807</v>
      </c>
      <c r="F301">
        <v>1316.6265868999999</v>
      </c>
      <c r="G301">
        <v>80</v>
      </c>
      <c r="H301">
        <v>79.617469787999994</v>
      </c>
      <c r="I301">
        <v>50</v>
      </c>
      <c r="J301">
        <v>15.000824928</v>
      </c>
      <c r="K301">
        <v>0</v>
      </c>
      <c r="L301">
        <v>1200</v>
      </c>
      <c r="M301">
        <v>1200</v>
      </c>
      <c r="N301">
        <v>0</v>
      </c>
    </row>
    <row r="302" spans="1:14" x14ac:dyDescent="0.25">
      <c r="A302">
        <v>184.00004000000001</v>
      </c>
      <c r="B302" s="1">
        <f>DATE(2010,11,1) + TIME(0,0,3)</f>
        <v>40483.000034722223</v>
      </c>
      <c r="C302">
        <v>1358.1931152</v>
      </c>
      <c r="D302">
        <v>1345.6124268000001</v>
      </c>
      <c r="E302">
        <v>1327.7939452999999</v>
      </c>
      <c r="F302">
        <v>1321.0478516000001</v>
      </c>
      <c r="G302">
        <v>80</v>
      </c>
      <c r="H302">
        <v>79.616920471</v>
      </c>
      <c r="I302">
        <v>50</v>
      </c>
      <c r="J302">
        <v>15.001615524</v>
      </c>
      <c r="K302">
        <v>0</v>
      </c>
      <c r="L302">
        <v>1200</v>
      </c>
      <c r="M302">
        <v>1200</v>
      </c>
      <c r="N302">
        <v>0</v>
      </c>
    </row>
    <row r="303" spans="1:14" x14ac:dyDescent="0.25">
      <c r="A303">
        <v>184.00012100000001</v>
      </c>
      <c r="B303" s="1">
        <f>DATE(2010,11,1) + TIME(0,0,10)</f>
        <v>40483.000115740739</v>
      </c>
      <c r="C303">
        <v>1352.5028076000001</v>
      </c>
      <c r="D303">
        <v>1339.927124</v>
      </c>
      <c r="E303">
        <v>1334.418457</v>
      </c>
      <c r="F303">
        <v>1327.6724853999999</v>
      </c>
      <c r="G303">
        <v>80</v>
      </c>
      <c r="H303">
        <v>79.616096497000001</v>
      </c>
      <c r="I303">
        <v>50</v>
      </c>
      <c r="J303">
        <v>15.00330162</v>
      </c>
      <c r="K303">
        <v>0</v>
      </c>
      <c r="L303">
        <v>1200</v>
      </c>
      <c r="M303">
        <v>1200</v>
      </c>
      <c r="N303">
        <v>0</v>
      </c>
    </row>
    <row r="304" spans="1:14" x14ac:dyDescent="0.25">
      <c r="A304">
        <v>184.00036399999999</v>
      </c>
      <c r="B304" s="1">
        <f>DATE(2010,11,1) + TIME(0,0,31)</f>
        <v>40483.000358796293</v>
      </c>
      <c r="C304">
        <v>1345.7587891000001</v>
      </c>
      <c r="D304">
        <v>1333.2155762</v>
      </c>
      <c r="E304">
        <v>1341.3288574000001</v>
      </c>
      <c r="F304">
        <v>1334.5837402</v>
      </c>
      <c r="G304">
        <v>80</v>
      </c>
      <c r="H304">
        <v>79.615051269999995</v>
      </c>
      <c r="I304">
        <v>50</v>
      </c>
      <c r="J304">
        <v>15.00702858</v>
      </c>
      <c r="K304">
        <v>0</v>
      </c>
      <c r="L304">
        <v>1200</v>
      </c>
      <c r="M304">
        <v>1200</v>
      </c>
      <c r="N304">
        <v>0</v>
      </c>
    </row>
    <row r="305" spans="1:14" x14ac:dyDescent="0.25">
      <c r="A305">
        <v>184.001093</v>
      </c>
      <c r="B305" s="1">
        <f>DATE(2010,11,1) + TIME(0,1,34)</f>
        <v>40483.001087962963</v>
      </c>
      <c r="C305">
        <v>1338.5308838000001</v>
      </c>
      <c r="D305">
        <v>1326.0058594</v>
      </c>
      <c r="E305">
        <v>1347.5101318</v>
      </c>
      <c r="F305">
        <v>1340.7664795000001</v>
      </c>
      <c r="G305">
        <v>80</v>
      </c>
      <c r="H305">
        <v>79.613723754999995</v>
      </c>
      <c r="I305">
        <v>50</v>
      </c>
      <c r="J305">
        <v>15.016709327999999</v>
      </c>
      <c r="K305">
        <v>0</v>
      </c>
      <c r="L305">
        <v>1200</v>
      </c>
      <c r="M305">
        <v>1200</v>
      </c>
      <c r="N305">
        <v>0</v>
      </c>
    </row>
    <row r="306" spans="1:14" x14ac:dyDescent="0.25">
      <c r="A306">
        <v>184.00327999999999</v>
      </c>
      <c r="B306" s="1">
        <f>DATE(2010,11,1) + TIME(0,4,43)</f>
        <v>40483.003275462965</v>
      </c>
      <c r="C306">
        <v>1330.6358643000001</v>
      </c>
      <c r="D306">
        <v>1318.0483397999999</v>
      </c>
      <c r="E306">
        <v>1353.0860596</v>
      </c>
      <c r="F306">
        <v>1346.3408202999999</v>
      </c>
      <c r="G306">
        <v>80</v>
      </c>
      <c r="H306">
        <v>79.611679077000005</v>
      </c>
      <c r="I306">
        <v>50</v>
      </c>
      <c r="J306">
        <v>15.044422150000001</v>
      </c>
      <c r="K306">
        <v>0</v>
      </c>
      <c r="L306">
        <v>1200</v>
      </c>
      <c r="M306">
        <v>1200</v>
      </c>
      <c r="N306">
        <v>0</v>
      </c>
    </row>
    <row r="307" spans="1:14" x14ac:dyDescent="0.25">
      <c r="A307">
        <v>184.00984099999999</v>
      </c>
      <c r="B307" s="1">
        <f>DATE(2010,11,1) + TIME(0,14,10)</f>
        <v>40483.009837962964</v>
      </c>
      <c r="C307">
        <v>1321.7673339999999</v>
      </c>
      <c r="D307">
        <v>1309.0682373</v>
      </c>
      <c r="E307">
        <v>1357.034668</v>
      </c>
      <c r="F307">
        <v>1350.2796631000001</v>
      </c>
      <c r="G307">
        <v>80</v>
      </c>
      <c r="H307">
        <v>79.607604980000005</v>
      </c>
      <c r="I307">
        <v>50</v>
      </c>
      <c r="J307">
        <v>15.12635231</v>
      </c>
      <c r="K307">
        <v>0</v>
      </c>
      <c r="L307">
        <v>1200</v>
      </c>
      <c r="M307">
        <v>1200</v>
      </c>
      <c r="N307">
        <v>0</v>
      </c>
    </row>
    <row r="308" spans="1:14" x14ac:dyDescent="0.25">
      <c r="A308">
        <v>184.02952400000001</v>
      </c>
      <c r="B308" s="1">
        <f>DATE(2010,11,1) + TIME(0,42,30)</f>
        <v>40483.029513888891</v>
      </c>
      <c r="C308">
        <v>1313.3894043</v>
      </c>
      <c r="D308">
        <v>1300.6315918</v>
      </c>
      <c r="E308">
        <v>1357.5648193</v>
      </c>
      <c r="F308">
        <v>1350.8304443</v>
      </c>
      <c r="G308">
        <v>80</v>
      </c>
      <c r="H308">
        <v>79.597961425999998</v>
      </c>
      <c r="I308">
        <v>50</v>
      </c>
      <c r="J308">
        <v>15.370139121999999</v>
      </c>
      <c r="K308">
        <v>0</v>
      </c>
      <c r="L308">
        <v>1200</v>
      </c>
      <c r="M308">
        <v>1200</v>
      </c>
      <c r="N308">
        <v>0</v>
      </c>
    </row>
    <row r="309" spans="1:14" x14ac:dyDescent="0.25">
      <c r="A309">
        <v>184.088573</v>
      </c>
      <c r="B309" s="1">
        <f>DATE(2010,11,1) + TIME(2,7,32)</f>
        <v>40483.088564814818</v>
      </c>
      <c r="C309">
        <v>1307.4886475000001</v>
      </c>
      <c r="D309">
        <v>1294.7098389</v>
      </c>
      <c r="E309">
        <v>1355.3493652</v>
      </c>
      <c r="F309">
        <v>1348.7307129000001</v>
      </c>
      <c r="G309">
        <v>80</v>
      </c>
      <c r="H309">
        <v>79.572113036999994</v>
      </c>
      <c r="I309">
        <v>50</v>
      </c>
      <c r="J309">
        <v>16.087371825999998</v>
      </c>
      <c r="K309">
        <v>0</v>
      </c>
      <c r="L309">
        <v>1200</v>
      </c>
      <c r="M309">
        <v>1200</v>
      </c>
      <c r="N309">
        <v>0</v>
      </c>
    </row>
    <row r="310" spans="1:14" x14ac:dyDescent="0.25">
      <c r="A310">
        <v>184.16975600000001</v>
      </c>
      <c r="B310" s="1">
        <f>DATE(2010,11,1) + TIME(4,4,26)</f>
        <v>40483.169745370367</v>
      </c>
      <c r="C310">
        <v>1304.9920654</v>
      </c>
      <c r="D310">
        <v>1292.2071533000001</v>
      </c>
      <c r="E310">
        <v>1353.473999</v>
      </c>
      <c r="F310">
        <v>1347.0098877</v>
      </c>
      <c r="G310">
        <v>80</v>
      </c>
      <c r="H310">
        <v>79.537773131999998</v>
      </c>
      <c r="I310">
        <v>50</v>
      </c>
      <c r="J310">
        <v>17.047857284999999</v>
      </c>
      <c r="K310">
        <v>0</v>
      </c>
      <c r="L310">
        <v>1200</v>
      </c>
      <c r="M310">
        <v>1200</v>
      </c>
      <c r="N310">
        <v>0</v>
      </c>
    </row>
    <row r="311" spans="1:14" x14ac:dyDescent="0.25">
      <c r="A311">
        <v>184.25327899999999</v>
      </c>
      <c r="B311" s="1">
        <f>DATE(2010,11,1) + TIME(6,4,43)</f>
        <v>40483.253275462965</v>
      </c>
      <c r="C311">
        <v>1303.8895264</v>
      </c>
      <c r="D311">
        <v>1291.1018065999999</v>
      </c>
      <c r="E311">
        <v>1352.3291016000001</v>
      </c>
      <c r="F311">
        <v>1346.0113524999999</v>
      </c>
      <c r="G311">
        <v>80</v>
      </c>
      <c r="H311">
        <v>79.502876282000003</v>
      </c>
      <c r="I311">
        <v>50</v>
      </c>
      <c r="J311">
        <v>18.010023116999999</v>
      </c>
      <c r="K311">
        <v>0</v>
      </c>
      <c r="L311">
        <v>1200</v>
      </c>
      <c r="M311">
        <v>1200</v>
      </c>
      <c r="N311">
        <v>0</v>
      </c>
    </row>
    <row r="312" spans="1:14" x14ac:dyDescent="0.25">
      <c r="A312">
        <v>184.33927700000001</v>
      </c>
      <c r="B312" s="1">
        <f>DATE(2010,11,1) + TIME(8,8,33)</f>
        <v>40483.339270833334</v>
      </c>
      <c r="C312">
        <v>1303.3197021000001</v>
      </c>
      <c r="D312">
        <v>1290.5299072</v>
      </c>
      <c r="E312">
        <v>1351.5736084</v>
      </c>
      <c r="F312">
        <v>1345.3959961</v>
      </c>
      <c r="G312">
        <v>80</v>
      </c>
      <c r="H312">
        <v>79.467269896999994</v>
      </c>
      <c r="I312">
        <v>50</v>
      </c>
      <c r="J312">
        <v>18.973724364999999</v>
      </c>
      <c r="K312">
        <v>0</v>
      </c>
      <c r="L312">
        <v>1200</v>
      </c>
      <c r="M312">
        <v>1200</v>
      </c>
      <c r="N312">
        <v>0</v>
      </c>
    </row>
    <row r="313" spans="1:14" x14ac:dyDescent="0.25">
      <c r="A313">
        <v>184.42791700000001</v>
      </c>
      <c r="B313" s="1">
        <f>DATE(2010,11,1) + TIME(10,16,12)</f>
        <v>40483.427916666667</v>
      </c>
      <c r="C313">
        <v>1303.0083007999999</v>
      </c>
      <c r="D313">
        <v>1290.2165527</v>
      </c>
      <c r="E313">
        <v>1351.0382079999999</v>
      </c>
      <c r="F313">
        <v>1344.9946289</v>
      </c>
      <c r="G313">
        <v>80</v>
      </c>
      <c r="H313">
        <v>79.430854796999995</v>
      </c>
      <c r="I313">
        <v>50</v>
      </c>
      <c r="J313">
        <v>19.939071654999999</v>
      </c>
      <c r="K313">
        <v>0</v>
      </c>
      <c r="L313">
        <v>1200</v>
      </c>
      <c r="M313">
        <v>1200</v>
      </c>
      <c r="N313">
        <v>0</v>
      </c>
    </row>
    <row r="314" spans="1:14" x14ac:dyDescent="0.25">
      <c r="A314">
        <v>184.519353</v>
      </c>
      <c r="B314" s="1">
        <f>DATE(2010,11,1) + TIME(12,27,52)</f>
        <v>40483.51935185185</v>
      </c>
      <c r="C314">
        <v>1302.8358154</v>
      </c>
      <c r="D314">
        <v>1290.0421143000001</v>
      </c>
      <c r="E314">
        <v>1350.6322021000001</v>
      </c>
      <c r="F314">
        <v>1344.7170410000001</v>
      </c>
      <c r="G314">
        <v>80</v>
      </c>
      <c r="H314">
        <v>79.393585204999994</v>
      </c>
      <c r="I314">
        <v>50</v>
      </c>
      <c r="J314">
        <v>20.906661987</v>
      </c>
      <c r="K314">
        <v>0</v>
      </c>
      <c r="L314">
        <v>1200</v>
      </c>
      <c r="M314">
        <v>1200</v>
      </c>
      <c r="N314">
        <v>0</v>
      </c>
    </row>
    <row r="315" spans="1:14" x14ac:dyDescent="0.25">
      <c r="A315">
        <v>184.61367300000001</v>
      </c>
      <c r="B315" s="1">
        <f>DATE(2010,11,1) + TIME(14,43,41)</f>
        <v>40483.613668981481</v>
      </c>
      <c r="C315">
        <v>1302.7404785000001</v>
      </c>
      <c r="D315">
        <v>1289.9449463000001</v>
      </c>
      <c r="E315">
        <v>1350.3048096</v>
      </c>
      <c r="F315">
        <v>1344.512207</v>
      </c>
      <c r="G315">
        <v>80</v>
      </c>
      <c r="H315">
        <v>79.355430603000002</v>
      </c>
      <c r="I315">
        <v>50</v>
      </c>
      <c r="J315">
        <v>21.874761581000001</v>
      </c>
      <c r="K315">
        <v>0</v>
      </c>
      <c r="L315">
        <v>1200</v>
      </c>
      <c r="M315">
        <v>1200</v>
      </c>
      <c r="N315">
        <v>0</v>
      </c>
    </row>
    <row r="316" spans="1:14" x14ac:dyDescent="0.25">
      <c r="A316">
        <v>184.71103099999999</v>
      </c>
      <c r="B316" s="1">
        <f>DATE(2010,11,1) + TIME(17,3,53)</f>
        <v>40483.711030092592</v>
      </c>
      <c r="C316">
        <v>1302.6881103999999</v>
      </c>
      <c r="D316">
        <v>1289.8905029</v>
      </c>
      <c r="E316">
        <v>1350.0267334</v>
      </c>
      <c r="F316">
        <v>1344.3511963000001</v>
      </c>
      <c r="G316">
        <v>80</v>
      </c>
      <c r="H316">
        <v>79.316337584999999</v>
      </c>
      <c r="I316">
        <v>50</v>
      </c>
      <c r="J316">
        <v>22.842863083000001</v>
      </c>
      <c r="K316">
        <v>0</v>
      </c>
      <c r="L316">
        <v>1200</v>
      </c>
      <c r="M316">
        <v>1200</v>
      </c>
      <c r="N316">
        <v>0</v>
      </c>
    </row>
    <row r="317" spans="1:14" x14ac:dyDescent="0.25">
      <c r="A317">
        <v>184.81153800000001</v>
      </c>
      <c r="B317" s="1">
        <f>DATE(2010,11,1) + TIME(19,28,36)</f>
        <v>40483.811527777776</v>
      </c>
      <c r="C317">
        <v>1302.6590576000001</v>
      </c>
      <c r="D317">
        <v>1289.8594971</v>
      </c>
      <c r="E317">
        <v>1349.7808838000001</v>
      </c>
      <c r="F317">
        <v>1344.2172852000001</v>
      </c>
      <c r="G317">
        <v>80</v>
      </c>
      <c r="H317">
        <v>79.276283264</v>
      </c>
      <c r="I317">
        <v>50</v>
      </c>
      <c r="J317">
        <v>23.809963226000001</v>
      </c>
      <c r="K317">
        <v>0</v>
      </c>
      <c r="L317">
        <v>1200</v>
      </c>
      <c r="M317">
        <v>1200</v>
      </c>
      <c r="N317">
        <v>0</v>
      </c>
    </row>
    <row r="318" spans="1:14" x14ac:dyDescent="0.25">
      <c r="A318">
        <v>184.91542000000001</v>
      </c>
      <c r="B318" s="1">
        <f>DATE(2010,11,1) + TIME(21,58,12)</f>
        <v>40483.915416666663</v>
      </c>
      <c r="C318">
        <v>1302.6427002</v>
      </c>
      <c r="D318">
        <v>1289.8411865</v>
      </c>
      <c r="E318">
        <v>1349.5574951000001</v>
      </c>
      <c r="F318">
        <v>1344.1005858999999</v>
      </c>
      <c r="G318">
        <v>80</v>
      </c>
      <c r="H318">
        <v>79.235198975000003</v>
      </c>
      <c r="I318">
        <v>50</v>
      </c>
      <c r="J318">
        <v>24.775979996</v>
      </c>
      <c r="K318">
        <v>0</v>
      </c>
      <c r="L318">
        <v>1200</v>
      </c>
      <c r="M318">
        <v>1200</v>
      </c>
      <c r="N318">
        <v>0</v>
      </c>
    </row>
    <row r="319" spans="1:14" x14ac:dyDescent="0.25">
      <c r="A319">
        <v>185.02292399999999</v>
      </c>
      <c r="B319" s="1">
        <f>DATE(2010,11,2) + TIME(0,33,0)</f>
        <v>40484.022916666669</v>
      </c>
      <c r="C319">
        <v>1302.6330565999999</v>
      </c>
      <c r="D319">
        <v>1289.8294678</v>
      </c>
      <c r="E319">
        <v>1349.3505858999999</v>
      </c>
      <c r="F319">
        <v>1343.9958495999999</v>
      </c>
      <c r="G319">
        <v>80</v>
      </c>
      <c r="H319">
        <v>79.193016052000004</v>
      </c>
      <c r="I319">
        <v>50</v>
      </c>
      <c r="J319">
        <v>25.741329192999999</v>
      </c>
      <c r="K319">
        <v>0</v>
      </c>
      <c r="L319">
        <v>1200</v>
      </c>
      <c r="M319">
        <v>1200</v>
      </c>
      <c r="N319">
        <v>0</v>
      </c>
    </row>
    <row r="320" spans="1:14" x14ac:dyDescent="0.25">
      <c r="A320">
        <v>185.13426899999999</v>
      </c>
      <c r="B320" s="1">
        <f>DATE(2010,11,2) + TIME(3,13,20)</f>
        <v>40484.134259259263</v>
      </c>
      <c r="C320">
        <v>1302.6267089999999</v>
      </c>
      <c r="D320">
        <v>1289.8209228999999</v>
      </c>
      <c r="E320">
        <v>1349.1572266000001</v>
      </c>
      <c r="F320">
        <v>1343.9000243999999</v>
      </c>
      <c r="G320">
        <v>80</v>
      </c>
      <c r="H320">
        <v>79.149665833</v>
      </c>
      <c r="I320">
        <v>50</v>
      </c>
      <c r="J320">
        <v>26.705064774</v>
      </c>
      <c r="K320">
        <v>0</v>
      </c>
      <c r="L320">
        <v>1200</v>
      </c>
      <c r="M320">
        <v>1200</v>
      </c>
      <c r="N320">
        <v>0</v>
      </c>
    </row>
    <row r="321" spans="1:14" x14ac:dyDescent="0.25">
      <c r="A321">
        <v>185.24980400000001</v>
      </c>
      <c r="B321" s="1">
        <f>DATE(2010,11,2) + TIME(5,59,43)</f>
        <v>40484.249803240738</v>
      </c>
      <c r="C321">
        <v>1302.6220702999999</v>
      </c>
      <c r="D321">
        <v>1289.8139647999999</v>
      </c>
      <c r="E321">
        <v>1348.9749756000001</v>
      </c>
      <c r="F321">
        <v>1343.8110352000001</v>
      </c>
      <c r="G321">
        <v>80</v>
      </c>
      <c r="H321">
        <v>79.105049132999994</v>
      </c>
      <c r="I321">
        <v>50</v>
      </c>
      <c r="J321">
        <v>27.667240143000001</v>
      </c>
      <c r="K321">
        <v>0</v>
      </c>
      <c r="L321">
        <v>1200</v>
      </c>
      <c r="M321">
        <v>1200</v>
      </c>
      <c r="N321">
        <v>0</v>
      </c>
    </row>
    <row r="322" spans="1:14" x14ac:dyDescent="0.25">
      <c r="A322">
        <v>185.36987999999999</v>
      </c>
      <c r="B322" s="1">
        <f>DATE(2010,11,2) + TIME(8,52,37)</f>
        <v>40484.369872685187</v>
      </c>
      <c r="C322">
        <v>1302.6179199000001</v>
      </c>
      <c r="D322">
        <v>1289.8076172000001</v>
      </c>
      <c r="E322">
        <v>1348.8027344</v>
      </c>
      <c r="F322">
        <v>1343.7279053</v>
      </c>
      <c r="G322">
        <v>80</v>
      </c>
      <c r="H322">
        <v>79.059059142999999</v>
      </c>
      <c r="I322">
        <v>50</v>
      </c>
      <c r="J322">
        <v>28.627737045</v>
      </c>
      <c r="K322">
        <v>0</v>
      </c>
      <c r="L322">
        <v>1200</v>
      </c>
      <c r="M322">
        <v>1200</v>
      </c>
      <c r="N322">
        <v>0</v>
      </c>
    </row>
    <row r="323" spans="1:14" x14ac:dyDescent="0.25">
      <c r="A323">
        <v>185.49489399999999</v>
      </c>
      <c r="B323" s="1">
        <f>DATE(2010,11,2) + TIME(11,52,38)</f>
        <v>40484.494884259257</v>
      </c>
      <c r="C323">
        <v>1302.6138916</v>
      </c>
      <c r="D323">
        <v>1289.8012695</v>
      </c>
      <c r="E323">
        <v>1348.6395264</v>
      </c>
      <c r="F323">
        <v>1343.6497803</v>
      </c>
      <c r="G323">
        <v>80</v>
      </c>
      <c r="H323">
        <v>79.011581421000002</v>
      </c>
      <c r="I323">
        <v>50</v>
      </c>
      <c r="J323">
        <v>29.586383820000002</v>
      </c>
      <c r="K323">
        <v>0</v>
      </c>
      <c r="L323">
        <v>1200</v>
      </c>
      <c r="M323">
        <v>1200</v>
      </c>
      <c r="N323">
        <v>0</v>
      </c>
    </row>
    <row r="324" spans="1:14" x14ac:dyDescent="0.25">
      <c r="A324">
        <v>185.625302</v>
      </c>
      <c r="B324" s="1">
        <f>DATE(2010,11,2) + TIME(15,0,26)</f>
        <v>40484.625300925924</v>
      </c>
      <c r="C324">
        <v>1302.6098632999999</v>
      </c>
      <c r="D324">
        <v>1289.7947998</v>
      </c>
      <c r="E324">
        <v>1348.4846190999999</v>
      </c>
      <c r="F324">
        <v>1343.5762939000001</v>
      </c>
      <c r="G324">
        <v>80</v>
      </c>
      <c r="H324">
        <v>78.962493895999998</v>
      </c>
      <c r="I324">
        <v>50</v>
      </c>
      <c r="J324">
        <v>30.543134688999999</v>
      </c>
      <c r="K324">
        <v>0</v>
      </c>
      <c r="L324">
        <v>1200</v>
      </c>
      <c r="M324">
        <v>1200</v>
      </c>
      <c r="N324">
        <v>0</v>
      </c>
    </row>
    <row r="325" spans="1:14" x14ac:dyDescent="0.25">
      <c r="A325">
        <v>185.76160400000001</v>
      </c>
      <c r="B325" s="1">
        <f>DATE(2010,11,2) + TIME(18,16,42)</f>
        <v>40484.761597222219</v>
      </c>
      <c r="C325">
        <v>1302.6054687999999</v>
      </c>
      <c r="D325">
        <v>1289.7878418</v>
      </c>
      <c r="E325">
        <v>1348.3374022999999</v>
      </c>
      <c r="F325">
        <v>1343.5070800999999</v>
      </c>
      <c r="G325">
        <v>80</v>
      </c>
      <c r="H325">
        <v>78.911636353000006</v>
      </c>
      <c r="I325">
        <v>50</v>
      </c>
      <c r="J325">
        <v>31.497640610000001</v>
      </c>
      <c r="K325">
        <v>0</v>
      </c>
      <c r="L325">
        <v>1200</v>
      </c>
      <c r="M325">
        <v>1200</v>
      </c>
      <c r="N325">
        <v>0</v>
      </c>
    </row>
    <row r="326" spans="1:14" x14ac:dyDescent="0.25">
      <c r="A326">
        <v>185.904403</v>
      </c>
      <c r="B326" s="1">
        <f>DATE(2010,11,2) + TIME(21,42,20)</f>
        <v>40484.904398148145</v>
      </c>
      <c r="C326">
        <v>1302.6008300999999</v>
      </c>
      <c r="D326">
        <v>1289.7805175999999</v>
      </c>
      <c r="E326">
        <v>1348.1975098</v>
      </c>
      <c r="F326">
        <v>1343.4416504000001</v>
      </c>
      <c r="G326">
        <v>80</v>
      </c>
      <c r="H326">
        <v>78.858856200999995</v>
      </c>
      <c r="I326">
        <v>50</v>
      </c>
      <c r="J326">
        <v>32.449600220000001</v>
      </c>
      <c r="K326">
        <v>0</v>
      </c>
      <c r="L326">
        <v>1200</v>
      </c>
      <c r="M326">
        <v>1200</v>
      </c>
      <c r="N326">
        <v>0</v>
      </c>
    </row>
    <row r="327" spans="1:14" x14ac:dyDescent="0.25">
      <c r="A327">
        <v>186.054408</v>
      </c>
      <c r="B327" s="1">
        <f>DATE(2010,11,3) + TIME(1,18,20)</f>
        <v>40485.054398148146</v>
      </c>
      <c r="C327">
        <v>1302.5957031</v>
      </c>
      <c r="D327">
        <v>1289.7728271000001</v>
      </c>
      <c r="E327">
        <v>1348.0643310999999</v>
      </c>
      <c r="F327">
        <v>1343.3796387</v>
      </c>
      <c r="G327">
        <v>80</v>
      </c>
      <c r="H327">
        <v>78.803939818999993</v>
      </c>
      <c r="I327">
        <v>50</v>
      </c>
      <c r="J327">
        <v>33.398841857999997</v>
      </c>
      <c r="K327">
        <v>0</v>
      </c>
      <c r="L327">
        <v>1200</v>
      </c>
      <c r="M327">
        <v>1200</v>
      </c>
      <c r="N327">
        <v>0</v>
      </c>
    </row>
    <row r="328" spans="1:14" x14ac:dyDescent="0.25">
      <c r="A328">
        <v>186.212435</v>
      </c>
      <c r="B328" s="1">
        <f>DATE(2010,11,3) + TIME(5,5,54)</f>
        <v>40485.212430555555</v>
      </c>
      <c r="C328">
        <v>1302.590332</v>
      </c>
      <c r="D328">
        <v>1289.7645264</v>
      </c>
      <c r="E328">
        <v>1347.9375</v>
      </c>
      <c r="F328">
        <v>1343.3209228999999</v>
      </c>
      <c r="G328">
        <v>80</v>
      </c>
      <c r="H328">
        <v>78.746658324999999</v>
      </c>
      <c r="I328">
        <v>50</v>
      </c>
      <c r="J328">
        <v>34.345050811999997</v>
      </c>
      <c r="K328">
        <v>0</v>
      </c>
      <c r="L328">
        <v>1200</v>
      </c>
      <c r="M328">
        <v>1200</v>
      </c>
      <c r="N328">
        <v>0</v>
      </c>
    </row>
    <row r="329" spans="1:14" x14ac:dyDescent="0.25">
      <c r="A329">
        <v>186.37944400000001</v>
      </c>
      <c r="B329" s="1">
        <f>DATE(2010,11,3) + TIME(9,6,23)</f>
        <v>40485.379432870373</v>
      </c>
      <c r="C329">
        <v>1302.5844727000001</v>
      </c>
      <c r="D329">
        <v>1289.7556152</v>
      </c>
      <c r="E329">
        <v>1347.8165283000001</v>
      </c>
      <c r="F329">
        <v>1343.2650146000001</v>
      </c>
      <c r="G329">
        <v>80</v>
      </c>
      <c r="H329">
        <v>78.686752318999993</v>
      </c>
      <c r="I329">
        <v>50</v>
      </c>
      <c r="J329">
        <v>35.287864685000002</v>
      </c>
      <c r="K329">
        <v>0</v>
      </c>
      <c r="L329">
        <v>1200</v>
      </c>
      <c r="M329">
        <v>1200</v>
      </c>
      <c r="N329">
        <v>0</v>
      </c>
    </row>
    <row r="330" spans="1:14" x14ac:dyDescent="0.25">
      <c r="A330">
        <v>186.55653100000001</v>
      </c>
      <c r="B330" s="1">
        <f>DATE(2010,11,3) + TIME(13,21,24)</f>
        <v>40485.556527777779</v>
      </c>
      <c r="C330">
        <v>1302.5780029</v>
      </c>
      <c r="D330">
        <v>1289.7462158000001</v>
      </c>
      <c r="E330">
        <v>1347.7009277</v>
      </c>
      <c r="F330">
        <v>1343.2117920000001</v>
      </c>
      <c r="G330">
        <v>80</v>
      </c>
      <c r="H330">
        <v>78.623916625999996</v>
      </c>
      <c r="I330">
        <v>50</v>
      </c>
      <c r="J330">
        <v>36.226615905999999</v>
      </c>
      <c r="K330">
        <v>0</v>
      </c>
      <c r="L330">
        <v>1200</v>
      </c>
      <c r="M330">
        <v>1200</v>
      </c>
      <c r="N330">
        <v>0</v>
      </c>
    </row>
    <row r="331" spans="1:14" x14ac:dyDescent="0.25">
      <c r="A331">
        <v>186.74503899999999</v>
      </c>
      <c r="B331" s="1">
        <f>DATE(2010,11,3) + TIME(17,52,51)</f>
        <v>40485.745034722226</v>
      </c>
      <c r="C331">
        <v>1302.5711670000001</v>
      </c>
      <c r="D331">
        <v>1289.7360839999999</v>
      </c>
      <c r="E331">
        <v>1347.5904541</v>
      </c>
      <c r="F331">
        <v>1343.1607666</v>
      </c>
      <c r="G331">
        <v>80</v>
      </c>
      <c r="H331">
        <v>78.557785034000005</v>
      </c>
      <c r="I331">
        <v>50</v>
      </c>
      <c r="J331">
        <v>37.160713196000003</v>
      </c>
      <c r="K331">
        <v>0</v>
      </c>
      <c r="L331">
        <v>1200</v>
      </c>
      <c r="M331">
        <v>1200</v>
      </c>
      <c r="N331">
        <v>0</v>
      </c>
    </row>
    <row r="332" spans="1:14" x14ac:dyDescent="0.25">
      <c r="A332">
        <v>186.946597</v>
      </c>
      <c r="B332" s="1">
        <f>DATE(2010,11,3) + TIME(22,43,5)</f>
        <v>40485.946585648147</v>
      </c>
      <c r="C332">
        <v>1302.5638428</v>
      </c>
      <c r="D332">
        <v>1289.7252197</v>
      </c>
      <c r="E332">
        <v>1347.4846190999999</v>
      </c>
      <c r="F332">
        <v>1343.1116943</v>
      </c>
      <c r="G332">
        <v>80</v>
      </c>
      <c r="H332">
        <v>78.487930297999995</v>
      </c>
      <c r="I332">
        <v>50</v>
      </c>
      <c r="J332">
        <v>38.089450835999997</v>
      </c>
      <c r="K332">
        <v>0</v>
      </c>
      <c r="L332">
        <v>1200</v>
      </c>
      <c r="M332">
        <v>1200</v>
      </c>
      <c r="N332">
        <v>0</v>
      </c>
    </row>
    <row r="333" spans="1:14" x14ac:dyDescent="0.25">
      <c r="A333">
        <v>187.16319999999999</v>
      </c>
      <c r="B333" s="1">
        <f>DATE(2010,11,4) + TIME(3,55,0)</f>
        <v>40486.163194444445</v>
      </c>
      <c r="C333">
        <v>1302.5557861</v>
      </c>
      <c r="D333">
        <v>1289.7136230000001</v>
      </c>
      <c r="E333">
        <v>1347.3828125</v>
      </c>
      <c r="F333">
        <v>1343.0642089999999</v>
      </c>
      <c r="G333">
        <v>80</v>
      </c>
      <c r="H333">
        <v>78.413810729999994</v>
      </c>
      <c r="I333">
        <v>50</v>
      </c>
      <c r="J333">
        <v>39.011989593999999</v>
      </c>
      <c r="K333">
        <v>0</v>
      </c>
      <c r="L333">
        <v>1200</v>
      </c>
      <c r="M333">
        <v>1200</v>
      </c>
      <c r="N333">
        <v>0</v>
      </c>
    </row>
    <row r="334" spans="1:14" x14ac:dyDescent="0.25">
      <c r="A334">
        <v>187.39732599999999</v>
      </c>
      <c r="B334" s="1">
        <f>DATE(2010,11,4) + TIME(9,32,8)</f>
        <v>40486.397314814814</v>
      </c>
      <c r="C334">
        <v>1302.5471190999999</v>
      </c>
      <c r="D334">
        <v>1289.7010498</v>
      </c>
      <c r="E334">
        <v>1347.2847899999999</v>
      </c>
      <c r="F334">
        <v>1343.0178223</v>
      </c>
      <c r="G334">
        <v>80</v>
      </c>
      <c r="H334">
        <v>78.334785460999996</v>
      </c>
      <c r="I334">
        <v>50</v>
      </c>
      <c r="J334">
        <v>39.927314758000001</v>
      </c>
      <c r="K334">
        <v>0</v>
      </c>
      <c r="L334">
        <v>1200</v>
      </c>
      <c r="M334">
        <v>1200</v>
      </c>
      <c r="N334">
        <v>0</v>
      </c>
    </row>
    <row r="335" spans="1:14" x14ac:dyDescent="0.25">
      <c r="A335">
        <v>187.65210300000001</v>
      </c>
      <c r="B335" s="1">
        <f>DATE(2010,11,4) + TIME(15,39,1)</f>
        <v>40486.652094907404</v>
      </c>
      <c r="C335">
        <v>1302.5377197</v>
      </c>
      <c r="D335">
        <v>1289.6873779</v>
      </c>
      <c r="E335">
        <v>1347.1899414</v>
      </c>
      <c r="F335">
        <v>1342.972168</v>
      </c>
      <c r="G335">
        <v>80</v>
      </c>
      <c r="H335">
        <v>78.250045775999993</v>
      </c>
      <c r="I335">
        <v>50</v>
      </c>
      <c r="J335">
        <v>40.834403991999999</v>
      </c>
      <c r="K335">
        <v>0</v>
      </c>
      <c r="L335">
        <v>1200</v>
      </c>
      <c r="M335">
        <v>1200</v>
      </c>
      <c r="N335">
        <v>0</v>
      </c>
    </row>
    <row r="336" spans="1:14" x14ac:dyDescent="0.25">
      <c r="A336">
        <v>187.93147999999999</v>
      </c>
      <c r="B336" s="1">
        <f>DATE(2010,11,4) + TIME(22,21,19)</f>
        <v>40486.931469907409</v>
      </c>
      <c r="C336">
        <v>1302.5273437999999</v>
      </c>
      <c r="D336">
        <v>1289.6726074000001</v>
      </c>
      <c r="E336">
        <v>1347.0976562000001</v>
      </c>
      <c r="F336">
        <v>1342.9266356999999</v>
      </c>
      <c r="G336">
        <v>80</v>
      </c>
      <c r="H336">
        <v>78.158599854000002</v>
      </c>
      <c r="I336">
        <v>50</v>
      </c>
      <c r="J336">
        <v>41.731365203999999</v>
      </c>
      <c r="K336">
        <v>0</v>
      </c>
      <c r="L336">
        <v>1200</v>
      </c>
      <c r="M336">
        <v>1200</v>
      </c>
      <c r="N336">
        <v>0</v>
      </c>
    </row>
    <row r="337" spans="1:14" x14ac:dyDescent="0.25">
      <c r="A337">
        <v>188.24076400000001</v>
      </c>
      <c r="B337" s="1">
        <f>DATE(2010,11,5) + TIME(5,46,41)</f>
        <v>40487.240752314814</v>
      </c>
      <c r="C337">
        <v>1302.5159911999999</v>
      </c>
      <c r="D337">
        <v>1289.6563721</v>
      </c>
      <c r="E337">
        <v>1347.0074463000001</v>
      </c>
      <c r="F337">
        <v>1342.8807373</v>
      </c>
      <c r="G337">
        <v>80</v>
      </c>
      <c r="H337">
        <v>78.059143066000004</v>
      </c>
      <c r="I337">
        <v>50</v>
      </c>
      <c r="J337">
        <v>42.616451263000002</v>
      </c>
      <c r="K337">
        <v>0</v>
      </c>
      <c r="L337">
        <v>1200</v>
      </c>
      <c r="M337">
        <v>1200</v>
      </c>
      <c r="N337">
        <v>0</v>
      </c>
    </row>
    <row r="338" spans="1:14" x14ac:dyDescent="0.25">
      <c r="A338">
        <v>188.58702099999999</v>
      </c>
      <c r="B338" s="1">
        <f>DATE(2010,11,5) + TIME(14,5,18)</f>
        <v>40487.587013888886</v>
      </c>
      <c r="C338">
        <v>1302.503418</v>
      </c>
      <c r="D338">
        <v>1289.6384277</v>
      </c>
      <c r="E338">
        <v>1346.918457</v>
      </c>
      <c r="F338">
        <v>1342.8336182</v>
      </c>
      <c r="G338">
        <v>80</v>
      </c>
      <c r="H338">
        <v>77.949958800999994</v>
      </c>
      <c r="I338">
        <v>50</v>
      </c>
      <c r="J338">
        <v>43.487247467000003</v>
      </c>
      <c r="K338">
        <v>0</v>
      </c>
      <c r="L338">
        <v>1200</v>
      </c>
      <c r="M338">
        <v>1200</v>
      </c>
      <c r="N338">
        <v>0</v>
      </c>
    </row>
    <row r="339" spans="1:14" x14ac:dyDescent="0.25">
      <c r="A339">
        <v>188.980019</v>
      </c>
      <c r="B339" s="1">
        <f>DATE(2010,11,5) + TIME(23,31,13)</f>
        <v>40487.980011574073</v>
      </c>
      <c r="C339">
        <v>1302.4891356999999</v>
      </c>
      <c r="D339">
        <v>1289.6184082</v>
      </c>
      <c r="E339">
        <v>1346.8299560999999</v>
      </c>
      <c r="F339">
        <v>1342.7844238</v>
      </c>
      <c r="G339">
        <v>80</v>
      </c>
      <c r="H339">
        <v>77.828773498999993</v>
      </c>
      <c r="I339">
        <v>50</v>
      </c>
      <c r="J339">
        <v>44.340629577999998</v>
      </c>
      <c r="K339">
        <v>0</v>
      </c>
      <c r="L339">
        <v>1200</v>
      </c>
      <c r="M339">
        <v>1200</v>
      </c>
      <c r="N339">
        <v>0</v>
      </c>
    </row>
    <row r="340" spans="1:14" x14ac:dyDescent="0.25">
      <c r="A340">
        <v>189.40452500000001</v>
      </c>
      <c r="B340" s="1">
        <f>DATE(2010,11,6) + TIME(9,42,30)</f>
        <v>40488.404513888891</v>
      </c>
      <c r="C340">
        <v>1302.4726562000001</v>
      </c>
      <c r="D340">
        <v>1289.5958252</v>
      </c>
      <c r="E340">
        <v>1346.7470702999999</v>
      </c>
      <c r="F340">
        <v>1342.7353516000001</v>
      </c>
      <c r="G340">
        <v>80</v>
      </c>
      <c r="H340">
        <v>77.700004578000005</v>
      </c>
      <c r="I340">
        <v>50</v>
      </c>
      <c r="J340">
        <v>45.127063751000001</v>
      </c>
      <c r="K340">
        <v>0</v>
      </c>
      <c r="L340">
        <v>1200</v>
      </c>
      <c r="M340">
        <v>1200</v>
      </c>
      <c r="N340">
        <v>0</v>
      </c>
    </row>
    <row r="341" spans="1:14" x14ac:dyDescent="0.25">
      <c r="A341">
        <v>189.82978499999999</v>
      </c>
      <c r="B341" s="1">
        <f>DATE(2010,11,6) + TIME(19,54,53)</f>
        <v>40488.829780092594</v>
      </c>
      <c r="C341">
        <v>1302.4542236</v>
      </c>
      <c r="D341">
        <v>1289.5716553</v>
      </c>
      <c r="E341">
        <v>1346.6738281</v>
      </c>
      <c r="F341">
        <v>1342.6884766000001</v>
      </c>
      <c r="G341">
        <v>80</v>
      </c>
      <c r="H341">
        <v>77.571800232000001</v>
      </c>
      <c r="I341">
        <v>50</v>
      </c>
      <c r="J341">
        <v>45.798377991000002</v>
      </c>
      <c r="K341">
        <v>0</v>
      </c>
      <c r="L341">
        <v>1200</v>
      </c>
      <c r="M341">
        <v>1200</v>
      </c>
      <c r="N341">
        <v>0</v>
      </c>
    </row>
    <row r="342" spans="1:14" x14ac:dyDescent="0.25">
      <c r="A342">
        <v>190.25967399999999</v>
      </c>
      <c r="B342" s="1">
        <f>DATE(2010,11,7) + TIME(6,13,55)</f>
        <v>40489.259664351855</v>
      </c>
      <c r="C342">
        <v>1302.4356689000001</v>
      </c>
      <c r="D342">
        <v>1289.5472411999999</v>
      </c>
      <c r="E342">
        <v>1346.6058350000001</v>
      </c>
      <c r="F342">
        <v>1342.6424560999999</v>
      </c>
      <c r="G342">
        <v>80</v>
      </c>
      <c r="H342">
        <v>77.443252563000001</v>
      </c>
      <c r="I342">
        <v>50</v>
      </c>
      <c r="J342">
        <v>46.374992370999998</v>
      </c>
      <c r="K342">
        <v>0</v>
      </c>
      <c r="L342">
        <v>1200</v>
      </c>
      <c r="M342">
        <v>1200</v>
      </c>
      <c r="N342">
        <v>0</v>
      </c>
    </row>
    <row r="343" spans="1:14" x14ac:dyDescent="0.25">
      <c r="A343">
        <v>190.69641799999999</v>
      </c>
      <c r="B343" s="1">
        <f>DATE(2010,11,7) + TIME(16,42,50)</f>
        <v>40489.696412037039</v>
      </c>
      <c r="C343">
        <v>1302.4167480000001</v>
      </c>
      <c r="D343">
        <v>1289.5224608999999</v>
      </c>
      <c r="E343">
        <v>1346.5421143000001</v>
      </c>
      <c r="F343">
        <v>1342.5969238</v>
      </c>
      <c r="G343">
        <v>80</v>
      </c>
      <c r="H343">
        <v>77.313873290999993</v>
      </c>
      <c r="I343">
        <v>50</v>
      </c>
      <c r="J343">
        <v>46.871067046999997</v>
      </c>
      <c r="K343">
        <v>0</v>
      </c>
      <c r="L343">
        <v>1200</v>
      </c>
      <c r="M343">
        <v>1200</v>
      </c>
      <c r="N343">
        <v>0</v>
      </c>
    </row>
    <row r="344" spans="1:14" x14ac:dyDescent="0.25">
      <c r="A344">
        <v>191.141649</v>
      </c>
      <c r="B344" s="1">
        <f>DATE(2010,11,8) + TIME(3,23,58)</f>
        <v>40490.141643518517</v>
      </c>
      <c r="C344">
        <v>1302.3974608999999</v>
      </c>
      <c r="D344">
        <v>1289.4971923999999</v>
      </c>
      <c r="E344">
        <v>1346.4815673999999</v>
      </c>
      <c r="F344">
        <v>1342.5516356999999</v>
      </c>
      <c r="G344">
        <v>80</v>
      </c>
      <c r="H344">
        <v>77.183319092000005</v>
      </c>
      <c r="I344">
        <v>50</v>
      </c>
      <c r="J344">
        <v>47.297725677000003</v>
      </c>
      <c r="K344">
        <v>0</v>
      </c>
      <c r="L344">
        <v>1200</v>
      </c>
      <c r="M344">
        <v>1200</v>
      </c>
      <c r="N344">
        <v>0</v>
      </c>
    </row>
    <row r="345" spans="1:14" x14ac:dyDescent="0.25">
      <c r="A345">
        <v>191.597262</v>
      </c>
      <c r="B345" s="1">
        <f>DATE(2010,11,8) + TIME(14,20,3)</f>
        <v>40490.597256944442</v>
      </c>
      <c r="C345">
        <v>1302.3776855000001</v>
      </c>
      <c r="D345">
        <v>1289.4711914</v>
      </c>
      <c r="E345">
        <v>1346.4234618999999</v>
      </c>
      <c r="F345">
        <v>1342.5063477000001</v>
      </c>
      <c r="G345">
        <v>80</v>
      </c>
      <c r="H345">
        <v>77.051208496000001</v>
      </c>
      <c r="I345">
        <v>50</v>
      </c>
      <c r="J345">
        <v>47.664539337000001</v>
      </c>
      <c r="K345">
        <v>0</v>
      </c>
      <c r="L345">
        <v>1200</v>
      </c>
      <c r="M345">
        <v>1200</v>
      </c>
      <c r="N345">
        <v>0</v>
      </c>
    </row>
    <row r="346" spans="1:14" x14ac:dyDescent="0.25">
      <c r="A346">
        <v>192.06539100000001</v>
      </c>
      <c r="B346" s="1">
        <f>DATE(2010,11,9) + TIME(1,34,9)</f>
        <v>40491.065381944441</v>
      </c>
      <c r="C346">
        <v>1302.3572998</v>
      </c>
      <c r="D346">
        <v>1289.4445800999999</v>
      </c>
      <c r="E346">
        <v>1346.3674315999999</v>
      </c>
      <c r="F346">
        <v>1342.4608154</v>
      </c>
      <c r="G346">
        <v>80</v>
      </c>
      <c r="H346">
        <v>76.917098999000004</v>
      </c>
      <c r="I346">
        <v>50</v>
      </c>
      <c r="J346">
        <v>47.979698181000003</v>
      </c>
      <c r="K346">
        <v>0</v>
      </c>
      <c r="L346">
        <v>1200</v>
      </c>
      <c r="M346">
        <v>1200</v>
      </c>
      <c r="N346">
        <v>0</v>
      </c>
    </row>
    <row r="347" spans="1:14" x14ac:dyDescent="0.25">
      <c r="A347">
        <v>192.548238</v>
      </c>
      <c r="B347" s="1">
        <f>DATE(2010,11,9) + TIME(13,9,27)</f>
        <v>40491.548229166663</v>
      </c>
      <c r="C347">
        <v>1302.3360596</v>
      </c>
      <c r="D347">
        <v>1289.4169922000001</v>
      </c>
      <c r="E347">
        <v>1346.3126221</v>
      </c>
      <c r="F347">
        <v>1342.4151611</v>
      </c>
      <c r="G347">
        <v>80</v>
      </c>
      <c r="H347">
        <v>76.780532836999996</v>
      </c>
      <c r="I347">
        <v>50</v>
      </c>
      <c r="J347">
        <v>48.250110626000001</v>
      </c>
      <c r="K347">
        <v>0</v>
      </c>
      <c r="L347">
        <v>1200</v>
      </c>
      <c r="M347">
        <v>1200</v>
      </c>
      <c r="N347">
        <v>0</v>
      </c>
    </row>
    <row r="348" spans="1:14" x14ac:dyDescent="0.25">
      <c r="A348">
        <v>193.048115</v>
      </c>
      <c r="B348" s="1">
        <f>DATE(2010,11,10) + TIME(1,9,17)</f>
        <v>40492.048113425924</v>
      </c>
      <c r="C348">
        <v>1302.3140868999999</v>
      </c>
      <c r="D348">
        <v>1289.3884277</v>
      </c>
      <c r="E348">
        <v>1346.2590332</v>
      </c>
      <c r="F348">
        <v>1342.3690185999999</v>
      </c>
      <c r="G348">
        <v>80</v>
      </c>
      <c r="H348">
        <v>76.641067504999995</v>
      </c>
      <c r="I348">
        <v>50</v>
      </c>
      <c r="J348">
        <v>48.481658936000002</v>
      </c>
      <c r="K348">
        <v>0</v>
      </c>
      <c r="L348">
        <v>1200</v>
      </c>
      <c r="M348">
        <v>1200</v>
      </c>
      <c r="N348">
        <v>0</v>
      </c>
    </row>
    <row r="349" spans="1:14" x14ac:dyDescent="0.25">
      <c r="A349">
        <v>193.56770599999999</v>
      </c>
      <c r="B349" s="1">
        <f>DATE(2010,11,10) + TIME(13,37,29)</f>
        <v>40492.567696759259</v>
      </c>
      <c r="C349">
        <v>1302.2911377</v>
      </c>
      <c r="D349">
        <v>1289.3585204999999</v>
      </c>
      <c r="E349">
        <v>1346.2060547000001</v>
      </c>
      <c r="F349">
        <v>1342.3222656</v>
      </c>
      <c r="G349">
        <v>80</v>
      </c>
      <c r="H349">
        <v>76.498184203999998</v>
      </c>
      <c r="I349">
        <v>50</v>
      </c>
      <c r="J349">
        <v>48.679477691999999</v>
      </c>
      <c r="K349">
        <v>0</v>
      </c>
      <c r="L349">
        <v>1200</v>
      </c>
      <c r="M349">
        <v>1200</v>
      </c>
      <c r="N349">
        <v>0</v>
      </c>
    </row>
    <row r="350" spans="1:14" x14ac:dyDescent="0.25">
      <c r="A350">
        <v>194.109904</v>
      </c>
      <c r="B350" s="1">
        <f>DATE(2010,11,11) + TIME(2,38,15)</f>
        <v>40493.109895833331</v>
      </c>
      <c r="C350">
        <v>1302.2670897999999</v>
      </c>
      <c r="D350">
        <v>1289.3273925999999</v>
      </c>
      <c r="E350">
        <v>1346.1535644999999</v>
      </c>
      <c r="F350">
        <v>1342.2750243999999</v>
      </c>
      <c r="G350">
        <v>80</v>
      </c>
      <c r="H350">
        <v>76.351341247999997</v>
      </c>
      <c r="I350">
        <v>50</v>
      </c>
      <c r="J350">
        <v>48.847980499000002</v>
      </c>
      <c r="K350">
        <v>0</v>
      </c>
      <c r="L350">
        <v>1200</v>
      </c>
      <c r="M350">
        <v>1200</v>
      </c>
      <c r="N350">
        <v>0</v>
      </c>
    </row>
    <row r="351" spans="1:14" x14ac:dyDescent="0.25">
      <c r="A351">
        <v>194.677986</v>
      </c>
      <c r="B351" s="1">
        <f>DATE(2010,11,11) + TIME(16,16,18)</f>
        <v>40493.677986111114</v>
      </c>
      <c r="C351">
        <v>1302.2418213000001</v>
      </c>
      <c r="D351">
        <v>1289.2946777</v>
      </c>
      <c r="E351">
        <v>1346.1013184000001</v>
      </c>
      <c r="F351">
        <v>1342.2271728999999</v>
      </c>
      <c r="G351">
        <v>80</v>
      </c>
      <c r="H351">
        <v>76.199943542</v>
      </c>
      <c r="I351">
        <v>50</v>
      </c>
      <c r="J351">
        <v>48.991024017000001</v>
      </c>
      <c r="K351">
        <v>0</v>
      </c>
      <c r="L351">
        <v>1200</v>
      </c>
      <c r="M351">
        <v>1200</v>
      </c>
      <c r="N351">
        <v>0</v>
      </c>
    </row>
    <row r="352" spans="1:14" x14ac:dyDescent="0.25">
      <c r="A352">
        <v>195.27571699999999</v>
      </c>
      <c r="B352" s="1">
        <f>DATE(2010,11,12) + TIME(6,37,1)</f>
        <v>40494.275706018518</v>
      </c>
      <c r="C352">
        <v>1302.2150879000001</v>
      </c>
      <c r="D352">
        <v>1289.2601318</v>
      </c>
      <c r="E352">
        <v>1346.0489502</v>
      </c>
      <c r="F352">
        <v>1342.1784668</v>
      </c>
      <c r="G352">
        <v>80</v>
      </c>
      <c r="H352">
        <v>76.043319702000005</v>
      </c>
      <c r="I352">
        <v>50</v>
      </c>
      <c r="J352">
        <v>49.111995696999998</v>
      </c>
      <c r="K352">
        <v>0</v>
      </c>
      <c r="L352">
        <v>1200</v>
      </c>
      <c r="M352">
        <v>1200</v>
      </c>
      <c r="N352">
        <v>0</v>
      </c>
    </row>
    <row r="353" spans="1:14" x14ac:dyDescent="0.25">
      <c r="A353">
        <v>195.90747999999999</v>
      </c>
      <c r="B353" s="1">
        <f>DATE(2010,11,12) + TIME(21,46,46)</f>
        <v>40494.907476851855</v>
      </c>
      <c r="C353">
        <v>1302.1866454999999</v>
      </c>
      <c r="D353">
        <v>1289.2236327999999</v>
      </c>
      <c r="E353">
        <v>1345.9962158000001</v>
      </c>
      <c r="F353">
        <v>1342.1287841999999</v>
      </c>
      <c r="G353">
        <v>80</v>
      </c>
      <c r="H353">
        <v>75.880729674999998</v>
      </c>
      <c r="I353">
        <v>50</v>
      </c>
      <c r="J353">
        <v>49.213882446</v>
      </c>
      <c r="K353">
        <v>0</v>
      </c>
      <c r="L353">
        <v>1200</v>
      </c>
      <c r="M353">
        <v>1200</v>
      </c>
      <c r="N353">
        <v>0</v>
      </c>
    </row>
    <row r="354" spans="1:14" x14ac:dyDescent="0.25">
      <c r="A354">
        <v>196.57845399999999</v>
      </c>
      <c r="B354" s="1">
        <f>DATE(2010,11,13) + TIME(13,52,58)</f>
        <v>40495.578449074077</v>
      </c>
      <c r="C354">
        <v>1302.1563721</v>
      </c>
      <c r="D354">
        <v>1289.1846923999999</v>
      </c>
      <c r="E354">
        <v>1345.9429932</v>
      </c>
      <c r="F354">
        <v>1342.078125</v>
      </c>
      <c r="G354">
        <v>80</v>
      </c>
      <c r="H354">
        <v>75.711288452000005</v>
      </c>
      <c r="I354">
        <v>50</v>
      </c>
      <c r="J354">
        <v>49.299335480000003</v>
      </c>
      <c r="K354">
        <v>0</v>
      </c>
      <c r="L354">
        <v>1200</v>
      </c>
      <c r="M354">
        <v>1200</v>
      </c>
      <c r="N354">
        <v>0</v>
      </c>
    </row>
    <row r="355" spans="1:14" x14ac:dyDescent="0.25">
      <c r="A355">
        <v>197.294838</v>
      </c>
      <c r="B355" s="1">
        <f>DATE(2010,11,14) + TIME(7,4,33)</f>
        <v>40496.29482638889</v>
      </c>
      <c r="C355">
        <v>1302.1239014</v>
      </c>
      <c r="D355">
        <v>1289.1430664</v>
      </c>
      <c r="E355">
        <v>1345.8890381000001</v>
      </c>
      <c r="F355">
        <v>1342.0263672000001</v>
      </c>
      <c r="G355">
        <v>80</v>
      </c>
      <c r="H355">
        <v>75.534004210999996</v>
      </c>
      <c r="I355">
        <v>50</v>
      </c>
      <c r="J355">
        <v>49.370697020999998</v>
      </c>
      <c r="K355">
        <v>0</v>
      </c>
      <c r="L355">
        <v>1200</v>
      </c>
      <c r="M355">
        <v>1200</v>
      </c>
      <c r="N355">
        <v>0</v>
      </c>
    </row>
    <row r="356" spans="1:14" x14ac:dyDescent="0.25">
      <c r="A356">
        <v>198.06418199999999</v>
      </c>
      <c r="B356" s="1">
        <f>DATE(2010,11,15) + TIME(1,32,25)</f>
        <v>40497.06417824074</v>
      </c>
      <c r="C356">
        <v>1302.0889893000001</v>
      </c>
      <c r="D356">
        <v>1289.0982666</v>
      </c>
      <c r="E356">
        <v>1345.8341064000001</v>
      </c>
      <c r="F356">
        <v>1341.9731445</v>
      </c>
      <c r="G356">
        <v>80</v>
      </c>
      <c r="H356">
        <v>75.347671508999994</v>
      </c>
      <c r="I356">
        <v>50</v>
      </c>
      <c r="J356">
        <v>49.430057525999999</v>
      </c>
      <c r="K356">
        <v>0</v>
      </c>
      <c r="L356">
        <v>1200</v>
      </c>
      <c r="M356">
        <v>1200</v>
      </c>
      <c r="N356">
        <v>0</v>
      </c>
    </row>
    <row r="357" spans="1:14" x14ac:dyDescent="0.25">
      <c r="A357">
        <v>198.89139299999999</v>
      </c>
      <c r="B357" s="1">
        <f>DATE(2010,11,15) + TIME(21,23,36)</f>
        <v>40497.891388888886</v>
      </c>
      <c r="C357">
        <v>1302.0510254000001</v>
      </c>
      <c r="D357">
        <v>1289.0498047000001</v>
      </c>
      <c r="E357">
        <v>1345.777832</v>
      </c>
      <c r="F357">
        <v>1341.918457</v>
      </c>
      <c r="G357">
        <v>80</v>
      </c>
      <c r="H357">
        <v>75.151687621999997</v>
      </c>
      <c r="I357">
        <v>50</v>
      </c>
      <c r="J357">
        <v>49.479061127000001</v>
      </c>
      <c r="K357">
        <v>0</v>
      </c>
      <c r="L357">
        <v>1200</v>
      </c>
      <c r="M357">
        <v>1200</v>
      </c>
      <c r="N357">
        <v>0</v>
      </c>
    </row>
    <row r="358" spans="1:14" x14ac:dyDescent="0.25">
      <c r="A358">
        <v>199.780404</v>
      </c>
      <c r="B358" s="1">
        <f>DATE(2010,11,16) + TIME(18,43,46)</f>
        <v>40498.780393518522</v>
      </c>
      <c r="C358">
        <v>1302.0096435999999</v>
      </c>
      <c r="D358">
        <v>1288.9971923999999</v>
      </c>
      <c r="E358">
        <v>1345.7202147999999</v>
      </c>
      <c r="F358">
        <v>1341.8621826000001</v>
      </c>
      <c r="G358">
        <v>80</v>
      </c>
      <c r="H358">
        <v>74.945610045999999</v>
      </c>
      <c r="I358">
        <v>50</v>
      </c>
      <c r="J358">
        <v>49.519229889000002</v>
      </c>
      <c r="K358">
        <v>0</v>
      </c>
      <c r="L358">
        <v>1200</v>
      </c>
      <c r="M358">
        <v>1200</v>
      </c>
      <c r="N358">
        <v>0</v>
      </c>
    </row>
    <row r="359" spans="1:14" x14ac:dyDescent="0.25">
      <c r="A359">
        <v>200.69059200000001</v>
      </c>
      <c r="B359" s="1">
        <f>DATE(2010,11,17) + TIME(16,34,27)</f>
        <v>40499.69059027778</v>
      </c>
      <c r="C359">
        <v>1301.9643555</v>
      </c>
      <c r="D359">
        <v>1288.9404297000001</v>
      </c>
      <c r="E359">
        <v>1345.661499</v>
      </c>
      <c r="F359">
        <v>1341.8046875</v>
      </c>
      <c r="G359">
        <v>80</v>
      </c>
      <c r="H359">
        <v>74.736572265999996</v>
      </c>
      <c r="I359">
        <v>50</v>
      </c>
      <c r="J359">
        <v>49.550804137999997</v>
      </c>
      <c r="K359">
        <v>0</v>
      </c>
      <c r="L359">
        <v>1200</v>
      </c>
      <c r="M359">
        <v>1200</v>
      </c>
      <c r="N359">
        <v>0</v>
      </c>
    </row>
    <row r="360" spans="1:14" x14ac:dyDescent="0.25">
      <c r="A360">
        <v>201.60242400000001</v>
      </c>
      <c r="B360" s="1">
        <f>DATE(2010,11,18) + TIME(14,27,29)</f>
        <v>40500.602418981478</v>
      </c>
      <c r="C360">
        <v>1301.9172363</v>
      </c>
      <c r="D360">
        <v>1288.8815918</v>
      </c>
      <c r="E360">
        <v>1345.6044922000001</v>
      </c>
      <c r="F360">
        <v>1341.7485352000001</v>
      </c>
      <c r="G360">
        <v>80</v>
      </c>
      <c r="H360">
        <v>74.528556824000006</v>
      </c>
      <c r="I360">
        <v>50</v>
      </c>
      <c r="J360">
        <v>49.575408936000002</v>
      </c>
      <c r="K360">
        <v>0</v>
      </c>
      <c r="L360">
        <v>1200</v>
      </c>
      <c r="M360">
        <v>1200</v>
      </c>
      <c r="N360">
        <v>0</v>
      </c>
    </row>
    <row r="361" spans="1:14" x14ac:dyDescent="0.25">
      <c r="A361">
        <v>202.521231</v>
      </c>
      <c r="B361" s="1">
        <f>DATE(2010,11,19) + TIME(12,30,34)</f>
        <v>40501.521226851852</v>
      </c>
      <c r="C361">
        <v>1301.8695068</v>
      </c>
      <c r="D361">
        <v>1288.8217772999999</v>
      </c>
      <c r="E361">
        <v>1345.5499268000001</v>
      </c>
      <c r="F361">
        <v>1341.6950684000001</v>
      </c>
      <c r="G361">
        <v>80</v>
      </c>
      <c r="H361">
        <v>74.321250915999997</v>
      </c>
      <c r="I361">
        <v>50</v>
      </c>
      <c r="J361">
        <v>49.594947814999998</v>
      </c>
      <c r="K361">
        <v>0</v>
      </c>
      <c r="L361">
        <v>1200</v>
      </c>
      <c r="M361">
        <v>1200</v>
      </c>
      <c r="N361">
        <v>0</v>
      </c>
    </row>
    <row r="362" spans="1:14" x14ac:dyDescent="0.25">
      <c r="A362">
        <v>203.45182500000001</v>
      </c>
      <c r="B362" s="1">
        <f>DATE(2010,11,20) + TIME(10,50,37)</f>
        <v>40502.451817129629</v>
      </c>
      <c r="C362">
        <v>1301.8209228999999</v>
      </c>
      <c r="D362">
        <v>1288.7606201000001</v>
      </c>
      <c r="E362">
        <v>1345.4976807</v>
      </c>
      <c r="F362">
        <v>1341.6436768000001</v>
      </c>
      <c r="G362">
        <v>80</v>
      </c>
      <c r="H362">
        <v>74.114242554</v>
      </c>
      <c r="I362">
        <v>50</v>
      </c>
      <c r="J362">
        <v>49.610744476000001</v>
      </c>
      <c r="K362">
        <v>0</v>
      </c>
      <c r="L362">
        <v>1200</v>
      </c>
      <c r="M362">
        <v>1200</v>
      </c>
      <c r="N362">
        <v>0</v>
      </c>
    </row>
    <row r="363" spans="1:14" x14ac:dyDescent="0.25">
      <c r="A363">
        <v>204.39876699999999</v>
      </c>
      <c r="B363" s="1">
        <f>DATE(2010,11,21) + TIME(9,34,13)</f>
        <v>40503.398761574077</v>
      </c>
      <c r="C363">
        <v>1301.7712402</v>
      </c>
      <c r="D363">
        <v>1288.697876</v>
      </c>
      <c r="E363">
        <v>1345.4471435999999</v>
      </c>
      <c r="F363">
        <v>1341.5939940999999</v>
      </c>
      <c r="G363">
        <v>80</v>
      </c>
      <c r="H363">
        <v>73.907020568999997</v>
      </c>
      <c r="I363">
        <v>50</v>
      </c>
      <c r="J363">
        <v>49.623748779000003</v>
      </c>
      <c r="K363">
        <v>0</v>
      </c>
      <c r="L363">
        <v>1200</v>
      </c>
      <c r="M363">
        <v>1200</v>
      </c>
      <c r="N363">
        <v>0</v>
      </c>
    </row>
    <row r="364" spans="1:14" x14ac:dyDescent="0.25">
      <c r="A364">
        <v>205.36642599999999</v>
      </c>
      <c r="B364" s="1">
        <f>DATE(2010,11,22) + TIME(8,47,39)</f>
        <v>40504.366423611114</v>
      </c>
      <c r="C364">
        <v>1301.7199707</v>
      </c>
      <c r="D364">
        <v>1288.6330565999999</v>
      </c>
      <c r="E364">
        <v>1345.3979492000001</v>
      </c>
      <c r="F364">
        <v>1341.5457764</v>
      </c>
      <c r="G364">
        <v>80</v>
      </c>
      <c r="H364">
        <v>73.699043274000005</v>
      </c>
      <c r="I364">
        <v>50</v>
      </c>
      <c r="J364">
        <v>49.634639739999997</v>
      </c>
      <c r="K364">
        <v>0</v>
      </c>
      <c r="L364">
        <v>1200</v>
      </c>
      <c r="M364">
        <v>1200</v>
      </c>
      <c r="N364">
        <v>0</v>
      </c>
    </row>
    <row r="365" spans="1:14" x14ac:dyDescent="0.25">
      <c r="A365">
        <v>206.35952499999999</v>
      </c>
      <c r="B365" s="1">
        <f>DATE(2010,11,23) + TIME(8,37,42)</f>
        <v>40505.359513888892</v>
      </c>
      <c r="C365">
        <v>1301.6669922000001</v>
      </c>
      <c r="D365">
        <v>1288.565918</v>
      </c>
      <c r="E365">
        <v>1345.3499756000001</v>
      </c>
      <c r="F365">
        <v>1341.4987793</v>
      </c>
      <c r="G365">
        <v>80</v>
      </c>
      <c r="H365">
        <v>73.489700317</v>
      </c>
      <c r="I365">
        <v>50</v>
      </c>
      <c r="J365">
        <v>49.643917084000002</v>
      </c>
      <c r="K365">
        <v>0</v>
      </c>
      <c r="L365">
        <v>1200</v>
      </c>
      <c r="M365">
        <v>1200</v>
      </c>
      <c r="N365">
        <v>0</v>
      </c>
    </row>
    <row r="366" spans="1:14" x14ac:dyDescent="0.25">
      <c r="A366">
        <v>207.38305600000001</v>
      </c>
      <c r="B366" s="1">
        <f>DATE(2010,11,24) + TIME(9,11,36)</f>
        <v>40506.383055555554</v>
      </c>
      <c r="C366">
        <v>1301.6119385</v>
      </c>
      <c r="D366">
        <v>1288.4959716999999</v>
      </c>
      <c r="E366">
        <v>1345.3029785000001</v>
      </c>
      <c r="F366">
        <v>1341.4526367000001</v>
      </c>
      <c r="G366">
        <v>80</v>
      </c>
      <c r="H366">
        <v>73.278327942000004</v>
      </c>
      <c r="I366">
        <v>50</v>
      </c>
      <c r="J366">
        <v>49.651950835999997</v>
      </c>
      <c r="K366">
        <v>0</v>
      </c>
      <c r="L366">
        <v>1200</v>
      </c>
      <c r="M366">
        <v>1200</v>
      </c>
      <c r="N366">
        <v>0</v>
      </c>
    </row>
    <row r="367" spans="1:14" x14ac:dyDescent="0.25">
      <c r="A367">
        <v>208.44240099999999</v>
      </c>
      <c r="B367" s="1">
        <f>DATE(2010,11,25) + TIME(10,37,3)</f>
        <v>40507.442395833335</v>
      </c>
      <c r="C367">
        <v>1301.5543213000001</v>
      </c>
      <c r="D367">
        <v>1288.4227295000001</v>
      </c>
      <c r="E367">
        <v>1345.2564697</v>
      </c>
      <c r="F367">
        <v>1341.4072266000001</v>
      </c>
      <c r="G367">
        <v>80</v>
      </c>
      <c r="H367">
        <v>73.064193725999999</v>
      </c>
      <c r="I367">
        <v>50</v>
      </c>
      <c r="J367">
        <v>49.659015656000001</v>
      </c>
      <c r="K367">
        <v>0</v>
      </c>
      <c r="L367">
        <v>1200</v>
      </c>
      <c r="M367">
        <v>1200</v>
      </c>
      <c r="N367">
        <v>0</v>
      </c>
    </row>
    <row r="368" spans="1:14" x14ac:dyDescent="0.25">
      <c r="A368">
        <v>209.54357200000001</v>
      </c>
      <c r="B368" s="1">
        <f>DATE(2010,11,26) + TIME(13,2,44)</f>
        <v>40508.543564814812</v>
      </c>
      <c r="C368">
        <v>1301.4938964999999</v>
      </c>
      <c r="D368">
        <v>1288.3458252</v>
      </c>
      <c r="E368">
        <v>1345.2105713000001</v>
      </c>
      <c r="F368">
        <v>1341.3623047000001</v>
      </c>
      <c r="G368">
        <v>80</v>
      </c>
      <c r="H368">
        <v>72.846511840999995</v>
      </c>
      <c r="I368">
        <v>50</v>
      </c>
      <c r="J368">
        <v>49.665309905999997</v>
      </c>
      <c r="K368">
        <v>0</v>
      </c>
      <c r="L368">
        <v>1200</v>
      </c>
      <c r="M368">
        <v>1200</v>
      </c>
      <c r="N368">
        <v>0</v>
      </c>
    </row>
    <row r="369" spans="1:14" x14ac:dyDescent="0.25">
      <c r="A369">
        <v>210.69341700000001</v>
      </c>
      <c r="B369" s="1">
        <f>DATE(2010,11,27) + TIME(16,38,31)</f>
        <v>40509.693414351852</v>
      </c>
      <c r="C369">
        <v>1301.4301757999999</v>
      </c>
      <c r="D369">
        <v>1288.2645264</v>
      </c>
      <c r="E369">
        <v>1345.1649170000001</v>
      </c>
      <c r="F369">
        <v>1341.3176269999999</v>
      </c>
      <c r="G369">
        <v>80</v>
      </c>
      <c r="H369">
        <v>72.624412536999998</v>
      </c>
      <c r="I369">
        <v>50</v>
      </c>
      <c r="J369">
        <v>49.670997620000001</v>
      </c>
      <c r="K369">
        <v>0</v>
      </c>
      <c r="L369">
        <v>1200</v>
      </c>
      <c r="M369">
        <v>1200</v>
      </c>
      <c r="N369">
        <v>0</v>
      </c>
    </row>
    <row r="370" spans="1:14" x14ac:dyDescent="0.25">
      <c r="A370">
        <v>211.89743300000001</v>
      </c>
      <c r="B370" s="1">
        <f>DATE(2010,11,28) + TIME(21,32,18)</f>
        <v>40510.897430555553</v>
      </c>
      <c r="C370">
        <v>1301.3625488</v>
      </c>
      <c r="D370">
        <v>1288.1781006000001</v>
      </c>
      <c r="E370">
        <v>1345.1193848</v>
      </c>
      <c r="F370">
        <v>1341.2731934000001</v>
      </c>
      <c r="G370">
        <v>80</v>
      </c>
      <c r="H370">
        <v>72.397232056000007</v>
      </c>
      <c r="I370">
        <v>50</v>
      </c>
      <c r="J370">
        <v>49.676181792999998</v>
      </c>
      <c r="K370">
        <v>0</v>
      </c>
      <c r="L370">
        <v>1200</v>
      </c>
      <c r="M370">
        <v>1200</v>
      </c>
      <c r="N370">
        <v>0</v>
      </c>
    </row>
    <row r="371" spans="1:14" x14ac:dyDescent="0.25">
      <c r="A371">
        <v>213.16330400000001</v>
      </c>
      <c r="B371" s="1">
        <f>DATE(2010,11,30) + TIME(3,55,9)</f>
        <v>40512.163298611114</v>
      </c>
      <c r="C371">
        <v>1301.2904053</v>
      </c>
      <c r="D371">
        <v>1288.0858154</v>
      </c>
      <c r="E371">
        <v>1345.0737305</v>
      </c>
      <c r="F371">
        <v>1341.2287598</v>
      </c>
      <c r="G371">
        <v>80</v>
      </c>
      <c r="H371">
        <v>72.164070128999995</v>
      </c>
      <c r="I371">
        <v>50</v>
      </c>
      <c r="J371">
        <v>49.680961609000001</v>
      </c>
      <c r="K371">
        <v>0</v>
      </c>
      <c r="L371">
        <v>1200</v>
      </c>
      <c r="M371">
        <v>1200</v>
      </c>
      <c r="N371">
        <v>0</v>
      </c>
    </row>
    <row r="372" spans="1:14" x14ac:dyDescent="0.25">
      <c r="A372">
        <v>214</v>
      </c>
      <c r="B372" s="1">
        <f>DATE(2010,12,1) + TIME(0,0,0)</f>
        <v>40513</v>
      </c>
      <c r="C372">
        <v>1301.2106934000001</v>
      </c>
      <c r="D372">
        <v>1287.9915771000001</v>
      </c>
      <c r="E372">
        <v>1345.0270995999999</v>
      </c>
      <c r="F372">
        <v>1341.1833495999999</v>
      </c>
      <c r="G372">
        <v>80</v>
      </c>
      <c r="H372">
        <v>71.993278502999999</v>
      </c>
      <c r="I372">
        <v>50</v>
      </c>
      <c r="J372">
        <v>49.683830260999997</v>
      </c>
      <c r="K372">
        <v>0</v>
      </c>
      <c r="L372">
        <v>1200</v>
      </c>
      <c r="M372">
        <v>1200</v>
      </c>
      <c r="N372">
        <v>0</v>
      </c>
    </row>
    <row r="373" spans="1:14" x14ac:dyDescent="0.25">
      <c r="A373">
        <v>215.33657500000001</v>
      </c>
      <c r="B373" s="1">
        <f>DATE(2010,12,2) + TIME(8,4,40)</f>
        <v>40514.336574074077</v>
      </c>
      <c r="C373">
        <v>1301.1610106999999</v>
      </c>
      <c r="D373">
        <v>1287.918457</v>
      </c>
      <c r="E373">
        <v>1344.9987793</v>
      </c>
      <c r="F373">
        <v>1341.1558838000001</v>
      </c>
      <c r="G373">
        <v>80</v>
      </c>
      <c r="H373">
        <v>71.760543823000006</v>
      </c>
      <c r="I373">
        <v>50</v>
      </c>
      <c r="J373">
        <v>49.687927246000001</v>
      </c>
      <c r="K373">
        <v>0</v>
      </c>
      <c r="L373">
        <v>1200</v>
      </c>
      <c r="M373">
        <v>1200</v>
      </c>
      <c r="N373">
        <v>0</v>
      </c>
    </row>
    <row r="374" spans="1:14" x14ac:dyDescent="0.25">
      <c r="A374">
        <v>216.80225999999999</v>
      </c>
      <c r="B374" s="1">
        <f>DATE(2010,12,3) + TIME(19,15,15)</f>
        <v>40515.802256944444</v>
      </c>
      <c r="C374">
        <v>1301.0773925999999</v>
      </c>
      <c r="D374">
        <v>1287.8103027</v>
      </c>
      <c r="E374">
        <v>1344.9541016000001</v>
      </c>
      <c r="F374">
        <v>1341.1125488</v>
      </c>
      <c r="G374">
        <v>80</v>
      </c>
      <c r="H374">
        <v>71.513061523000005</v>
      </c>
      <c r="I374">
        <v>50</v>
      </c>
      <c r="J374">
        <v>49.691909789999997</v>
      </c>
      <c r="K374">
        <v>0</v>
      </c>
      <c r="L374">
        <v>1200</v>
      </c>
      <c r="M374">
        <v>1200</v>
      </c>
      <c r="N374">
        <v>0</v>
      </c>
    </row>
    <row r="375" spans="1:14" x14ac:dyDescent="0.25">
      <c r="A375">
        <v>218.27575200000001</v>
      </c>
      <c r="B375" s="1">
        <f>DATE(2010,12,5) + TIME(6,37,4)</f>
        <v>40517.275740740741</v>
      </c>
      <c r="C375">
        <v>1300.9830322</v>
      </c>
      <c r="D375">
        <v>1287.6901855000001</v>
      </c>
      <c r="E375">
        <v>1344.9069824000001</v>
      </c>
      <c r="F375">
        <v>1341.0667725000001</v>
      </c>
      <c r="G375">
        <v>80</v>
      </c>
      <c r="H375">
        <v>71.263931274000001</v>
      </c>
      <c r="I375">
        <v>50</v>
      </c>
      <c r="J375">
        <v>49.695480347</v>
      </c>
      <c r="K375">
        <v>0</v>
      </c>
      <c r="L375">
        <v>1200</v>
      </c>
      <c r="M375">
        <v>1200</v>
      </c>
      <c r="N375">
        <v>0</v>
      </c>
    </row>
    <row r="376" spans="1:14" x14ac:dyDescent="0.25">
      <c r="A376">
        <v>219.75555499999999</v>
      </c>
      <c r="B376" s="1">
        <f>DATE(2010,12,6) + TIME(18,7,59)</f>
        <v>40518.755543981482</v>
      </c>
      <c r="C376">
        <v>1300.8861084</v>
      </c>
      <c r="D376">
        <v>1287.5656738</v>
      </c>
      <c r="E376">
        <v>1344.8618164</v>
      </c>
      <c r="F376">
        <v>1341.0231934000001</v>
      </c>
      <c r="G376">
        <v>80</v>
      </c>
      <c r="H376">
        <v>71.015182495000005</v>
      </c>
      <c r="I376">
        <v>50</v>
      </c>
      <c r="J376">
        <v>49.698703766000001</v>
      </c>
      <c r="K376">
        <v>0</v>
      </c>
      <c r="L376">
        <v>1200</v>
      </c>
      <c r="M376">
        <v>1200</v>
      </c>
      <c r="N376">
        <v>0</v>
      </c>
    </row>
    <row r="377" spans="1:14" x14ac:dyDescent="0.25">
      <c r="A377">
        <v>221.24985599999999</v>
      </c>
      <c r="B377" s="1">
        <f>DATE(2010,12,8) + TIME(5,59,47)</f>
        <v>40520.249849537038</v>
      </c>
      <c r="C377">
        <v>1300.786499</v>
      </c>
      <c r="D377">
        <v>1287.4367675999999</v>
      </c>
      <c r="E377">
        <v>1344.8184814000001</v>
      </c>
      <c r="F377">
        <v>1340.9813231999999</v>
      </c>
      <c r="G377">
        <v>80</v>
      </c>
      <c r="H377">
        <v>70.767082213999998</v>
      </c>
      <c r="I377">
        <v>50</v>
      </c>
      <c r="J377">
        <v>49.701641082999998</v>
      </c>
      <c r="K377">
        <v>0</v>
      </c>
      <c r="L377">
        <v>1200</v>
      </c>
      <c r="M377">
        <v>1200</v>
      </c>
      <c r="N377">
        <v>0</v>
      </c>
    </row>
    <row r="378" spans="1:14" x14ac:dyDescent="0.25">
      <c r="A378">
        <v>222.766333</v>
      </c>
      <c r="B378" s="1">
        <f>DATE(2010,12,9) + TIME(18,23,31)</f>
        <v>40521.766331018516</v>
      </c>
      <c r="C378">
        <v>1300.6837158000001</v>
      </c>
      <c r="D378">
        <v>1287.3028564000001</v>
      </c>
      <c r="E378">
        <v>1344.7767334</v>
      </c>
      <c r="F378">
        <v>1340.9410399999999</v>
      </c>
      <c r="G378">
        <v>80</v>
      </c>
      <c r="H378">
        <v>70.519393921000002</v>
      </c>
      <c r="I378">
        <v>50</v>
      </c>
      <c r="J378">
        <v>49.704349518000001</v>
      </c>
      <c r="K378">
        <v>0</v>
      </c>
      <c r="L378">
        <v>1200</v>
      </c>
      <c r="M378">
        <v>1200</v>
      </c>
      <c r="N378">
        <v>0</v>
      </c>
    </row>
    <row r="379" spans="1:14" x14ac:dyDescent="0.25">
      <c r="A379">
        <v>224.31260900000001</v>
      </c>
      <c r="B379" s="1">
        <f>DATE(2010,12,11) + TIME(7,30,9)</f>
        <v>40523.312604166669</v>
      </c>
      <c r="C379">
        <v>1300.5771483999999</v>
      </c>
      <c r="D379">
        <v>1287.1630858999999</v>
      </c>
      <c r="E379">
        <v>1344.7362060999999</v>
      </c>
      <c r="F379">
        <v>1340.9019774999999</v>
      </c>
      <c r="G379">
        <v>80</v>
      </c>
      <c r="H379">
        <v>70.271560668999996</v>
      </c>
      <c r="I379">
        <v>50</v>
      </c>
      <c r="J379">
        <v>49.706874847000002</v>
      </c>
      <c r="K379">
        <v>0</v>
      </c>
      <c r="L379">
        <v>1200</v>
      </c>
      <c r="M379">
        <v>1200</v>
      </c>
      <c r="N379">
        <v>0</v>
      </c>
    </row>
    <row r="380" spans="1:14" x14ac:dyDescent="0.25">
      <c r="A380">
        <v>225.89680999999999</v>
      </c>
      <c r="B380" s="1">
        <f>DATE(2010,12,12) + TIME(21,31,24)</f>
        <v>40524.896805555552</v>
      </c>
      <c r="C380">
        <v>1300.4659423999999</v>
      </c>
      <c r="D380">
        <v>1287.0166016000001</v>
      </c>
      <c r="E380">
        <v>1344.6966553</v>
      </c>
      <c r="F380">
        <v>1340.8638916</v>
      </c>
      <c r="G380">
        <v>80</v>
      </c>
      <c r="H380">
        <v>70.022819518999995</v>
      </c>
      <c r="I380">
        <v>50</v>
      </c>
      <c r="J380">
        <v>49.709255218999999</v>
      </c>
      <c r="K380">
        <v>0</v>
      </c>
      <c r="L380">
        <v>1200</v>
      </c>
      <c r="M380">
        <v>1200</v>
      </c>
      <c r="N380">
        <v>0</v>
      </c>
    </row>
    <row r="381" spans="1:14" x14ac:dyDescent="0.25">
      <c r="A381">
        <v>227.52736100000001</v>
      </c>
      <c r="B381" s="1">
        <f>DATE(2010,12,14) + TIME(12,39,24)</f>
        <v>40526.527361111112</v>
      </c>
      <c r="C381">
        <v>1300.3494873</v>
      </c>
      <c r="D381">
        <v>1286.8623047000001</v>
      </c>
      <c r="E381">
        <v>1344.6578368999999</v>
      </c>
      <c r="F381">
        <v>1340.8266602000001</v>
      </c>
      <c r="G381">
        <v>80</v>
      </c>
      <c r="H381">
        <v>69.771949767999999</v>
      </c>
      <c r="I381">
        <v>50</v>
      </c>
      <c r="J381">
        <v>49.711517334</v>
      </c>
      <c r="K381">
        <v>0</v>
      </c>
      <c r="L381">
        <v>1200</v>
      </c>
      <c r="M381">
        <v>1200</v>
      </c>
      <c r="N381">
        <v>0</v>
      </c>
    </row>
    <row r="382" spans="1:14" x14ac:dyDescent="0.25">
      <c r="A382">
        <v>229.20825400000001</v>
      </c>
      <c r="B382" s="1">
        <f>DATE(2010,12,16) + TIME(4,59,53)</f>
        <v>40528.208252314813</v>
      </c>
      <c r="C382">
        <v>1300.2268065999999</v>
      </c>
      <c r="D382">
        <v>1286.6990966999999</v>
      </c>
      <c r="E382">
        <v>1344.6196289</v>
      </c>
      <c r="F382">
        <v>1340.7900391000001</v>
      </c>
      <c r="G382">
        <v>80</v>
      </c>
      <c r="H382">
        <v>69.518470764</v>
      </c>
      <c r="I382">
        <v>50</v>
      </c>
      <c r="J382">
        <v>49.713684082</v>
      </c>
      <c r="K382">
        <v>0</v>
      </c>
      <c r="L382">
        <v>1200</v>
      </c>
      <c r="M382">
        <v>1200</v>
      </c>
      <c r="N382">
        <v>0</v>
      </c>
    </row>
    <row r="383" spans="1:14" x14ac:dyDescent="0.25">
      <c r="A383">
        <v>230.94851499999999</v>
      </c>
      <c r="B383" s="1">
        <f>DATE(2010,12,17) + TIME(22,45,51)</f>
        <v>40529.948506944442</v>
      </c>
      <c r="C383">
        <v>1300.0972899999999</v>
      </c>
      <c r="D383">
        <v>1286.5261230000001</v>
      </c>
      <c r="E383">
        <v>1344.5817870999999</v>
      </c>
      <c r="F383">
        <v>1340.7537841999999</v>
      </c>
      <c r="G383">
        <v>80</v>
      </c>
      <c r="H383">
        <v>69.261329650999997</v>
      </c>
      <c r="I383">
        <v>50</v>
      </c>
      <c r="J383">
        <v>49.715778350999997</v>
      </c>
      <c r="K383">
        <v>0</v>
      </c>
      <c r="L383">
        <v>1200</v>
      </c>
      <c r="M383">
        <v>1200</v>
      </c>
      <c r="N383">
        <v>0</v>
      </c>
    </row>
    <row r="384" spans="1:14" x14ac:dyDescent="0.25">
      <c r="A384">
        <v>232.75886199999999</v>
      </c>
      <c r="B384" s="1">
        <f>DATE(2010,12,19) + TIME(18,12,45)</f>
        <v>40531.75885416667</v>
      </c>
      <c r="C384">
        <v>1299.9602050999999</v>
      </c>
      <c r="D384">
        <v>1286.3416748</v>
      </c>
      <c r="E384">
        <v>1344.5444336</v>
      </c>
      <c r="F384">
        <v>1340.7180175999999</v>
      </c>
      <c r="G384">
        <v>80</v>
      </c>
      <c r="H384">
        <v>68.999252318999993</v>
      </c>
      <c r="I384">
        <v>50</v>
      </c>
      <c r="J384">
        <v>49.717823029000002</v>
      </c>
      <c r="K384">
        <v>0</v>
      </c>
      <c r="L384">
        <v>1200</v>
      </c>
      <c r="M384">
        <v>1200</v>
      </c>
      <c r="N384">
        <v>0</v>
      </c>
    </row>
    <row r="385" spans="1:14" x14ac:dyDescent="0.25">
      <c r="A385">
        <v>234.65192999999999</v>
      </c>
      <c r="B385" s="1">
        <f>DATE(2010,12,21) + TIME(15,38,46)</f>
        <v>40533.651921296296</v>
      </c>
      <c r="C385">
        <v>1299.8139647999999</v>
      </c>
      <c r="D385">
        <v>1286.1442870999999</v>
      </c>
      <c r="E385">
        <v>1344.5072021000001</v>
      </c>
      <c r="F385">
        <v>1340.6824951000001</v>
      </c>
      <c r="G385">
        <v>80</v>
      </c>
      <c r="H385">
        <v>68.730743407999995</v>
      </c>
      <c r="I385">
        <v>50</v>
      </c>
      <c r="J385">
        <v>49.719841002999999</v>
      </c>
      <c r="K385">
        <v>0</v>
      </c>
      <c r="L385">
        <v>1200</v>
      </c>
      <c r="M385">
        <v>1200</v>
      </c>
      <c r="N385">
        <v>0</v>
      </c>
    </row>
    <row r="386" spans="1:14" x14ac:dyDescent="0.25">
      <c r="A386">
        <v>235.63125199999999</v>
      </c>
      <c r="B386" s="1">
        <f>DATE(2010,12,22) + TIME(15,9,0)</f>
        <v>40534.631249999999</v>
      </c>
      <c r="C386">
        <v>1299.6579589999999</v>
      </c>
      <c r="D386">
        <v>1285.9495850000001</v>
      </c>
      <c r="E386">
        <v>1344.4680175999999</v>
      </c>
      <c r="F386">
        <v>1340.6450195</v>
      </c>
      <c r="G386">
        <v>80</v>
      </c>
      <c r="H386">
        <v>68.559020996000001</v>
      </c>
      <c r="I386">
        <v>50</v>
      </c>
      <c r="J386">
        <v>49.720825195000003</v>
      </c>
      <c r="K386">
        <v>0</v>
      </c>
      <c r="L386">
        <v>1200</v>
      </c>
      <c r="M386">
        <v>1200</v>
      </c>
      <c r="N386">
        <v>0</v>
      </c>
    </row>
    <row r="387" spans="1:14" x14ac:dyDescent="0.25">
      <c r="A387">
        <v>237.58989500000001</v>
      </c>
      <c r="B387" s="1">
        <f>DATE(2010,12,24) + TIME(14,9,26)</f>
        <v>40536.589884259258</v>
      </c>
      <c r="C387">
        <v>1299.5718993999999</v>
      </c>
      <c r="D387">
        <v>1285.8112793</v>
      </c>
      <c r="E387">
        <v>1344.4514160000001</v>
      </c>
      <c r="F387">
        <v>1340.6292725000001</v>
      </c>
      <c r="G387">
        <v>80</v>
      </c>
      <c r="H387">
        <v>68.298683166999993</v>
      </c>
      <c r="I387">
        <v>50</v>
      </c>
      <c r="J387">
        <v>49.722751617</v>
      </c>
      <c r="K387">
        <v>0</v>
      </c>
      <c r="L387">
        <v>1200</v>
      </c>
      <c r="M387">
        <v>1200</v>
      </c>
      <c r="N387">
        <v>0</v>
      </c>
    </row>
    <row r="388" spans="1:14" x14ac:dyDescent="0.25">
      <c r="A388">
        <v>239.54921999999999</v>
      </c>
      <c r="B388" s="1">
        <f>DATE(2010,12,26) + TIME(13,10,52)</f>
        <v>40538.549212962964</v>
      </c>
      <c r="C388">
        <v>1299.4047852000001</v>
      </c>
      <c r="D388">
        <v>1285.5850829999999</v>
      </c>
      <c r="E388">
        <v>1344.4151611</v>
      </c>
      <c r="F388">
        <v>1340.5948486</v>
      </c>
      <c r="G388">
        <v>80</v>
      </c>
      <c r="H388">
        <v>68.033042907999999</v>
      </c>
      <c r="I388">
        <v>50</v>
      </c>
      <c r="J388">
        <v>49.724590302000003</v>
      </c>
      <c r="K388">
        <v>0</v>
      </c>
      <c r="L388">
        <v>1200</v>
      </c>
      <c r="M388">
        <v>1200</v>
      </c>
      <c r="N388">
        <v>0</v>
      </c>
    </row>
    <row r="389" spans="1:14" x14ac:dyDescent="0.25">
      <c r="A389">
        <v>241.52524399999999</v>
      </c>
      <c r="B389" s="1">
        <f>DATE(2010,12,28) + TIME(12,36,21)</f>
        <v>40540.525243055556</v>
      </c>
      <c r="C389">
        <v>1299.2322998</v>
      </c>
      <c r="D389">
        <v>1285.3491211</v>
      </c>
      <c r="E389">
        <v>1344.3806152</v>
      </c>
      <c r="F389">
        <v>1340.5620117000001</v>
      </c>
      <c r="G389">
        <v>80</v>
      </c>
      <c r="H389">
        <v>67.763923645000006</v>
      </c>
      <c r="I389">
        <v>50</v>
      </c>
      <c r="J389">
        <v>49.726364136000001</v>
      </c>
      <c r="K389">
        <v>0</v>
      </c>
      <c r="L389">
        <v>1200</v>
      </c>
      <c r="M389">
        <v>1200</v>
      </c>
      <c r="N389">
        <v>0</v>
      </c>
    </row>
    <row r="390" spans="1:14" x14ac:dyDescent="0.25">
      <c r="A390">
        <v>243.52803499999999</v>
      </c>
      <c r="B390" s="1">
        <f>DATE(2010,12,30) + TIME(12,40,22)</f>
        <v>40542.528032407405</v>
      </c>
      <c r="C390">
        <v>1299.0538329999999</v>
      </c>
      <c r="D390">
        <v>1285.1026611</v>
      </c>
      <c r="E390">
        <v>1344.347168</v>
      </c>
      <c r="F390">
        <v>1340.5302733999999</v>
      </c>
      <c r="G390">
        <v>80</v>
      </c>
      <c r="H390">
        <v>67.491790770999998</v>
      </c>
      <c r="I390">
        <v>50</v>
      </c>
      <c r="J390">
        <v>49.728096008000001</v>
      </c>
      <c r="K390">
        <v>0</v>
      </c>
      <c r="L390">
        <v>1200</v>
      </c>
      <c r="M390">
        <v>1200</v>
      </c>
      <c r="N390">
        <v>0</v>
      </c>
    </row>
    <row r="391" spans="1:14" x14ac:dyDescent="0.25">
      <c r="A391">
        <v>245</v>
      </c>
      <c r="B391" s="1">
        <f>DATE(2011,1,1) + TIME(0,0,0)</f>
        <v>40544</v>
      </c>
      <c r="C391">
        <v>1298.8695068</v>
      </c>
      <c r="D391">
        <v>1284.8558350000001</v>
      </c>
      <c r="E391">
        <v>1344.3138428</v>
      </c>
      <c r="F391">
        <v>1340.4986572</v>
      </c>
      <c r="G391">
        <v>80</v>
      </c>
      <c r="H391">
        <v>67.266983031999999</v>
      </c>
      <c r="I391">
        <v>50</v>
      </c>
      <c r="J391">
        <v>49.729320526000002</v>
      </c>
      <c r="K391">
        <v>0</v>
      </c>
      <c r="L391">
        <v>1200</v>
      </c>
      <c r="M391">
        <v>1200</v>
      </c>
      <c r="N391">
        <v>0</v>
      </c>
    </row>
    <row r="392" spans="1:14" x14ac:dyDescent="0.25">
      <c r="A392">
        <v>247.04044500000001</v>
      </c>
      <c r="B392" s="1">
        <f>DATE(2011,1,3) + TIME(0,58,14)</f>
        <v>40546.040439814817</v>
      </c>
      <c r="C392">
        <v>1298.7263184000001</v>
      </c>
      <c r="D392">
        <v>1284.6422118999999</v>
      </c>
      <c r="E392">
        <v>1344.2919922000001</v>
      </c>
      <c r="F392">
        <v>1340.4780272999999</v>
      </c>
      <c r="G392">
        <v>80</v>
      </c>
      <c r="H392">
        <v>67.001380920000003</v>
      </c>
      <c r="I392">
        <v>50</v>
      </c>
      <c r="J392">
        <v>49.730991363999998</v>
      </c>
      <c r="K392">
        <v>0</v>
      </c>
      <c r="L392">
        <v>1200</v>
      </c>
      <c r="M392">
        <v>1200</v>
      </c>
      <c r="N392">
        <v>0</v>
      </c>
    </row>
    <row r="393" spans="1:14" x14ac:dyDescent="0.25">
      <c r="A393">
        <v>249.15754699999999</v>
      </c>
      <c r="B393" s="1">
        <f>DATE(2011,1,5) + TIME(3,46,52)</f>
        <v>40548.157546296294</v>
      </c>
      <c r="C393">
        <v>1298.5306396000001</v>
      </c>
      <c r="D393">
        <v>1284.3679199000001</v>
      </c>
      <c r="E393">
        <v>1344.2613524999999</v>
      </c>
      <c r="F393">
        <v>1340.4490966999999</v>
      </c>
      <c r="G393">
        <v>80</v>
      </c>
      <c r="H393">
        <v>66.725112914999997</v>
      </c>
      <c r="I393">
        <v>50</v>
      </c>
      <c r="J393">
        <v>49.732677459999998</v>
      </c>
      <c r="K393">
        <v>0</v>
      </c>
      <c r="L393">
        <v>1200</v>
      </c>
      <c r="M393">
        <v>1200</v>
      </c>
      <c r="N393">
        <v>0</v>
      </c>
    </row>
    <row r="394" spans="1:14" x14ac:dyDescent="0.25">
      <c r="A394">
        <v>251.333011</v>
      </c>
      <c r="B394" s="1">
        <f>DATE(2011,1,7) + TIME(7,59,32)</f>
        <v>40550.333009259259</v>
      </c>
      <c r="C394">
        <v>1298.3225098</v>
      </c>
      <c r="D394">
        <v>1284.0745850000001</v>
      </c>
      <c r="E394">
        <v>1344.2308350000001</v>
      </c>
      <c r="F394">
        <v>1340.4202881000001</v>
      </c>
      <c r="G394">
        <v>80</v>
      </c>
      <c r="H394">
        <v>66.439735412999994</v>
      </c>
      <c r="I394">
        <v>50</v>
      </c>
      <c r="J394">
        <v>49.734359740999999</v>
      </c>
      <c r="K394">
        <v>0</v>
      </c>
      <c r="L394">
        <v>1200</v>
      </c>
      <c r="M394">
        <v>1200</v>
      </c>
      <c r="N394">
        <v>0</v>
      </c>
    </row>
    <row r="395" spans="1:14" x14ac:dyDescent="0.25">
      <c r="A395">
        <v>253.58003299999999</v>
      </c>
      <c r="B395" s="1">
        <f>DATE(2011,1,9) + TIME(13,55,14)</f>
        <v>40552.580023148148</v>
      </c>
      <c r="C395">
        <v>1298.1033935999999</v>
      </c>
      <c r="D395">
        <v>1283.7634277</v>
      </c>
      <c r="E395">
        <v>1344.2008057</v>
      </c>
      <c r="F395">
        <v>1340.3920897999999</v>
      </c>
      <c r="G395">
        <v>80</v>
      </c>
      <c r="H395">
        <v>66.144584656000006</v>
      </c>
      <c r="I395">
        <v>50</v>
      </c>
      <c r="J395">
        <v>49.736053466999998</v>
      </c>
      <c r="K395">
        <v>0</v>
      </c>
      <c r="L395">
        <v>1200</v>
      </c>
      <c r="M395">
        <v>1200</v>
      </c>
      <c r="N395">
        <v>0</v>
      </c>
    </row>
    <row r="396" spans="1:14" x14ac:dyDescent="0.25">
      <c r="A396">
        <v>255.88422</v>
      </c>
      <c r="B396" s="1">
        <f>DATE(2011,1,11) + TIME(21,13,16)</f>
        <v>40554.884212962963</v>
      </c>
      <c r="C396">
        <v>1297.8719481999999</v>
      </c>
      <c r="D396">
        <v>1283.4328613</v>
      </c>
      <c r="E396">
        <v>1344.1710204999999</v>
      </c>
      <c r="F396">
        <v>1340.3640137</v>
      </c>
      <c r="G396">
        <v>80</v>
      </c>
      <c r="H396">
        <v>65.840286254999995</v>
      </c>
      <c r="I396">
        <v>50</v>
      </c>
      <c r="J396">
        <v>49.737747192</v>
      </c>
      <c r="K396">
        <v>0</v>
      </c>
      <c r="L396">
        <v>1200</v>
      </c>
      <c r="M396">
        <v>1200</v>
      </c>
      <c r="N396">
        <v>0</v>
      </c>
    </row>
    <row r="397" spans="1:14" x14ac:dyDescent="0.25">
      <c r="A397">
        <v>258.21083099999998</v>
      </c>
      <c r="B397" s="1">
        <f>DATE(2011,1,14) + TIME(5,3,35)</f>
        <v>40557.210821759261</v>
      </c>
      <c r="C397">
        <v>1297.6291504000001</v>
      </c>
      <c r="D397">
        <v>1283.0845947</v>
      </c>
      <c r="E397">
        <v>1344.1417236</v>
      </c>
      <c r="F397">
        <v>1340.3365478999999</v>
      </c>
      <c r="G397">
        <v>80</v>
      </c>
      <c r="H397">
        <v>65.529197693</v>
      </c>
      <c r="I397">
        <v>50</v>
      </c>
      <c r="J397">
        <v>49.739414214999996</v>
      </c>
      <c r="K397">
        <v>0</v>
      </c>
      <c r="L397">
        <v>1200</v>
      </c>
      <c r="M397">
        <v>1200</v>
      </c>
      <c r="N397">
        <v>0</v>
      </c>
    </row>
    <row r="398" spans="1:14" x14ac:dyDescent="0.25">
      <c r="A398">
        <v>260.56395199999997</v>
      </c>
      <c r="B398" s="1">
        <f>DATE(2011,1,16) + TIME(13,32,5)</f>
        <v>40559.563946759263</v>
      </c>
      <c r="C398">
        <v>1297.3781738</v>
      </c>
      <c r="D398">
        <v>1282.7220459</v>
      </c>
      <c r="E398">
        <v>1344.1134033000001</v>
      </c>
      <c r="F398">
        <v>1340.3100586</v>
      </c>
      <c r="G398">
        <v>80</v>
      </c>
      <c r="H398">
        <v>65.211532593000001</v>
      </c>
      <c r="I398">
        <v>50</v>
      </c>
      <c r="J398">
        <v>49.741065978999998</v>
      </c>
      <c r="K398">
        <v>0</v>
      </c>
      <c r="L398">
        <v>1200</v>
      </c>
      <c r="M398">
        <v>1200</v>
      </c>
      <c r="N398">
        <v>0</v>
      </c>
    </row>
    <row r="399" spans="1:14" x14ac:dyDescent="0.25">
      <c r="A399">
        <v>262.94133399999998</v>
      </c>
      <c r="B399" s="1">
        <f>DATE(2011,1,18) + TIME(22,35,31)</f>
        <v>40561.941331018519</v>
      </c>
      <c r="C399">
        <v>1297.1190185999999</v>
      </c>
      <c r="D399">
        <v>1282.3450928</v>
      </c>
      <c r="E399">
        <v>1344.0859375</v>
      </c>
      <c r="F399">
        <v>1340.2844238</v>
      </c>
      <c r="G399">
        <v>80</v>
      </c>
      <c r="H399">
        <v>64.887321471999996</v>
      </c>
      <c r="I399">
        <v>50</v>
      </c>
      <c r="J399">
        <v>49.742698668999999</v>
      </c>
      <c r="K399">
        <v>0</v>
      </c>
      <c r="L399">
        <v>1200</v>
      </c>
      <c r="M399">
        <v>1200</v>
      </c>
      <c r="N399">
        <v>0</v>
      </c>
    </row>
    <row r="400" spans="1:14" x14ac:dyDescent="0.25">
      <c r="A400">
        <v>265.33721500000001</v>
      </c>
      <c r="B400" s="1">
        <f>DATE(2011,1,21) + TIME(8,5,35)</f>
        <v>40564.337210648147</v>
      </c>
      <c r="C400">
        <v>1296.8515625</v>
      </c>
      <c r="D400">
        <v>1281.9541016000001</v>
      </c>
      <c r="E400">
        <v>1344.0594481999999</v>
      </c>
      <c r="F400">
        <v>1340.2596435999999</v>
      </c>
      <c r="G400">
        <v>80</v>
      </c>
      <c r="H400">
        <v>64.556739807</v>
      </c>
      <c r="I400">
        <v>50</v>
      </c>
      <c r="J400">
        <v>49.744312286000003</v>
      </c>
      <c r="K400">
        <v>0</v>
      </c>
      <c r="L400">
        <v>1200</v>
      </c>
      <c r="M400">
        <v>1200</v>
      </c>
      <c r="N400">
        <v>0</v>
      </c>
    </row>
    <row r="401" spans="1:14" x14ac:dyDescent="0.25">
      <c r="A401">
        <v>267.755652</v>
      </c>
      <c r="B401" s="1">
        <f>DATE(2011,1,23) + TIME(18,8,8)</f>
        <v>40566.755648148152</v>
      </c>
      <c r="C401">
        <v>1296.5766602000001</v>
      </c>
      <c r="D401">
        <v>1281.5495605000001</v>
      </c>
      <c r="E401">
        <v>1344.0336914</v>
      </c>
      <c r="F401">
        <v>1340.2357178</v>
      </c>
      <c r="G401">
        <v>80</v>
      </c>
      <c r="H401">
        <v>64.219100952000005</v>
      </c>
      <c r="I401">
        <v>50</v>
      </c>
      <c r="J401">
        <v>49.745910645000002</v>
      </c>
      <c r="K401">
        <v>0</v>
      </c>
      <c r="L401">
        <v>1200</v>
      </c>
      <c r="M401">
        <v>1200</v>
      </c>
      <c r="N401">
        <v>0</v>
      </c>
    </row>
    <row r="402" spans="1:14" x14ac:dyDescent="0.25">
      <c r="A402">
        <v>270.20052900000002</v>
      </c>
      <c r="B402" s="1">
        <f>DATE(2011,1,26) + TIME(4,48,45)</f>
        <v>40569.200520833336</v>
      </c>
      <c r="C402">
        <v>1296.2939452999999</v>
      </c>
      <c r="D402">
        <v>1281.1311035000001</v>
      </c>
      <c r="E402">
        <v>1344.0087891000001</v>
      </c>
      <c r="F402">
        <v>1340.2126464999999</v>
      </c>
      <c r="G402">
        <v>80</v>
      </c>
      <c r="H402">
        <v>63.873477936</v>
      </c>
      <c r="I402">
        <v>50</v>
      </c>
      <c r="J402">
        <v>49.747497559000003</v>
      </c>
      <c r="K402">
        <v>0</v>
      </c>
      <c r="L402">
        <v>1200</v>
      </c>
      <c r="M402">
        <v>1200</v>
      </c>
      <c r="N402">
        <v>0</v>
      </c>
    </row>
    <row r="403" spans="1:14" x14ac:dyDescent="0.25">
      <c r="A403">
        <v>272.67565400000001</v>
      </c>
      <c r="B403" s="1">
        <f>DATE(2011,1,28) + TIME(16,12,56)</f>
        <v>40571.67564814815</v>
      </c>
      <c r="C403">
        <v>1296.0030518000001</v>
      </c>
      <c r="D403">
        <v>1280.6981201000001</v>
      </c>
      <c r="E403">
        <v>1343.9846190999999</v>
      </c>
      <c r="F403">
        <v>1340.1901855000001</v>
      </c>
      <c r="G403">
        <v>80</v>
      </c>
      <c r="H403">
        <v>63.518764496000003</v>
      </c>
      <c r="I403">
        <v>50</v>
      </c>
      <c r="J403">
        <v>49.749073029000002</v>
      </c>
      <c r="K403">
        <v>0</v>
      </c>
      <c r="L403">
        <v>1200</v>
      </c>
      <c r="M403">
        <v>1200</v>
      </c>
      <c r="N403">
        <v>0</v>
      </c>
    </row>
    <row r="404" spans="1:14" x14ac:dyDescent="0.25">
      <c r="A404">
        <v>275.16574900000001</v>
      </c>
      <c r="B404" s="1">
        <f>DATE(2011,1,31) + TIME(3,58,40)</f>
        <v>40574.16574074074</v>
      </c>
      <c r="C404">
        <v>1295.7036132999999</v>
      </c>
      <c r="D404">
        <v>1280.2502440999999</v>
      </c>
      <c r="E404">
        <v>1343.9609375</v>
      </c>
      <c r="F404">
        <v>1340.168457</v>
      </c>
      <c r="G404">
        <v>80</v>
      </c>
      <c r="H404">
        <v>63.155239105</v>
      </c>
      <c r="I404">
        <v>50</v>
      </c>
      <c r="J404">
        <v>49.750629425</v>
      </c>
      <c r="K404">
        <v>0</v>
      </c>
      <c r="L404">
        <v>1200</v>
      </c>
      <c r="M404">
        <v>1200</v>
      </c>
      <c r="N404">
        <v>0</v>
      </c>
    </row>
    <row r="405" spans="1:14" x14ac:dyDescent="0.25">
      <c r="A405">
        <v>276</v>
      </c>
      <c r="B405" s="1">
        <f>DATE(2011,2,1) + TIME(0,0,0)</f>
        <v>40575</v>
      </c>
      <c r="C405">
        <v>1295.4108887</v>
      </c>
      <c r="D405">
        <v>1279.8607178</v>
      </c>
      <c r="E405">
        <v>1343.9350586</v>
      </c>
      <c r="F405">
        <v>1340.1442870999999</v>
      </c>
      <c r="G405">
        <v>80</v>
      </c>
      <c r="H405">
        <v>62.973522185999997</v>
      </c>
      <c r="I405">
        <v>50</v>
      </c>
      <c r="J405">
        <v>49.751125336000001</v>
      </c>
      <c r="K405">
        <v>0</v>
      </c>
      <c r="L405">
        <v>1200</v>
      </c>
      <c r="M405">
        <v>1200</v>
      </c>
      <c r="N405">
        <v>0</v>
      </c>
    </row>
    <row r="406" spans="1:14" x14ac:dyDescent="0.25">
      <c r="A406">
        <v>278.50853799999999</v>
      </c>
      <c r="B406" s="1">
        <f>DATE(2011,2,3) + TIME(12,12,17)</f>
        <v>40577.508530092593</v>
      </c>
      <c r="C406">
        <v>1295.2845459</v>
      </c>
      <c r="D406">
        <v>1279.6080322</v>
      </c>
      <c r="E406">
        <v>1343.9310303</v>
      </c>
      <c r="F406">
        <v>1340.1408690999999</v>
      </c>
      <c r="G406">
        <v>80</v>
      </c>
      <c r="H406">
        <v>62.625179291000002</v>
      </c>
      <c r="I406">
        <v>50</v>
      </c>
      <c r="J406">
        <v>49.752670287999997</v>
      </c>
      <c r="K406">
        <v>0</v>
      </c>
      <c r="L406">
        <v>1200</v>
      </c>
      <c r="M406">
        <v>1200</v>
      </c>
      <c r="N406">
        <v>0</v>
      </c>
    </row>
    <row r="407" spans="1:14" x14ac:dyDescent="0.25">
      <c r="A407">
        <v>281.04842000000002</v>
      </c>
      <c r="B407" s="1">
        <f>DATE(2011,2,6) + TIME(1,9,43)</f>
        <v>40580.048414351855</v>
      </c>
      <c r="C407">
        <v>1294.9742432</v>
      </c>
      <c r="D407">
        <v>1279.1424560999999</v>
      </c>
      <c r="E407">
        <v>1343.9091797000001</v>
      </c>
      <c r="F407">
        <v>1340.1207274999999</v>
      </c>
      <c r="G407">
        <v>80</v>
      </c>
      <c r="H407">
        <v>62.253002166999998</v>
      </c>
      <c r="I407">
        <v>50</v>
      </c>
      <c r="J407">
        <v>49.754199982000003</v>
      </c>
      <c r="K407">
        <v>0</v>
      </c>
      <c r="L407">
        <v>1200</v>
      </c>
      <c r="M407">
        <v>1200</v>
      </c>
      <c r="N407">
        <v>0</v>
      </c>
    </row>
    <row r="408" spans="1:14" x14ac:dyDescent="0.25">
      <c r="A408">
        <v>283.61571099999998</v>
      </c>
      <c r="B408" s="1">
        <f>DATE(2011,2,8) + TIME(14,46,37)</f>
        <v>40582.615706018521</v>
      </c>
      <c r="C408">
        <v>1294.6533202999999</v>
      </c>
      <c r="D408">
        <v>1278.6558838000001</v>
      </c>
      <c r="E408">
        <v>1343.8878173999999</v>
      </c>
      <c r="F408">
        <v>1340.1011963000001</v>
      </c>
      <c r="G408">
        <v>80</v>
      </c>
      <c r="H408">
        <v>61.862228393999999</v>
      </c>
      <c r="I408">
        <v>50</v>
      </c>
      <c r="J408">
        <v>49.755722046000002</v>
      </c>
      <c r="K408">
        <v>0</v>
      </c>
      <c r="L408">
        <v>1200</v>
      </c>
      <c r="M408">
        <v>1200</v>
      </c>
      <c r="N408">
        <v>0</v>
      </c>
    </row>
    <row r="409" spans="1:14" x14ac:dyDescent="0.25">
      <c r="A409">
        <v>286.21444200000002</v>
      </c>
      <c r="B409" s="1">
        <f>DATE(2011,2,11) + TIME(5,8,47)</f>
        <v>40585.214432870373</v>
      </c>
      <c r="C409">
        <v>1294.3233643000001</v>
      </c>
      <c r="D409">
        <v>1278.1514893000001</v>
      </c>
      <c r="E409">
        <v>1343.8670654</v>
      </c>
      <c r="F409">
        <v>1340.0822754000001</v>
      </c>
      <c r="G409">
        <v>80</v>
      </c>
      <c r="H409">
        <v>61.455032349</v>
      </c>
      <c r="I409">
        <v>50</v>
      </c>
      <c r="J409">
        <v>49.757232666</v>
      </c>
      <c r="K409">
        <v>0</v>
      </c>
      <c r="L409">
        <v>1200</v>
      </c>
      <c r="M409">
        <v>1200</v>
      </c>
      <c r="N409">
        <v>0</v>
      </c>
    </row>
    <row r="410" spans="1:14" x14ac:dyDescent="0.25">
      <c r="A410">
        <v>288.83756199999999</v>
      </c>
      <c r="B410" s="1">
        <f>DATE(2011,2,13) + TIME(20,6,5)</f>
        <v>40587.837557870371</v>
      </c>
      <c r="C410">
        <v>1293.9847411999999</v>
      </c>
      <c r="D410">
        <v>1277.6304932</v>
      </c>
      <c r="E410">
        <v>1343.8468018000001</v>
      </c>
      <c r="F410">
        <v>1340.0638428</v>
      </c>
      <c r="G410">
        <v>80</v>
      </c>
      <c r="H410">
        <v>61.032878875999998</v>
      </c>
      <c r="I410">
        <v>50</v>
      </c>
      <c r="J410">
        <v>49.758731842000003</v>
      </c>
      <c r="K410">
        <v>0</v>
      </c>
      <c r="L410">
        <v>1200</v>
      </c>
      <c r="M410">
        <v>1200</v>
      </c>
      <c r="N410">
        <v>0</v>
      </c>
    </row>
    <row r="411" spans="1:14" x14ac:dyDescent="0.25">
      <c r="A411">
        <v>291.48248100000001</v>
      </c>
      <c r="B411" s="1">
        <f>DATE(2011,2,16) + TIME(11,34,46)</f>
        <v>40590.482476851852</v>
      </c>
      <c r="C411">
        <v>1293.6387939000001</v>
      </c>
      <c r="D411">
        <v>1277.0946045000001</v>
      </c>
      <c r="E411">
        <v>1343.8271483999999</v>
      </c>
      <c r="F411">
        <v>1340.0460204999999</v>
      </c>
      <c r="G411">
        <v>80</v>
      </c>
      <c r="H411">
        <v>60.596542358000001</v>
      </c>
      <c r="I411">
        <v>50</v>
      </c>
      <c r="J411">
        <v>49.760215758999998</v>
      </c>
      <c r="K411">
        <v>0</v>
      </c>
      <c r="L411">
        <v>1200</v>
      </c>
      <c r="M411">
        <v>1200</v>
      </c>
      <c r="N411">
        <v>0</v>
      </c>
    </row>
    <row r="412" spans="1:14" x14ac:dyDescent="0.25">
      <c r="A412">
        <v>294.14755300000002</v>
      </c>
      <c r="B412" s="1">
        <f>DATE(2011,2,19) + TIME(3,32,28)</f>
        <v>40593.147546296299</v>
      </c>
      <c r="C412">
        <v>1293.2858887</v>
      </c>
      <c r="D412">
        <v>1276.5449219</v>
      </c>
      <c r="E412">
        <v>1343.8079834</v>
      </c>
      <c r="F412">
        <v>1340.0286865</v>
      </c>
      <c r="G412">
        <v>80</v>
      </c>
      <c r="H412">
        <v>60.146469115999999</v>
      </c>
      <c r="I412">
        <v>50</v>
      </c>
      <c r="J412">
        <v>49.761688231999997</v>
      </c>
      <c r="K412">
        <v>0</v>
      </c>
      <c r="L412">
        <v>1200</v>
      </c>
      <c r="M412">
        <v>1200</v>
      </c>
      <c r="N412">
        <v>0</v>
      </c>
    </row>
    <row r="413" spans="1:14" x14ac:dyDescent="0.25">
      <c r="A413">
        <v>296.836973</v>
      </c>
      <c r="B413" s="1">
        <f>DATE(2011,2,21) + TIME(20,5,14)</f>
        <v>40595.836967592593</v>
      </c>
      <c r="C413">
        <v>1292.9267577999999</v>
      </c>
      <c r="D413">
        <v>1275.9820557</v>
      </c>
      <c r="E413">
        <v>1343.7894286999999</v>
      </c>
      <c r="F413">
        <v>1340.0119629000001</v>
      </c>
      <c r="G413">
        <v>80</v>
      </c>
      <c r="H413">
        <v>59.681976317999997</v>
      </c>
      <c r="I413">
        <v>50</v>
      </c>
      <c r="J413">
        <v>49.763149261000002</v>
      </c>
      <c r="K413">
        <v>0</v>
      </c>
      <c r="L413">
        <v>1200</v>
      </c>
      <c r="M413">
        <v>1200</v>
      </c>
      <c r="N413">
        <v>0</v>
      </c>
    </row>
    <row r="414" spans="1:14" x14ac:dyDescent="0.25">
      <c r="A414">
        <v>299.554779</v>
      </c>
      <c r="B414" s="1">
        <f>DATE(2011,2,24) + TIME(13,18,52)</f>
        <v>40598.554768518516</v>
      </c>
      <c r="C414">
        <v>1292.5610352000001</v>
      </c>
      <c r="D414">
        <v>1275.4053954999999</v>
      </c>
      <c r="E414">
        <v>1343.7712402</v>
      </c>
      <c r="F414">
        <v>1339.9957274999999</v>
      </c>
      <c r="G414">
        <v>80</v>
      </c>
      <c r="H414">
        <v>59.202346802000001</v>
      </c>
      <c r="I414">
        <v>50</v>
      </c>
      <c r="J414">
        <v>49.764602660999998</v>
      </c>
      <c r="K414">
        <v>0</v>
      </c>
      <c r="L414">
        <v>1200</v>
      </c>
      <c r="M414">
        <v>1200</v>
      </c>
      <c r="N414">
        <v>0</v>
      </c>
    </row>
    <row r="415" spans="1:14" x14ac:dyDescent="0.25">
      <c r="A415">
        <v>302.29360800000001</v>
      </c>
      <c r="B415" s="1">
        <f>DATE(2011,2,27) + TIME(7,2,47)</f>
        <v>40601.293599537035</v>
      </c>
      <c r="C415">
        <v>1292.1884766000001</v>
      </c>
      <c r="D415">
        <v>1274.8149414</v>
      </c>
      <c r="E415">
        <v>1343.7535399999999</v>
      </c>
      <c r="F415">
        <v>1339.9798584</v>
      </c>
      <c r="G415">
        <v>80</v>
      </c>
      <c r="H415">
        <v>58.707843781000001</v>
      </c>
      <c r="I415">
        <v>50</v>
      </c>
      <c r="J415">
        <v>49.766040801999999</v>
      </c>
      <c r="K415">
        <v>0</v>
      </c>
      <c r="L415">
        <v>1200</v>
      </c>
      <c r="M415">
        <v>1200</v>
      </c>
      <c r="N415">
        <v>0</v>
      </c>
    </row>
    <row r="416" spans="1:14" x14ac:dyDescent="0.25">
      <c r="A416">
        <v>304</v>
      </c>
      <c r="B416" s="1">
        <f>DATE(2011,3,1) + TIME(0,0,0)</f>
        <v>40603</v>
      </c>
      <c r="C416">
        <v>1291.8175048999999</v>
      </c>
      <c r="D416">
        <v>1274.2600098</v>
      </c>
      <c r="E416">
        <v>1343.7347411999999</v>
      </c>
      <c r="F416">
        <v>1339.9627685999999</v>
      </c>
      <c r="G416">
        <v>80</v>
      </c>
      <c r="H416">
        <v>58.316474915000001</v>
      </c>
      <c r="I416">
        <v>50</v>
      </c>
      <c r="J416">
        <v>49.766906738000003</v>
      </c>
      <c r="K416">
        <v>0</v>
      </c>
      <c r="L416">
        <v>1200</v>
      </c>
      <c r="M416">
        <v>1200</v>
      </c>
      <c r="N416">
        <v>0</v>
      </c>
    </row>
    <row r="417" spans="1:14" x14ac:dyDescent="0.25">
      <c r="A417">
        <v>306.75879300000003</v>
      </c>
      <c r="B417" s="1">
        <f>DATE(2011,3,3) + TIME(18,12,39)</f>
        <v>40605.758784722224</v>
      </c>
      <c r="C417">
        <v>1291.5644531</v>
      </c>
      <c r="D417">
        <v>1273.8037108999999</v>
      </c>
      <c r="E417">
        <v>1343.7261963000001</v>
      </c>
      <c r="F417">
        <v>1339.9554443</v>
      </c>
      <c r="G417">
        <v>80</v>
      </c>
      <c r="H417">
        <v>57.838371277</v>
      </c>
      <c r="I417">
        <v>50</v>
      </c>
      <c r="J417">
        <v>49.768329620000003</v>
      </c>
      <c r="K417">
        <v>0</v>
      </c>
      <c r="L417">
        <v>1200</v>
      </c>
      <c r="M417">
        <v>1200</v>
      </c>
      <c r="N417">
        <v>0</v>
      </c>
    </row>
    <row r="418" spans="1:14" x14ac:dyDescent="0.25">
      <c r="A418">
        <v>309.55931099999998</v>
      </c>
      <c r="B418" s="1">
        <f>DATE(2011,3,6) + TIME(13,25,24)</f>
        <v>40608.559305555558</v>
      </c>
      <c r="C418">
        <v>1291.1845702999999</v>
      </c>
      <c r="D418">
        <v>1273.1987305</v>
      </c>
      <c r="E418">
        <v>1343.7095947</v>
      </c>
      <c r="F418">
        <v>1339.9407959</v>
      </c>
      <c r="G418">
        <v>80</v>
      </c>
      <c r="H418">
        <v>57.324546814000001</v>
      </c>
      <c r="I418">
        <v>50</v>
      </c>
      <c r="J418">
        <v>49.769744873</v>
      </c>
      <c r="K418">
        <v>0</v>
      </c>
      <c r="L418">
        <v>1200</v>
      </c>
      <c r="M418">
        <v>1200</v>
      </c>
      <c r="N418">
        <v>0</v>
      </c>
    </row>
    <row r="419" spans="1:14" x14ac:dyDescent="0.25">
      <c r="A419">
        <v>312.390241</v>
      </c>
      <c r="B419" s="1">
        <f>DATE(2011,3,9) + TIME(9,21,56)</f>
        <v>40611.390231481484</v>
      </c>
      <c r="C419">
        <v>1290.7947998</v>
      </c>
      <c r="D419">
        <v>1272.5709228999999</v>
      </c>
      <c r="E419">
        <v>1343.6933594</v>
      </c>
      <c r="F419">
        <v>1339.9263916</v>
      </c>
      <c r="G419">
        <v>80</v>
      </c>
      <c r="H419">
        <v>56.784713744999998</v>
      </c>
      <c r="I419">
        <v>50</v>
      </c>
      <c r="J419">
        <v>49.771148682000003</v>
      </c>
      <c r="K419">
        <v>0</v>
      </c>
      <c r="L419">
        <v>1200</v>
      </c>
      <c r="M419">
        <v>1200</v>
      </c>
      <c r="N419">
        <v>0</v>
      </c>
    </row>
    <row r="420" spans="1:14" x14ac:dyDescent="0.25">
      <c r="A420">
        <v>315.24013600000001</v>
      </c>
      <c r="B420" s="1">
        <f>DATE(2011,3,12) + TIME(5,45,47)</f>
        <v>40614.240127314813</v>
      </c>
      <c r="C420">
        <v>1290.3979492000001</v>
      </c>
      <c r="D420">
        <v>1271.9263916</v>
      </c>
      <c r="E420">
        <v>1343.6774902</v>
      </c>
      <c r="F420">
        <v>1339.9123535000001</v>
      </c>
      <c r="G420">
        <v>80</v>
      </c>
      <c r="H420">
        <v>56.224990845000001</v>
      </c>
      <c r="I420">
        <v>50</v>
      </c>
      <c r="J420">
        <v>49.772537231000001</v>
      </c>
      <c r="K420">
        <v>0</v>
      </c>
      <c r="L420">
        <v>1200</v>
      </c>
      <c r="M420">
        <v>1200</v>
      </c>
      <c r="N420">
        <v>0</v>
      </c>
    </row>
    <row r="421" spans="1:14" x14ac:dyDescent="0.25">
      <c r="A421">
        <v>318.11338599999999</v>
      </c>
      <c r="B421" s="1">
        <f>DATE(2011,3,15) + TIME(2,43,16)</f>
        <v>40617.113379629627</v>
      </c>
      <c r="C421">
        <v>1289.9964600000001</v>
      </c>
      <c r="D421">
        <v>1271.269043</v>
      </c>
      <c r="E421">
        <v>1343.6619873</v>
      </c>
      <c r="F421">
        <v>1339.8988036999999</v>
      </c>
      <c r="G421">
        <v>80</v>
      </c>
      <c r="H421">
        <v>55.648288727000001</v>
      </c>
      <c r="I421">
        <v>50</v>
      </c>
      <c r="J421">
        <v>49.773914337000001</v>
      </c>
      <c r="K421">
        <v>0</v>
      </c>
      <c r="L421">
        <v>1200</v>
      </c>
      <c r="M421">
        <v>1200</v>
      </c>
      <c r="N421">
        <v>0</v>
      </c>
    </row>
    <row r="422" spans="1:14" x14ac:dyDescent="0.25">
      <c r="A422">
        <v>321.010378</v>
      </c>
      <c r="B422" s="1">
        <f>DATE(2011,3,18) + TIME(0,14,56)</f>
        <v>40620.010370370372</v>
      </c>
      <c r="C422">
        <v>1289.5905762</v>
      </c>
      <c r="D422">
        <v>1270.5999756000001</v>
      </c>
      <c r="E422">
        <v>1343.6468506000001</v>
      </c>
      <c r="F422">
        <v>1339.8856201000001</v>
      </c>
      <c r="G422">
        <v>80</v>
      </c>
      <c r="H422">
        <v>55.056152343999997</v>
      </c>
      <c r="I422">
        <v>50</v>
      </c>
      <c r="J422">
        <v>49.775276183999999</v>
      </c>
      <c r="K422">
        <v>0</v>
      </c>
      <c r="L422">
        <v>1200</v>
      </c>
      <c r="M422">
        <v>1200</v>
      </c>
      <c r="N422">
        <v>0</v>
      </c>
    </row>
    <row r="423" spans="1:14" x14ac:dyDescent="0.25">
      <c r="A423">
        <v>323.92555900000002</v>
      </c>
      <c r="B423" s="1">
        <f>DATE(2011,3,20) + TIME(22,12,48)</f>
        <v>40622.925555555557</v>
      </c>
      <c r="C423">
        <v>1289.1805420000001</v>
      </c>
      <c r="D423">
        <v>1269.9199219</v>
      </c>
      <c r="E423">
        <v>1343.6320800999999</v>
      </c>
      <c r="F423">
        <v>1339.8728027</v>
      </c>
      <c r="G423">
        <v>80</v>
      </c>
      <c r="H423">
        <v>54.450145720999998</v>
      </c>
      <c r="I423">
        <v>50</v>
      </c>
      <c r="J423">
        <v>49.776626587000003</v>
      </c>
      <c r="K423">
        <v>0</v>
      </c>
      <c r="L423">
        <v>1200</v>
      </c>
      <c r="M423">
        <v>1200</v>
      </c>
      <c r="N423">
        <v>0</v>
      </c>
    </row>
    <row r="424" spans="1:14" x14ac:dyDescent="0.25">
      <c r="A424">
        <v>326.863857</v>
      </c>
      <c r="B424" s="1">
        <f>DATE(2011,3,23) + TIME(20,43,57)</f>
        <v>40625.863854166666</v>
      </c>
      <c r="C424">
        <v>1288.7677002</v>
      </c>
      <c r="D424">
        <v>1269.2303466999999</v>
      </c>
      <c r="E424">
        <v>1343.6176757999999</v>
      </c>
      <c r="F424">
        <v>1339.8603516000001</v>
      </c>
      <c r="G424">
        <v>80</v>
      </c>
      <c r="H424">
        <v>53.830936432000001</v>
      </c>
      <c r="I424">
        <v>50</v>
      </c>
      <c r="J424">
        <v>49.777965545999997</v>
      </c>
      <c r="K424">
        <v>0</v>
      </c>
      <c r="L424">
        <v>1200</v>
      </c>
      <c r="M424">
        <v>1200</v>
      </c>
      <c r="N424">
        <v>0</v>
      </c>
    </row>
    <row r="425" spans="1:14" x14ac:dyDescent="0.25">
      <c r="A425">
        <v>329.82672100000002</v>
      </c>
      <c r="B425" s="1">
        <f>DATE(2011,3,26) + TIME(19,50,28)</f>
        <v>40628.82671296296</v>
      </c>
      <c r="C425">
        <v>1288.3516846</v>
      </c>
      <c r="D425">
        <v>1268.53125</v>
      </c>
      <c r="E425">
        <v>1343.6035156</v>
      </c>
      <c r="F425">
        <v>1339.8481445</v>
      </c>
      <c r="G425">
        <v>80</v>
      </c>
      <c r="H425">
        <v>53.199008941999999</v>
      </c>
      <c r="I425">
        <v>50</v>
      </c>
      <c r="J425">
        <v>49.779293060000001</v>
      </c>
      <c r="K425">
        <v>0</v>
      </c>
      <c r="L425">
        <v>1200</v>
      </c>
      <c r="M425">
        <v>1200</v>
      </c>
      <c r="N425">
        <v>0</v>
      </c>
    </row>
    <row r="426" spans="1:14" x14ac:dyDescent="0.25">
      <c r="A426">
        <v>332.80790200000001</v>
      </c>
      <c r="B426" s="1">
        <f>DATE(2011,3,29) + TIME(19,23,22)</f>
        <v>40631.807893518519</v>
      </c>
      <c r="C426">
        <v>1287.9328613</v>
      </c>
      <c r="D426">
        <v>1267.822876</v>
      </c>
      <c r="E426">
        <v>1343.5897216999999</v>
      </c>
      <c r="F426">
        <v>1339.8361815999999</v>
      </c>
      <c r="G426">
        <v>80</v>
      </c>
      <c r="H426">
        <v>52.555610657000003</v>
      </c>
      <c r="I426">
        <v>50</v>
      </c>
      <c r="J426">
        <v>49.780605315999999</v>
      </c>
      <c r="K426">
        <v>0</v>
      </c>
      <c r="L426">
        <v>1200</v>
      </c>
      <c r="M426">
        <v>1200</v>
      </c>
      <c r="N426">
        <v>0</v>
      </c>
    </row>
    <row r="427" spans="1:14" x14ac:dyDescent="0.25">
      <c r="A427">
        <v>335</v>
      </c>
      <c r="B427" s="1">
        <f>DATE(2011,4,1) + TIME(0,0,0)</f>
        <v>40634</v>
      </c>
      <c r="C427">
        <v>1287.5157471</v>
      </c>
      <c r="D427">
        <v>1267.1475829999999</v>
      </c>
      <c r="E427">
        <v>1343.5751952999999</v>
      </c>
      <c r="F427">
        <v>1339.8237305</v>
      </c>
      <c r="G427">
        <v>80</v>
      </c>
      <c r="H427">
        <v>51.995883941999999</v>
      </c>
      <c r="I427">
        <v>50</v>
      </c>
      <c r="J427">
        <v>49.781539917000003</v>
      </c>
      <c r="K427">
        <v>0</v>
      </c>
      <c r="L427">
        <v>1200</v>
      </c>
      <c r="M427">
        <v>1200</v>
      </c>
      <c r="N427">
        <v>0</v>
      </c>
    </row>
    <row r="428" spans="1:14" x14ac:dyDescent="0.25">
      <c r="A428">
        <v>337.99721799999998</v>
      </c>
      <c r="B428" s="1">
        <f>DATE(2011,4,3) + TIME(23,55,59)</f>
        <v>40636.997210648151</v>
      </c>
      <c r="C428">
        <v>1287.1976318</v>
      </c>
      <c r="D428">
        <v>1266.5533447</v>
      </c>
      <c r="E428">
        <v>1343.5666504000001</v>
      </c>
      <c r="F428">
        <v>1339.8165283000001</v>
      </c>
      <c r="G428">
        <v>80</v>
      </c>
      <c r="H428">
        <v>51.381378173999998</v>
      </c>
      <c r="I428">
        <v>50</v>
      </c>
      <c r="J428">
        <v>49.782833099000001</v>
      </c>
      <c r="K428">
        <v>0</v>
      </c>
      <c r="L428">
        <v>1200</v>
      </c>
      <c r="M428">
        <v>1200</v>
      </c>
      <c r="N428">
        <v>0</v>
      </c>
    </row>
    <row r="429" spans="1:14" x14ac:dyDescent="0.25">
      <c r="A429">
        <v>341.033703</v>
      </c>
      <c r="B429" s="1">
        <f>DATE(2011,4,7) + TIME(0,48,31)</f>
        <v>40640.033692129633</v>
      </c>
      <c r="C429">
        <v>1286.7807617000001</v>
      </c>
      <c r="D429">
        <v>1265.8428954999999</v>
      </c>
      <c r="E429">
        <v>1343.5535889</v>
      </c>
      <c r="F429">
        <v>1339.8054199000001</v>
      </c>
      <c r="G429">
        <v>80</v>
      </c>
      <c r="H429">
        <v>50.733219147</v>
      </c>
      <c r="I429">
        <v>50</v>
      </c>
      <c r="J429">
        <v>49.784114838000001</v>
      </c>
      <c r="K429">
        <v>0</v>
      </c>
      <c r="L429">
        <v>1200</v>
      </c>
      <c r="M429">
        <v>1200</v>
      </c>
      <c r="N429">
        <v>0</v>
      </c>
    </row>
    <row r="430" spans="1:14" x14ac:dyDescent="0.25">
      <c r="A430">
        <v>344.09975200000002</v>
      </c>
      <c r="B430" s="1">
        <f>DATE(2011,4,10) + TIME(2,23,38)</f>
        <v>40643.099745370368</v>
      </c>
      <c r="C430">
        <v>1286.3587646000001</v>
      </c>
      <c r="D430">
        <v>1265.1153564000001</v>
      </c>
      <c r="E430">
        <v>1343.5406493999999</v>
      </c>
      <c r="F430">
        <v>1339.7945557</v>
      </c>
      <c r="G430">
        <v>80</v>
      </c>
      <c r="H430">
        <v>50.064647675000003</v>
      </c>
      <c r="I430">
        <v>50</v>
      </c>
      <c r="J430">
        <v>49.785385132000002</v>
      </c>
      <c r="K430">
        <v>0</v>
      </c>
      <c r="L430">
        <v>1200</v>
      </c>
      <c r="M430">
        <v>1200</v>
      </c>
      <c r="N430">
        <v>0</v>
      </c>
    </row>
    <row r="431" spans="1:14" x14ac:dyDescent="0.25">
      <c r="A431">
        <v>347.20004599999999</v>
      </c>
      <c r="B431" s="1">
        <f>DATE(2011,4,13) + TIME(4,48,3)</f>
        <v>40646.20003472222</v>
      </c>
      <c r="C431">
        <v>1285.9342041</v>
      </c>
      <c r="D431">
        <v>1264.3760986</v>
      </c>
      <c r="E431">
        <v>1343.5279541</v>
      </c>
      <c r="F431">
        <v>1339.7838135</v>
      </c>
      <c r="G431">
        <v>80</v>
      </c>
      <c r="H431">
        <v>49.381484985</v>
      </c>
      <c r="I431">
        <v>50</v>
      </c>
      <c r="J431">
        <v>49.786647797000001</v>
      </c>
      <c r="K431">
        <v>0</v>
      </c>
      <c r="L431">
        <v>1200</v>
      </c>
      <c r="M431">
        <v>1200</v>
      </c>
      <c r="N431">
        <v>0</v>
      </c>
    </row>
    <row r="432" spans="1:14" x14ac:dyDescent="0.25">
      <c r="A432">
        <v>350.33786500000002</v>
      </c>
      <c r="B432" s="1">
        <f>DATE(2011,4,16) + TIME(8,6,31)</f>
        <v>40649.337858796294</v>
      </c>
      <c r="C432">
        <v>1285.5073242000001</v>
      </c>
      <c r="D432">
        <v>1263.6269531</v>
      </c>
      <c r="E432">
        <v>1343.5155029</v>
      </c>
      <c r="F432">
        <v>1339.7734375</v>
      </c>
      <c r="G432">
        <v>80</v>
      </c>
      <c r="H432">
        <v>48.686950684000003</v>
      </c>
      <c r="I432">
        <v>50</v>
      </c>
      <c r="J432">
        <v>49.787906647</v>
      </c>
      <c r="K432">
        <v>0</v>
      </c>
      <c r="L432">
        <v>1200</v>
      </c>
      <c r="M432">
        <v>1200</v>
      </c>
      <c r="N432">
        <v>0</v>
      </c>
    </row>
    <row r="433" spans="1:14" x14ac:dyDescent="0.25">
      <c r="A433">
        <v>353.51837399999999</v>
      </c>
      <c r="B433" s="1">
        <f>DATE(2011,4,19) + TIME(12,26,27)</f>
        <v>40652.518368055556</v>
      </c>
      <c r="C433">
        <v>1285.0783690999999</v>
      </c>
      <c r="D433">
        <v>1262.8685303</v>
      </c>
      <c r="E433">
        <v>1343.5032959</v>
      </c>
      <c r="F433">
        <v>1339.7630615</v>
      </c>
      <c r="G433">
        <v>80</v>
      </c>
      <c r="H433">
        <v>47.982517242</v>
      </c>
      <c r="I433">
        <v>50</v>
      </c>
      <c r="J433">
        <v>49.789157867</v>
      </c>
      <c r="K433">
        <v>0</v>
      </c>
      <c r="L433">
        <v>1200</v>
      </c>
      <c r="M433">
        <v>1200</v>
      </c>
      <c r="N433">
        <v>0</v>
      </c>
    </row>
    <row r="434" spans="1:14" x14ac:dyDescent="0.25">
      <c r="A434">
        <v>356.74686500000001</v>
      </c>
      <c r="B434" s="1">
        <f>DATE(2011,4,22) + TIME(17,55,29)</f>
        <v>40655.746863425928</v>
      </c>
      <c r="C434">
        <v>1284.6470947</v>
      </c>
      <c r="D434">
        <v>1262.1007079999999</v>
      </c>
      <c r="E434">
        <v>1343.4910889</v>
      </c>
      <c r="F434">
        <v>1339.7529297000001</v>
      </c>
      <c r="G434">
        <v>80</v>
      </c>
      <c r="H434">
        <v>47.268856049</v>
      </c>
      <c r="I434">
        <v>50</v>
      </c>
      <c r="J434">
        <v>49.790409087999997</v>
      </c>
      <c r="K434">
        <v>0</v>
      </c>
      <c r="L434">
        <v>1200</v>
      </c>
      <c r="M434">
        <v>1200</v>
      </c>
      <c r="N434">
        <v>0</v>
      </c>
    </row>
    <row r="435" spans="1:14" x14ac:dyDescent="0.25">
      <c r="A435">
        <v>360.01856400000003</v>
      </c>
      <c r="B435" s="1">
        <f>DATE(2011,4,26) + TIME(0,26,43)</f>
        <v>40659.018553240741</v>
      </c>
      <c r="C435">
        <v>1284.2137451000001</v>
      </c>
      <c r="D435">
        <v>1261.3238524999999</v>
      </c>
      <c r="E435">
        <v>1343.4790039</v>
      </c>
      <c r="F435">
        <v>1339.7430420000001</v>
      </c>
      <c r="G435">
        <v>80</v>
      </c>
      <c r="H435">
        <v>46.547279357999997</v>
      </c>
      <c r="I435">
        <v>50</v>
      </c>
      <c r="J435">
        <v>49.791652679000002</v>
      </c>
      <c r="K435">
        <v>0</v>
      </c>
      <c r="L435">
        <v>1200</v>
      </c>
      <c r="M435">
        <v>1200</v>
      </c>
      <c r="N435">
        <v>0</v>
      </c>
    </row>
    <row r="436" spans="1:14" x14ac:dyDescent="0.25">
      <c r="A436">
        <v>363.32902999999999</v>
      </c>
      <c r="B436" s="1">
        <f>DATE(2011,4,29) + TIME(7,53,48)</f>
        <v>40662.329027777778</v>
      </c>
      <c r="C436">
        <v>1283.7790527</v>
      </c>
      <c r="D436">
        <v>1260.5393065999999</v>
      </c>
      <c r="E436">
        <v>1343.4671631000001</v>
      </c>
      <c r="F436">
        <v>1339.7331543</v>
      </c>
      <c r="G436">
        <v>80</v>
      </c>
      <c r="H436">
        <v>45.819660186999997</v>
      </c>
      <c r="I436">
        <v>50</v>
      </c>
      <c r="J436">
        <v>49.792892455999997</v>
      </c>
      <c r="K436">
        <v>0</v>
      </c>
      <c r="L436">
        <v>1200</v>
      </c>
      <c r="M436">
        <v>1200</v>
      </c>
      <c r="N436">
        <v>0</v>
      </c>
    </row>
    <row r="437" spans="1:14" x14ac:dyDescent="0.25">
      <c r="A437">
        <v>365</v>
      </c>
      <c r="B437" s="1">
        <f>DATE(2011,5,1) + TIME(0,0,0)</f>
        <v>40664</v>
      </c>
      <c r="C437">
        <v>1283.3479004000001</v>
      </c>
      <c r="D437">
        <v>1259.8521728999999</v>
      </c>
      <c r="E437">
        <v>1343.4537353999999</v>
      </c>
      <c r="F437">
        <v>1339.7218018000001</v>
      </c>
      <c r="G437">
        <v>80</v>
      </c>
      <c r="H437">
        <v>45.305637359999999</v>
      </c>
      <c r="I437">
        <v>50</v>
      </c>
      <c r="J437">
        <v>49.793487548999998</v>
      </c>
      <c r="K437">
        <v>0</v>
      </c>
      <c r="L437">
        <v>1200</v>
      </c>
      <c r="M437">
        <v>1200</v>
      </c>
      <c r="N437">
        <v>0</v>
      </c>
    </row>
    <row r="438" spans="1:14" x14ac:dyDescent="0.25">
      <c r="A438">
        <v>365.000001</v>
      </c>
      <c r="B438" s="1">
        <f>DATE(2011,5,1) + TIME(0,0,0)</f>
        <v>40664</v>
      </c>
      <c r="C438">
        <v>1308.0859375</v>
      </c>
      <c r="D438">
        <v>1283.6616211</v>
      </c>
      <c r="E438">
        <v>1339.440918</v>
      </c>
      <c r="F438">
        <v>1336.4920654</v>
      </c>
      <c r="G438">
        <v>80</v>
      </c>
      <c r="H438">
        <v>45.305690765000001</v>
      </c>
      <c r="I438">
        <v>50</v>
      </c>
      <c r="J438">
        <v>49.793449402</v>
      </c>
      <c r="K438">
        <v>1200</v>
      </c>
      <c r="L438">
        <v>0</v>
      </c>
      <c r="M438">
        <v>0</v>
      </c>
      <c r="N438">
        <v>1200</v>
      </c>
    </row>
    <row r="439" spans="1:14" x14ac:dyDescent="0.25">
      <c r="A439">
        <v>365.00000399999999</v>
      </c>
      <c r="B439" s="1">
        <f>DATE(2011,5,1) + TIME(0,0,0)</f>
        <v>40664</v>
      </c>
      <c r="C439">
        <v>1308.9167480000001</v>
      </c>
      <c r="D439">
        <v>1284.5578613</v>
      </c>
      <c r="E439">
        <v>1338.6802978999999</v>
      </c>
      <c r="F439">
        <v>1335.7299805</v>
      </c>
      <c r="G439">
        <v>80</v>
      </c>
      <c r="H439">
        <v>45.305843353</v>
      </c>
      <c r="I439">
        <v>50</v>
      </c>
      <c r="J439">
        <v>49.793354033999996</v>
      </c>
      <c r="K439">
        <v>1200</v>
      </c>
      <c r="L439">
        <v>0</v>
      </c>
      <c r="M439">
        <v>0</v>
      </c>
      <c r="N439">
        <v>1200</v>
      </c>
    </row>
    <row r="440" spans="1:14" x14ac:dyDescent="0.25">
      <c r="A440">
        <v>365.00001300000002</v>
      </c>
      <c r="B440" s="1">
        <f>DATE(2011,5,1) + TIME(0,0,1)</f>
        <v>40664.000011574077</v>
      </c>
      <c r="C440">
        <v>1311.1232910000001</v>
      </c>
      <c r="D440">
        <v>1286.9145507999999</v>
      </c>
      <c r="E440">
        <v>1336.9281006000001</v>
      </c>
      <c r="F440">
        <v>1333.9759521000001</v>
      </c>
      <c r="G440">
        <v>80</v>
      </c>
      <c r="H440">
        <v>45.306262969999999</v>
      </c>
      <c r="I440">
        <v>50</v>
      </c>
      <c r="J440">
        <v>49.793132782000001</v>
      </c>
      <c r="K440">
        <v>1200</v>
      </c>
      <c r="L440">
        <v>0</v>
      </c>
      <c r="M440">
        <v>0</v>
      </c>
      <c r="N440">
        <v>1200</v>
      </c>
    </row>
    <row r="441" spans="1:14" x14ac:dyDescent="0.25">
      <c r="A441">
        <v>365.00004000000001</v>
      </c>
      <c r="B441" s="1">
        <f>DATE(2011,5,1) + TIME(0,0,3)</f>
        <v>40664.000034722223</v>
      </c>
      <c r="C441">
        <v>1316.0894774999999</v>
      </c>
      <c r="D441">
        <v>1292.1126709</v>
      </c>
      <c r="E441">
        <v>1333.9553223</v>
      </c>
      <c r="F441">
        <v>1331.0036620999999</v>
      </c>
      <c r="G441">
        <v>80</v>
      </c>
      <c r="H441">
        <v>45.307292938000003</v>
      </c>
      <c r="I441">
        <v>50</v>
      </c>
      <c r="J441">
        <v>49.792755127</v>
      </c>
      <c r="K441">
        <v>1200</v>
      </c>
      <c r="L441">
        <v>0</v>
      </c>
      <c r="M441">
        <v>0</v>
      </c>
      <c r="N441">
        <v>1200</v>
      </c>
    </row>
    <row r="442" spans="1:14" x14ac:dyDescent="0.25">
      <c r="A442">
        <v>365.00012099999998</v>
      </c>
      <c r="B442" s="1">
        <f>DATE(2011,5,1) + TIME(0,0,10)</f>
        <v>40664.000115740739</v>
      </c>
      <c r="C442">
        <v>1324.6877440999999</v>
      </c>
      <c r="D442">
        <v>1300.8809814000001</v>
      </c>
      <c r="E442">
        <v>1330.4952393000001</v>
      </c>
      <c r="F442">
        <v>1327.5549315999999</v>
      </c>
      <c r="G442">
        <v>80</v>
      </c>
      <c r="H442">
        <v>45.30953598</v>
      </c>
      <c r="I442">
        <v>50</v>
      </c>
      <c r="J442">
        <v>49.792297363000003</v>
      </c>
      <c r="K442">
        <v>1200</v>
      </c>
      <c r="L442">
        <v>0</v>
      </c>
      <c r="M442">
        <v>0</v>
      </c>
      <c r="N442">
        <v>1200</v>
      </c>
    </row>
    <row r="443" spans="1:14" x14ac:dyDescent="0.25">
      <c r="A443">
        <v>365.00036399999999</v>
      </c>
      <c r="B443" s="1">
        <f>DATE(2011,5,1) + TIME(0,0,31)</f>
        <v>40664.000358796293</v>
      </c>
      <c r="C443">
        <v>1336.1259766000001</v>
      </c>
      <c r="D443">
        <v>1312.3387451000001</v>
      </c>
      <c r="E443">
        <v>1327.2879639</v>
      </c>
      <c r="F443">
        <v>1324.3553466999999</v>
      </c>
      <c r="G443">
        <v>80</v>
      </c>
      <c r="H443">
        <v>45.314441680999998</v>
      </c>
      <c r="I443">
        <v>50</v>
      </c>
      <c r="J443">
        <v>49.791816711000003</v>
      </c>
      <c r="K443">
        <v>1200</v>
      </c>
      <c r="L443">
        <v>0</v>
      </c>
      <c r="M443">
        <v>0</v>
      </c>
      <c r="N443">
        <v>1200</v>
      </c>
    </row>
    <row r="444" spans="1:14" x14ac:dyDescent="0.25">
      <c r="A444">
        <v>365.00109300000003</v>
      </c>
      <c r="B444" s="1">
        <f>DATE(2011,5,1) + TIME(0,1,34)</f>
        <v>40664.001087962963</v>
      </c>
      <c r="C444">
        <v>1349.2255858999999</v>
      </c>
      <c r="D444">
        <v>1325.3793945</v>
      </c>
      <c r="E444">
        <v>1324.1206055</v>
      </c>
      <c r="F444">
        <v>1321.1820068</v>
      </c>
      <c r="G444">
        <v>80</v>
      </c>
      <c r="H444">
        <v>45.326557158999996</v>
      </c>
      <c r="I444">
        <v>50</v>
      </c>
      <c r="J444">
        <v>49.791160583</v>
      </c>
      <c r="K444">
        <v>1200</v>
      </c>
      <c r="L444">
        <v>0</v>
      </c>
      <c r="M444">
        <v>0</v>
      </c>
      <c r="N444">
        <v>1200</v>
      </c>
    </row>
    <row r="445" spans="1:14" x14ac:dyDescent="0.25">
      <c r="A445">
        <v>365.00328000000002</v>
      </c>
      <c r="B445" s="1">
        <f>DATE(2011,5,1) + TIME(0,4,43)</f>
        <v>40664.003275462965</v>
      </c>
      <c r="C445">
        <v>1363.6418457</v>
      </c>
      <c r="D445">
        <v>1339.7194824000001</v>
      </c>
      <c r="E445">
        <v>1320.6397704999999</v>
      </c>
      <c r="F445">
        <v>1317.6837158000001</v>
      </c>
      <c r="G445">
        <v>80</v>
      </c>
      <c r="H445">
        <v>45.359928130999997</v>
      </c>
      <c r="I445">
        <v>50</v>
      </c>
      <c r="J445">
        <v>49.789943694999998</v>
      </c>
      <c r="K445">
        <v>1200</v>
      </c>
      <c r="L445">
        <v>0</v>
      </c>
      <c r="M445">
        <v>0</v>
      </c>
      <c r="N445">
        <v>1200</v>
      </c>
    </row>
    <row r="446" spans="1:14" x14ac:dyDescent="0.25">
      <c r="A446">
        <v>365.00984099999999</v>
      </c>
      <c r="B446" s="1">
        <f>DATE(2011,5,1) + TIME(0,14,10)</f>
        <v>40664.009837962964</v>
      </c>
      <c r="C446">
        <v>1378.3441161999999</v>
      </c>
      <c r="D446">
        <v>1354.3442382999999</v>
      </c>
      <c r="E446">
        <v>1317.7578125</v>
      </c>
      <c r="F446">
        <v>1314.7786865</v>
      </c>
      <c r="G446">
        <v>80</v>
      </c>
      <c r="H446">
        <v>45.456745148000003</v>
      </c>
      <c r="I446">
        <v>50</v>
      </c>
      <c r="J446">
        <v>49.787220001000001</v>
      </c>
      <c r="K446">
        <v>1200</v>
      </c>
      <c r="L446">
        <v>0</v>
      </c>
      <c r="M446">
        <v>0</v>
      </c>
      <c r="N446">
        <v>1200</v>
      </c>
    </row>
    <row r="447" spans="1:14" x14ac:dyDescent="0.25">
      <c r="A447">
        <v>365.02952399999998</v>
      </c>
      <c r="B447" s="1">
        <f>DATE(2011,5,1) + TIME(0,42,30)</f>
        <v>40664.029513888891</v>
      </c>
      <c r="C447">
        <v>1390.0051269999999</v>
      </c>
      <c r="D447">
        <v>1366.0192870999999</v>
      </c>
      <c r="E447">
        <v>1317.5083007999999</v>
      </c>
      <c r="F447">
        <v>1314.5157471</v>
      </c>
      <c r="G447">
        <v>80</v>
      </c>
      <c r="H447">
        <v>45.742115020999996</v>
      </c>
      <c r="I447">
        <v>50</v>
      </c>
      <c r="J447">
        <v>49.780128478999998</v>
      </c>
      <c r="K447">
        <v>1200</v>
      </c>
      <c r="L447">
        <v>0</v>
      </c>
      <c r="M447">
        <v>0</v>
      </c>
      <c r="N447">
        <v>1200</v>
      </c>
    </row>
    <row r="448" spans="1:14" x14ac:dyDescent="0.25">
      <c r="A448">
        <v>365.088573</v>
      </c>
      <c r="B448" s="1">
        <f>DATE(2011,5,1) + TIME(2,7,32)</f>
        <v>40664.088564814818</v>
      </c>
      <c r="C448">
        <v>1396.4539795000001</v>
      </c>
      <c r="D448">
        <v>1372.7624512</v>
      </c>
      <c r="E448">
        <v>1319.5263672000001</v>
      </c>
      <c r="F448">
        <v>1316.5310059000001</v>
      </c>
      <c r="G448">
        <v>80</v>
      </c>
      <c r="H448">
        <v>46.575767517000003</v>
      </c>
      <c r="I448">
        <v>50</v>
      </c>
      <c r="J448">
        <v>49.759593963999997</v>
      </c>
      <c r="K448">
        <v>1200</v>
      </c>
      <c r="L448">
        <v>0</v>
      </c>
      <c r="M448">
        <v>0</v>
      </c>
      <c r="N448">
        <v>1200</v>
      </c>
    </row>
    <row r="449" spans="1:14" x14ac:dyDescent="0.25">
      <c r="A449">
        <v>365.15557699999999</v>
      </c>
      <c r="B449" s="1">
        <f>DATE(2011,5,1) + TIME(3,44,1)</f>
        <v>40664.15556712963</v>
      </c>
      <c r="C449">
        <v>1398.3591309000001</v>
      </c>
      <c r="D449">
        <v>1375.0025635</v>
      </c>
      <c r="E449">
        <v>1320.8945312000001</v>
      </c>
      <c r="F449">
        <v>1317.8986815999999</v>
      </c>
      <c r="G449">
        <v>80</v>
      </c>
      <c r="H449">
        <v>47.496776580999999</v>
      </c>
      <c r="I449">
        <v>50</v>
      </c>
      <c r="J449">
        <v>49.736469268999997</v>
      </c>
      <c r="K449">
        <v>1200</v>
      </c>
      <c r="L449">
        <v>0</v>
      </c>
      <c r="M449">
        <v>0</v>
      </c>
      <c r="N449">
        <v>1200</v>
      </c>
    </row>
    <row r="450" spans="1:14" x14ac:dyDescent="0.25">
      <c r="A450">
        <v>365.22394600000001</v>
      </c>
      <c r="B450" s="1">
        <f>DATE(2011,5,1) + TIME(5,22,28)</f>
        <v>40664.223935185182</v>
      </c>
      <c r="C450">
        <v>1398.9796143000001</v>
      </c>
      <c r="D450">
        <v>1375.9484863</v>
      </c>
      <c r="E450">
        <v>1321.6842041</v>
      </c>
      <c r="F450">
        <v>1318.6879882999999</v>
      </c>
      <c r="G450">
        <v>80</v>
      </c>
      <c r="H450">
        <v>48.411651611000003</v>
      </c>
      <c r="I450">
        <v>50</v>
      </c>
      <c r="J450">
        <v>49.713050842000001</v>
      </c>
      <c r="K450">
        <v>1200</v>
      </c>
      <c r="L450">
        <v>0</v>
      </c>
      <c r="M450">
        <v>0</v>
      </c>
      <c r="N450">
        <v>1200</v>
      </c>
    </row>
    <row r="451" spans="1:14" x14ac:dyDescent="0.25">
      <c r="A451">
        <v>365.29363999999998</v>
      </c>
      <c r="B451" s="1">
        <f>DATE(2011,5,1) + TIME(7,2,50)</f>
        <v>40664.293634259258</v>
      </c>
      <c r="C451">
        <v>1399.1291504000001</v>
      </c>
      <c r="D451">
        <v>1376.4124756000001</v>
      </c>
      <c r="E451">
        <v>1322.1544189000001</v>
      </c>
      <c r="F451">
        <v>1319.1574707</v>
      </c>
      <c r="G451">
        <v>80</v>
      </c>
      <c r="H451">
        <v>49.319061279000003</v>
      </c>
      <c r="I451">
        <v>50</v>
      </c>
      <c r="J451">
        <v>49.689384459999999</v>
      </c>
      <c r="K451">
        <v>1200</v>
      </c>
      <c r="L451">
        <v>0</v>
      </c>
      <c r="M451">
        <v>0</v>
      </c>
      <c r="N451">
        <v>1200</v>
      </c>
    </row>
    <row r="452" spans="1:14" x14ac:dyDescent="0.25">
      <c r="A452">
        <v>365.36470600000001</v>
      </c>
      <c r="B452" s="1">
        <f>DATE(2011,5,1) + TIME(8,45,10)</f>
        <v>40664.364699074074</v>
      </c>
      <c r="C452">
        <v>1399.0541992000001</v>
      </c>
      <c r="D452">
        <v>1376.6407471</v>
      </c>
      <c r="E452">
        <v>1322.4389647999999</v>
      </c>
      <c r="F452">
        <v>1319.4415283000001</v>
      </c>
      <c r="G452">
        <v>80</v>
      </c>
      <c r="H452">
        <v>50.218711853000002</v>
      </c>
      <c r="I452">
        <v>50</v>
      </c>
      <c r="J452">
        <v>49.665481567</v>
      </c>
      <c r="K452">
        <v>1200</v>
      </c>
      <c r="L452">
        <v>0</v>
      </c>
      <c r="M452">
        <v>0</v>
      </c>
      <c r="N452">
        <v>1200</v>
      </c>
    </row>
    <row r="453" spans="1:14" x14ac:dyDescent="0.25">
      <c r="A453">
        <v>365.437208</v>
      </c>
      <c r="B453" s="1">
        <f>DATE(2011,5,1) + TIME(10,29,34)</f>
        <v>40664.437199074076</v>
      </c>
      <c r="C453">
        <v>1398.8585204999999</v>
      </c>
      <c r="D453">
        <v>1376.7373047000001</v>
      </c>
      <c r="E453">
        <v>1322.6118164</v>
      </c>
      <c r="F453">
        <v>1319.6137695</v>
      </c>
      <c r="G453">
        <v>80</v>
      </c>
      <c r="H453">
        <v>51.110324859999999</v>
      </c>
      <c r="I453">
        <v>50</v>
      </c>
      <c r="J453">
        <v>49.641338347999998</v>
      </c>
      <c r="K453">
        <v>1200</v>
      </c>
      <c r="L453">
        <v>0</v>
      </c>
      <c r="M453">
        <v>0</v>
      </c>
      <c r="N453">
        <v>1200</v>
      </c>
    </row>
    <row r="454" spans="1:14" x14ac:dyDescent="0.25">
      <c r="A454">
        <v>365.51121599999999</v>
      </c>
      <c r="B454" s="1">
        <f>DATE(2011,5,1) + TIME(12,16,9)</f>
        <v>40664.51121527778</v>
      </c>
      <c r="C454">
        <v>1398.5963135</v>
      </c>
      <c r="D454">
        <v>1376.7564697</v>
      </c>
      <c r="E454">
        <v>1322.7165527</v>
      </c>
      <c r="F454">
        <v>1319.7177733999999</v>
      </c>
      <c r="G454">
        <v>80</v>
      </c>
      <c r="H454">
        <v>51.994167328000003</v>
      </c>
      <c r="I454">
        <v>50</v>
      </c>
      <c r="J454">
        <v>49.616943358999997</v>
      </c>
      <c r="K454">
        <v>1200</v>
      </c>
      <c r="L454">
        <v>0</v>
      </c>
      <c r="M454">
        <v>0</v>
      </c>
      <c r="N454">
        <v>1200</v>
      </c>
    </row>
    <row r="455" spans="1:14" x14ac:dyDescent="0.25">
      <c r="A455">
        <v>365.58680600000002</v>
      </c>
      <c r="B455" s="1">
        <f>DATE(2011,5,1) + TIME(14,5,0)</f>
        <v>40664.586805555555</v>
      </c>
      <c r="C455">
        <v>1398.2985839999999</v>
      </c>
      <c r="D455">
        <v>1376.7299805</v>
      </c>
      <c r="E455">
        <v>1322.7796631000001</v>
      </c>
      <c r="F455">
        <v>1319.7801514</v>
      </c>
      <c r="G455">
        <v>80</v>
      </c>
      <c r="H455">
        <v>52.870204926</v>
      </c>
      <c r="I455">
        <v>50</v>
      </c>
      <c r="J455">
        <v>49.592285156000003</v>
      </c>
      <c r="K455">
        <v>1200</v>
      </c>
      <c r="L455">
        <v>0</v>
      </c>
      <c r="M455">
        <v>0</v>
      </c>
      <c r="N455">
        <v>1200</v>
      </c>
    </row>
    <row r="456" spans="1:14" x14ac:dyDescent="0.25">
      <c r="A456">
        <v>365.66405700000001</v>
      </c>
      <c r="B456" s="1">
        <f>DATE(2011,5,1) + TIME(15,56,14)</f>
        <v>40664.664050925923</v>
      </c>
      <c r="C456">
        <v>1397.9841309000001</v>
      </c>
      <c r="D456">
        <v>1376.6770019999999</v>
      </c>
      <c r="E456">
        <v>1322.8173827999999</v>
      </c>
      <c r="F456">
        <v>1319.8171387</v>
      </c>
      <c r="G456">
        <v>80</v>
      </c>
      <c r="H456">
        <v>53.738372802999997</v>
      </c>
      <c r="I456">
        <v>50</v>
      </c>
      <c r="J456">
        <v>49.567352294999999</v>
      </c>
      <c r="K456">
        <v>1200</v>
      </c>
      <c r="L456">
        <v>0</v>
      </c>
      <c r="M456">
        <v>0</v>
      </c>
      <c r="N456">
        <v>1200</v>
      </c>
    </row>
    <row r="457" spans="1:14" x14ac:dyDescent="0.25">
      <c r="A457">
        <v>365.74305700000002</v>
      </c>
      <c r="B457" s="1">
        <f>DATE(2011,5,1) + TIME(17,50,0)</f>
        <v>40664.743055555555</v>
      </c>
      <c r="C457">
        <v>1397.6639404</v>
      </c>
      <c r="D457">
        <v>1376.6090088000001</v>
      </c>
      <c r="E457">
        <v>1322.8397216999999</v>
      </c>
      <c r="F457">
        <v>1319.8387451000001</v>
      </c>
      <c r="G457">
        <v>80</v>
      </c>
      <c r="H457">
        <v>54.598613739000001</v>
      </c>
      <c r="I457">
        <v>50</v>
      </c>
      <c r="J457">
        <v>49.542129516999999</v>
      </c>
      <c r="K457">
        <v>1200</v>
      </c>
      <c r="L457">
        <v>0</v>
      </c>
      <c r="M457">
        <v>0</v>
      </c>
      <c r="N457">
        <v>1200</v>
      </c>
    </row>
    <row r="458" spans="1:14" x14ac:dyDescent="0.25">
      <c r="A458">
        <v>365.82389899999998</v>
      </c>
      <c r="B458" s="1">
        <f>DATE(2011,5,1) + TIME(19,46,24)</f>
        <v>40664.823888888888</v>
      </c>
      <c r="C458">
        <v>1397.3446045000001</v>
      </c>
      <c r="D458">
        <v>1376.5329589999999</v>
      </c>
      <c r="E458">
        <v>1322.8527832</v>
      </c>
      <c r="F458">
        <v>1319.8510742000001</v>
      </c>
      <c r="G458">
        <v>80</v>
      </c>
      <c r="H458">
        <v>55.450847625999998</v>
      </c>
      <c r="I458">
        <v>50</v>
      </c>
      <c r="J458">
        <v>49.516601561999998</v>
      </c>
      <c r="K458">
        <v>1200</v>
      </c>
      <c r="L458">
        <v>0</v>
      </c>
      <c r="M458">
        <v>0</v>
      </c>
      <c r="N458">
        <v>1200</v>
      </c>
    </row>
    <row r="459" spans="1:14" x14ac:dyDescent="0.25">
      <c r="A459">
        <v>365.90667000000002</v>
      </c>
      <c r="B459" s="1">
        <f>DATE(2011,5,1) + TIME(21,45,36)</f>
        <v>40664.906666666669</v>
      </c>
      <c r="C459">
        <v>1397.0299072</v>
      </c>
      <c r="D459">
        <v>1376.4528809000001</v>
      </c>
      <c r="E459">
        <v>1322.8603516000001</v>
      </c>
      <c r="F459">
        <v>1319.8579102000001</v>
      </c>
      <c r="G459">
        <v>80</v>
      </c>
      <c r="H459">
        <v>56.294860839999998</v>
      </c>
      <c r="I459">
        <v>50</v>
      </c>
      <c r="J459">
        <v>49.490749358999999</v>
      </c>
      <c r="K459">
        <v>1200</v>
      </c>
      <c r="L459">
        <v>0</v>
      </c>
      <c r="M459">
        <v>0</v>
      </c>
      <c r="N459">
        <v>1200</v>
      </c>
    </row>
    <row r="460" spans="1:14" x14ac:dyDescent="0.25">
      <c r="A460">
        <v>365.99148000000002</v>
      </c>
      <c r="B460" s="1">
        <f>DATE(2011,5,1) + TIME(23,47,43)</f>
        <v>40664.991469907407</v>
      </c>
      <c r="C460">
        <v>1396.7220459</v>
      </c>
      <c r="D460">
        <v>1376.3714600000001</v>
      </c>
      <c r="E460">
        <v>1322.864624</v>
      </c>
      <c r="F460">
        <v>1319.8614502</v>
      </c>
      <c r="G460">
        <v>80</v>
      </c>
      <c r="H460">
        <v>57.130592346</v>
      </c>
      <c r="I460">
        <v>50</v>
      </c>
      <c r="J460">
        <v>49.464550017999997</v>
      </c>
      <c r="K460">
        <v>1200</v>
      </c>
      <c r="L460">
        <v>0</v>
      </c>
      <c r="M460">
        <v>0</v>
      </c>
      <c r="N460">
        <v>1200</v>
      </c>
    </row>
    <row r="461" spans="1:14" x14ac:dyDescent="0.25">
      <c r="A461">
        <v>366.07845200000003</v>
      </c>
      <c r="B461" s="1">
        <f>DATE(2011,5,2) + TIME(1,52,58)</f>
        <v>40665.078449074077</v>
      </c>
      <c r="C461">
        <v>1396.421875</v>
      </c>
      <c r="D461">
        <v>1376.2897949000001</v>
      </c>
      <c r="E461">
        <v>1322.8668213000001</v>
      </c>
      <c r="F461">
        <v>1319.8629149999999</v>
      </c>
      <c r="G461">
        <v>80</v>
      </c>
      <c r="H461">
        <v>57.957988739000001</v>
      </c>
      <c r="I461">
        <v>50</v>
      </c>
      <c r="J461">
        <v>49.437988281000003</v>
      </c>
      <c r="K461">
        <v>1200</v>
      </c>
      <c r="L461">
        <v>0</v>
      </c>
      <c r="M461">
        <v>0</v>
      </c>
      <c r="N461">
        <v>1200</v>
      </c>
    </row>
    <row r="462" spans="1:14" x14ac:dyDescent="0.25">
      <c r="A462">
        <v>366.16771</v>
      </c>
      <c r="B462" s="1">
        <f>DATE(2011,5,2) + TIME(4,1,30)</f>
        <v>40665.167708333334</v>
      </c>
      <c r="C462">
        <v>1396.1298827999999</v>
      </c>
      <c r="D462">
        <v>1376.2086182</v>
      </c>
      <c r="E462">
        <v>1322.8679199000001</v>
      </c>
      <c r="F462">
        <v>1319.8631591999999</v>
      </c>
      <c r="G462">
        <v>80</v>
      </c>
      <c r="H462">
        <v>58.776912689</v>
      </c>
      <c r="I462">
        <v>50</v>
      </c>
      <c r="J462">
        <v>49.411033629999999</v>
      </c>
      <c r="K462">
        <v>1200</v>
      </c>
      <c r="L462">
        <v>0</v>
      </c>
      <c r="M462">
        <v>0</v>
      </c>
      <c r="N462">
        <v>1200</v>
      </c>
    </row>
    <row r="463" spans="1:14" x14ac:dyDescent="0.25">
      <c r="A463">
        <v>366.259387</v>
      </c>
      <c r="B463" s="1">
        <f>DATE(2011,5,2) + TIME(6,13,31)</f>
        <v>40665.259386574071</v>
      </c>
      <c r="C463">
        <v>1395.8460693</v>
      </c>
      <c r="D463">
        <v>1376.128418</v>
      </c>
      <c r="E463">
        <v>1322.8681641000001</v>
      </c>
      <c r="F463">
        <v>1319.8626709</v>
      </c>
      <c r="G463">
        <v>80</v>
      </c>
      <c r="H463">
        <v>59.587207794000001</v>
      </c>
      <c r="I463">
        <v>50</v>
      </c>
      <c r="J463">
        <v>49.383670807000001</v>
      </c>
      <c r="K463">
        <v>1200</v>
      </c>
      <c r="L463">
        <v>0</v>
      </c>
      <c r="M463">
        <v>0</v>
      </c>
      <c r="N463">
        <v>1200</v>
      </c>
    </row>
    <row r="464" spans="1:14" x14ac:dyDescent="0.25">
      <c r="A464">
        <v>366.35362900000001</v>
      </c>
      <c r="B464" s="1">
        <f>DATE(2011,5,2) + TIME(8,29,13)</f>
        <v>40665.353622685187</v>
      </c>
      <c r="C464">
        <v>1395.5704346</v>
      </c>
      <c r="D464">
        <v>1376.0493164</v>
      </c>
      <c r="E464">
        <v>1322.8680420000001</v>
      </c>
      <c r="F464">
        <v>1319.8616943</v>
      </c>
      <c r="G464">
        <v>80</v>
      </c>
      <c r="H464">
        <v>60.388420105000002</v>
      </c>
      <c r="I464">
        <v>50</v>
      </c>
      <c r="J464">
        <v>49.355861664000003</v>
      </c>
      <c r="K464">
        <v>1200</v>
      </c>
      <c r="L464">
        <v>0</v>
      </c>
      <c r="M464">
        <v>0</v>
      </c>
      <c r="N464">
        <v>1200</v>
      </c>
    </row>
    <row r="465" spans="1:14" x14ac:dyDescent="0.25">
      <c r="A465">
        <v>366.45059300000003</v>
      </c>
      <c r="B465" s="1">
        <f>DATE(2011,5,2) + TIME(10,48,51)</f>
        <v>40665.450590277775</v>
      </c>
      <c r="C465">
        <v>1395.3026123</v>
      </c>
      <c r="D465">
        <v>1375.9713135</v>
      </c>
      <c r="E465">
        <v>1322.8674315999999</v>
      </c>
      <c r="F465">
        <v>1319.8603516000001</v>
      </c>
      <c r="G465">
        <v>80</v>
      </c>
      <c r="H465">
        <v>61.180328369000001</v>
      </c>
      <c r="I465">
        <v>50</v>
      </c>
      <c r="J465">
        <v>49.327590942</v>
      </c>
      <c r="K465">
        <v>1200</v>
      </c>
      <c r="L465">
        <v>0</v>
      </c>
      <c r="M465">
        <v>0</v>
      </c>
      <c r="N465">
        <v>1200</v>
      </c>
    </row>
    <row r="466" spans="1:14" x14ac:dyDescent="0.25">
      <c r="A466">
        <v>366.55045000000001</v>
      </c>
      <c r="B466" s="1">
        <f>DATE(2011,5,2) + TIME(13,12,38)</f>
        <v>40665.550439814811</v>
      </c>
      <c r="C466">
        <v>1395.0422363</v>
      </c>
      <c r="D466">
        <v>1375.8942870999999</v>
      </c>
      <c r="E466">
        <v>1322.8666992000001</v>
      </c>
      <c r="F466">
        <v>1319.8587646000001</v>
      </c>
      <c r="G466">
        <v>80</v>
      </c>
      <c r="H466">
        <v>61.963012695000003</v>
      </c>
      <c r="I466">
        <v>50</v>
      </c>
      <c r="J466">
        <v>49.298816680999998</v>
      </c>
      <c r="K466">
        <v>1200</v>
      </c>
      <c r="L466">
        <v>0</v>
      </c>
      <c r="M466">
        <v>0</v>
      </c>
      <c r="N466">
        <v>1200</v>
      </c>
    </row>
    <row r="467" spans="1:14" x14ac:dyDescent="0.25">
      <c r="A467">
        <v>366.65338800000001</v>
      </c>
      <c r="B467" s="1">
        <f>DATE(2011,5,2) + TIME(15,40,52)</f>
        <v>40665.653379629628</v>
      </c>
      <c r="C467">
        <v>1394.7890625</v>
      </c>
      <c r="D467">
        <v>1375.8181152</v>
      </c>
      <c r="E467">
        <v>1322.8658447</v>
      </c>
      <c r="F467">
        <v>1319.8569336</v>
      </c>
      <c r="G467">
        <v>80</v>
      </c>
      <c r="H467">
        <v>62.736236572000003</v>
      </c>
      <c r="I467">
        <v>50</v>
      </c>
      <c r="J467">
        <v>49.269512177000003</v>
      </c>
      <c r="K467">
        <v>1200</v>
      </c>
      <c r="L467">
        <v>0</v>
      </c>
      <c r="M467">
        <v>0</v>
      </c>
      <c r="N467">
        <v>1200</v>
      </c>
    </row>
    <row r="468" spans="1:14" x14ac:dyDescent="0.25">
      <c r="A468">
        <v>366.75960900000001</v>
      </c>
      <c r="B468" s="1">
        <f>DATE(2011,5,2) + TIME(18,13,50)</f>
        <v>40665.759606481479</v>
      </c>
      <c r="C468">
        <v>1394.5427245999999</v>
      </c>
      <c r="D468">
        <v>1375.7426757999999</v>
      </c>
      <c r="E468">
        <v>1322.8647461</v>
      </c>
      <c r="F468">
        <v>1319.8549805</v>
      </c>
      <c r="G468">
        <v>80</v>
      </c>
      <c r="H468">
        <v>63.499752045000001</v>
      </c>
      <c r="I468">
        <v>50</v>
      </c>
      <c r="J468">
        <v>49.239643096999998</v>
      </c>
      <c r="K468">
        <v>1200</v>
      </c>
      <c r="L468">
        <v>0</v>
      </c>
      <c r="M468">
        <v>0</v>
      </c>
      <c r="N468">
        <v>1200</v>
      </c>
    </row>
    <row r="469" spans="1:14" x14ac:dyDescent="0.25">
      <c r="A469">
        <v>366.86935499999998</v>
      </c>
      <c r="B469" s="1">
        <f>DATE(2011,5,2) + TIME(20,51,52)</f>
        <v>40665.869351851848</v>
      </c>
      <c r="C469">
        <v>1394.3027344</v>
      </c>
      <c r="D469">
        <v>1375.6679687999999</v>
      </c>
      <c r="E469">
        <v>1322.8635254000001</v>
      </c>
      <c r="F469">
        <v>1319.8529053</v>
      </c>
      <c r="G469">
        <v>80</v>
      </c>
      <c r="H469">
        <v>64.253402710000003</v>
      </c>
      <c r="I469">
        <v>50</v>
      </c>
      <c r="J469">
        <v>49.209159851000003</v>
      </c>
      <c r="K469">
        <v>1200</v>
      </c>
      <c r="L469">
        <v>0</v>
      </c>
      <c r="M469">
        <v>0</v>
      </c>
      <c r="N469">
        <v>1200</v>
      </c>
    </row>
    <row r="470" spans="1:14" x14ac:dyDescent="0.25">
      <c r="A470">
        <v>366.98289299999999</v>
      </c>
      <c r="B470" s="1">
        <f>DATE(2011,5,2) + TIME(23,35,21)</f>
        <v>40665.982881944445</v>
      </c>
      <c r="C470">
        <v>1394.0688477000001</v>
      </c>
      <c r="D470">
        <v>1375.5936279</v>
      </c>
      <c r="E470">
        <v>1322.8621826000001</v>
      </c>
      <c r="F470">
        <v>1319.8505858999999</v>
      </c>
      <c r="G470">
        <v>80</v>
      </c>
      <c r="H470">
        <v>64.997001647999994</v>
      </c>
      <c r="I470">
        <v>50</v>
      </c>
      <c r="J470">
        <v>49.178020476999997</v>
      </c>
      <c r="K470">
        <v>1200</v>
      </c>
      <c r="L470">
        <v>0</v>
      </c>
      <c r="M470">
        <v>0</v>
      </c>
      <c r="N470">
        <v>1200</v>
      </c>
    </row>
    <row r="471" spans="1:14" x14ac:dyDescent="0.25">
      <c r="A471">
        <v>367.100461</v>
      </c>
      <c r="B471" s="1">
        <f>DATE(2011,5,3) + TIME(2,24,39)</f>
        <v>40666.100451388891</v>
      </c>
      <c r="C471">
        <v>1393.8406981999999</v>
      </c>
      <c r="D471">
        <v>1375.5195312000001</v>
      </c>
      <c r="E471">
        <v>1322.8607178</v>
      </c>
      <c r="F471">
        <v>1319.8481445</v>
      </c>
      <c r="G471">
        <v>80</v>
      </c>
      <c r="H471">
        <v>65.730194092000005</v>
      </c>
      <c r="I471">
        <v>50</v>
      </c>
      <c r="J471">
        <v>49.146183014000002</v>
      </c>
      <c r="K471">
        <v>1200</v>
      </c>
      <c r="L471">
        <v>0</v>
      </c>
      <c r="M471">
        <v>0</v>
      </c>
      <c r="N471">
        <v>1200</v>
      </c>
    </row>
    <row r="472" spans="1:14" x14ac:dyDescent="0.25">
      <c r="A472">
        <v>367.22235999999998</v>
      </c>
      <c r="B472" s="1">
        <f>DATE(2011,5,3) + TIME(5,20,11)</f>
        <v>40666.222349537034</v>
      </c>
      <c r="C472">
        <v>1393.6179199000001</v>
      </c>
      <c r="D472">
        <v>1375.4455565999999</v>
      </c>
      <c r="E472">
        <v>1322.8591309000001</v>
      </c>
      <c r="F472">
        <v>1319.8455810999999</v>
      </c>
      <c r="G472">
        <v>80</v>
      </c>
      <c r="H472">
        <v>66.452461243000002</v>
      </c>
      <c r="I472">
        <v>50</v>
      </c>
      <c r="J472">
        <v>49.11359787</v>
      </c>
      <c r="K472">
        <v>1200</v>
      </c>
      <c r="L472">
        <v>0</v>
      </c>
      <c r="M472">
        <v>0</v>
      </c>
      <c r="N472">
        <v>1200</v>
      </c>
    </row>
    <row r="473" spans="1:14" x14ac:dyDescent="0.25">
      <c r="A473">
        <v>367.34892300000001</v>
      </c>
      <c r="B473" s="1">
        <f>DATE(2011,5,3) + TIME(8,22,26)</f>
        <v>40666.348912037036</v>
      </c>
      <c r="C473">
        <v>1393.4002685999999</v>
      </c>
      <c r="D473">
        <v>1375.371582</v>
      </c>
      <c r="E473">
        <v>1322.8572998</v>
      </c>
      <c r="F473">
        <v>1319.8428954999999</v>
      </c>
      <c r="G473">
        <v>80</v>
      </c>
      <c r="H473">
        <v>67.163429260000001</v>
      </c>
      <c r="I473">
        <v>50</v>
      </c>
      <c r="J473">
        <v>49.080211638999998</v>
      </c>
      <c r="K473">
        <v>1200</v>
      </c>
      <c r="L473">
        <v>0</v>
      </c>
      <c r="M473">
        <v>0</v>
      </c>
      <c r="N473">
        <v>1200</v>
      </c>
    </row>
    <row r="474" spans="1:14" x14ac:dyDescent="0.25">
      <c r="A474">
        <v>367.48052300000001</v>
      </c>
      <c r="B474" s="1">
        <f>DATE(2011,5,3) + TIME(11,31,57)</f>
        <v>40666.480520833335</v>
      </c>
      <c r="C474">
        <v>1393.1872559000001</v>
      </c>
      <c r="D474">
        <v>1375.2972411999999</v>
      </c>
      <c r="E474">
        <v>1322.8554687999999</v>
      </c>
      <c r="F474">
        <v>1319.8399658000001</v>
      </c>
      <c r="G474">
        <v>80</v>
      </c>
      <c r="H474">
        <v>67.862709045000003</v>
      </c>
      <c r="I474">
        <v>50</v>
      </c>
      <c r="J474">
        <v>49.045951842999997</v>
      </c>
      <c r="K474">
        <v>1200</v>
      </c>
      <c r="L474">
        <v>0</v>
      </c>
      <c r="M474">
        <v>0</v>
      </c>
      <c r="N474">
        <v>1200</v>
      </c>
    </row>
    <row r="475" spans="1:14" x14ac:dyDescent="0.25">
      <c r="A475">
        <v>367.61757399999999</v>
      </c>
      <c r="B475" s="1">
        <f>DATE(2011,5,3) + TIME(14,49,18)</f>
        <v>40666.617569444446</v>
      </c>
      <c r="C475">
        <v>1392.9786377</v>
      </c>
      <c r="D475">
        <v>1375.2225341999999</v>
      </c>
      <c r="E475">
        <v>1322.8535156</v>
      </c>
      <c r="F475">
        <v>1319.8369141000001</v>
      </c>
      <c r="G475">
        <v>80</v>
      </c>
      <c r="H475">
        <v>68.549873352000006</v>
      </c>
      <c r="I475">
        <v>50</v>
      </c>
      <c r="J475">
        <v>49.010761260999999</v>
      </c>
      <c r="K475">
        <v>1200</v>
      </c>
      <c r="L475">
        <v>0</v>
      </c>
      <c r="M475">
        <v>0</v>
      </c>
      <c r="N475">
        <v>1200</v>
      </c>
    </row>
    <row r="476" spans="1:14" x14ac:dyDescent="0.25">
      <c r="A476">
        <v>367.76054299999998</v>
      </c>
      <c r="B476" s="1">
        <f>DATE(2011,5,3) + TIME(18,15,10)</f>
        <v>40666.76053240741</v>
      </c>
      <c r="C476">
        <v>1392.7740478999999</v>
      </c>
      <c r="D476">
        <v>1375.1470947</v>
      </c>
      <c r="E476">
        <v>1322.8513184000001</v>
      </c>
      <c r="F476">
        <v>1319.8336182</v>
      </c>
      <c r="G476">
        <v>80</v>
      </c>
      <c r="H476">
        <v>69.224456786999994</v>
      </c>
      <c r="I476">
        <v>50</v>
      </c>
      <c r="J476">
        <v>48.974552154999998</v>
      </c>
      <c r="K476">
        <v>1200</v>
      </c>
      <c r="L476">
        <v>0</v>
      </c>
      <c r="M476">
        <v>0</v>
      </c>
      <c r="N476">
        <v>1200</v>
      </c>
    </row>
    <row r="477" spans="1:14" x14ac:dyDescent="0.25">
      <c r="A477">
        <v>367.90995700000002</v>
      </c>
      <c r="B477" s="1">
        <f>DATE(2011,5,3) + TIME(21,50,20)</f>
        <v>40666.909953703704</v>
      </c>
      <c r="C477">
        <v>1392.5731201000001</v>
      </c>
      <c r="D477">
        <v>1375.0709228999999</v>
      </c>
      <c r="E477">
        <v>1322.848999</v>
      </c>
      <c r="F477">
        <v>1319.8303223</v>
      </c>
      <c r="G477">
        <v>80</v>
      </c>
      <c r="H477">
        <v>69.885986328000001</v>
      </c>
      <c r="I477">
        <v>50</v>
      </c>
      <c r="J477">
        <v>48.937240600999999</v>
      </c>
      <c r="K477">
        <v>1200</v>
      </c>
      <c r="L477">
        <v>0</v>
      </c>
      <c r="M477">
        <v>0</v>
      </c>
      <c r="N477">
        <v>1200</v>
      </c>
    </row>
    <row r="478" spans="1:14" x14ac:dyDescent="0.25">
      <c r="A478">
        <v>368.06641400000001</v>
      </c>
      <c r="B478" s="1">
        <f>DATE(2011,5,4) + TIME(1,35,38)</f>
        <v>40667.066412037035</v>
      </c>
      <c r="C478">
        <v>1392.3756103999999</v>
      </c>
      <c r="D478">
        <v>1374.9935303</v>
      </c>
      <c r="E478">
        <v>1322.8465576000001</v>
      </c>
      <c r="F478">
        <v>1319.8266602000001</v>
      </c>
      <c r="G478">
        <v>80</v>
      </c>
      <c r="H478">
        <v>70.533531189000001</v>
      </c>
      <c r="I478">
        <v>50</v>
      </c>
      <c r="J478">
        <v>48.898731232000003</v>
      </c>
      <c r="K478">
        <v>1200</v>
      </c>
      <c r="L478">
        <v>0</v>
      </c>
      <c r="M478">
        <v>0</v>
      </c>
      <c r="N478">
        <v>1200</v>
      </c>
    </row>
    <row r="479" spans="1:14" x14ac:dyDescent="0.25">
      <c r="A479">
        <v>368.23059499999999</v>
      </c>
      <c r="B479" s="1">
        <f>DATE(2011,5,4) + TIME(5,32,3)</f>
        <v>40667.230590277781</v>
      </c>
      <c r="C479">
        <v>1392.1811522999999</v>
      </c>
      <c r="D479">
        <v>1374.9147949000001</v>
      </c>
      <c r="E479">
        <v>1322.8439940999999</v>
      </c>
      <c r="F479">
        <v>1319.822876</v>
      </c>
      <c r="G479">
        <v>80</v>
      </c>
      <c r="H479">
        <v>71.166831970000004</v>
      </c>
      <c r="I479">
        <v>50</v>
      </c>
      <c r="J479">
        <v>48.858909607000001</v>
      </c>
      <c r="K479">
        <v>1200</v>
      </c>
      <c r="L479">
        <v>0</v>
      </c>
      <c r="M479">
        <v>0</v>
      </c>
      <c r="N479">
        <v>1200</v>
      </c>
    </row>
    <row r="480" spans="1:14" x14ac:dyDescent="0.25">
      <c r="A480">
        <v>368.40339899999998</v>
      </c>
      <c r="B480" s="1">
        <f>DATE(2011,5,4) + TIME(9,40,53)</f>
        <v>40667.403391203705</v>
      </c>
      <c r="C480">
        <v>1391.9891356999999</v>
      </c>
      <c r="D480">
        <v>1374.8345947</v>
      </c>
      <c r="E480">
        <v>1322.8411865</v>
      </c>
      <c r="F480">
        <v>1319.8188477000001</v>
      </c>
      <c r="G480">
        <v>80</v>
      </c>
      <c r="H480">
        <v>71.785758971999996</v>
      </c>
      <c r="I480">
        <v>50</v>
      </c>
      <c r="J480">
        <v>48.817626953000001</v>
      </c>
      <c r="K480">
        <v>1200</v>
      </c>
      <c r="L480">
        <v>0</v>
      </c>
      <c r="M480">
        <v>0</v>
      </c>
      <c r="N480">
        <v>1200</v>
      </c>
    </row>
    <row r="481" spans="1:14" x14ac:dyDescent="0.25">
      <c r="A481">
        <v>368.58564000000001</v>
      </c>
      <c r="B481" s="1">
        <f>DATE(2011,5,4) + TIME(14,3,19)</f>
        <v>40667.585636574076</v>
      </c>
      <c r="C481">
        <v>1391.7994385</v>
      </c>
      <c r="D481">
        <v>1374.7524414</v>
      </c>
      <c r="E481">
        <v>1322.8381348</v>
      </c>
      <c r="F481">
        <v>1319.8145752</v>
      </c>
      <c r="G481">
        <v>80</v>
      </c>
      <c r="H481">
        <v>72.389328003000003</v>
      </c>
      <c r="I481">
        <v>50</v>
      </c>
      <c r="J481">
        <v>48.774749755999999</v>
      </c>
      <c r="K481">
        <v>1200</v>
      </c>
      <c r="L481">
        <v>0</v>
      </c>
      <c r="M481">
        <v>0</v>
      </c>
      <c r="N481">
        <v>1200</v>
      </c>
    </row>
    <row r="482" spans="1:14" x14ac:dyDescent="0.25">
      <c r="A482">
        <v>368.77836300000001</v>
      </c>
      <c r="B482" s="1">
        <f>DATE(2011,5,4) + TIME(18,40,50)</f>
        <v>40667.778356481482</v>
      </c>
      <c r="C482">
        <v>1391.6115723</v>
      </c>
      <c r="D482">
        <v>1374.6682129000001</v>
      </c>
      <c r="E482">
        <v>1322.8349608999999</v>
      </c>
      <c r="F482">
        <v>1319.8100586</v>
      </c>
      <c r="G482">
        <v>80</v>
      </c>
      <c r="H482">
        <v>72.976821899000001</v>
      </c>
      <c r="I482">
        <v>50</v>
      </c>
      <c r="J482">
        <v>48.730121613000001</v>
      </c>
      <c r="K482">
        <v>1200</v>
      </c>
      <c r="L482">
        <v>0</v>
      </c>
      <c r="M482">
        <v>0</v>
      </c>
      <c r="N482">
        <v>1200</v>
      </c>
    </row>
    <row r="483" spans="1:14" x14ac:dyDescent="0.25">
      <c r="A483">
        <v>368.9828</v>
      </c>
      <c r="B483" s="1">
        <f>DATE(2011,5,4) + TIME(23,35,13)</f>
        <v>40667.982789351852</v>
      </c>
      <c r="C483">
        <v>1391.4251709</v>
      </c>
      <c r="D483">
        <v>1374.581543</v>
      </c>
      <c r="E483">
        <v>1322.831543</v>
      </c>
      <c r="F483">
        <v>1319.8051757999999</v>
      </c>
      <c r="G483">
        <v>80</v>
      </c>
      <c r="H483">
        <v>73.54750061</v>
      </c>
      <c r="I483">
        <v>50</v>
      </c>
      <c r="J483">
        <v>48.683544159</v>
      </c>
      <c r="K483">
        <v>1200</v>
      </c>
      <c r="L483">
        <v>0</v>
      </c>
      <c r="M483">
        <v>0</v>
      </c>
      <c r="N483">
        <v>1200</v>
      </c>
    </row>
    <row r="484" spans="1:14" x14ac:dyDescent="0.25">
      <c r="A484">
        <v>369.20040799999998</v>
      </c>
      <c r="B484" s="1">
        <f>DATE(2011,5,5) + TIME(4,48,35)</f>
        <v>40668.20040509259</v>
      </c>
      <c r="C484">
        <v>1391.2397461</v>
      </c>
      <c r="D484">
        <v>1374.4919434000001</v>
      </c>
      <c r="E484">
        <v>1322.8278809000001</v>
      </c>
      <c r="F484">
        <v>1319.8000488</v>
      </c>
      <c r="G484">
        <v>80</v>
      </c>
      <c r="H484">
        <v>74.100601196</v>
      </c>
      <c r="I484">
        <v>50</v>
      </c>
      <c r="J484">
        <v>48.634784697999997</v>
      </c>
      <c r="K484">
        <v>1200</v>
      </c>
      <c r="L484">
        <v>0</v>
      </c>
      <c r="M484">
        <v>0</v>
      </c>
      <c r="N484">
        <v>1200</v>
      </c>
    </row>
    <row r="485" spans="1:14" x14ac:dyDescent="0.25">
      <c r="A485">
        <v>369.43288799999999</v>
      </c>
      <c r="B485" s="1">
        <f>DATE(2011,5,5) + TIME(10,23,21)</f>
        <v>40668.432881944442</v>
      </c>
      <c r="C485">
        <v>1391.0546875</v>
      </c>
      <c r="D485">
        <v>1374.3991699000001</v>
      </c>
      <c r="E485">
        <v>1322.8239745999999</v>
      </c>
      <c r="F485">
        <v>1319.7945557</v>
      </c>
      <c r="G485">
        <v>80</v>
      </c>
      <c r="H485">
        <v>74.635208129999995</v>
      </c>
      <c r="I485">
        <v>50</v>
      </c>
      <c r="J485">
        <v>48.583587645999998</v>
      </c>
      <c r="K485">
        <v>1200</v>
      </c>
      <c r="L485">
        <v>0</v>
      </c>
      <c r="M485">
        <v>0</v>
      </c>
      <c r="N485">
        <v>1200</v>
      </c>
    </row>
    <row r="486" spans="1:14" x14ac:dyDescent="0.25">
      <c r="A486">
        <v>369.68204500000002</v>
      </c>
      <c r="B486" s="1">
        <f>DATE(2011,5,5) + TIME(16,22,8)</f>
        <v>40668.682037037041</v>
      </c>
      <c r="C486">
        <v>1390.869751</v>
      </c>
      <c r="D486">
        <v>1374.3027344</v>
      </c>
      <c r="E486">
        <v>1322.8197021000001</v>
      </c>
      <c r="F486">
        <v>1319.7886963000001</v>
      </c>
      <c r="G486">
        <v>80</v>
      </c>
      <c r="H486">
        <v>75.149787903000004</v>
      </c>
      <c r="I486">
        <v>50</v>
      </c>
      <c r="J486">
        <v>48.529685974000003</v>
      </c>
      <c r="K486">
        <v>1200</v>
      </c>
      <c r="L486">
        <v>0</v>
      </c>
      <c r="M486">
        <v>0</v>
      </c>
      <c r="N486">
        <v>1200</v>
      </c>
    </row>
    <row r="487" spans="1:14" x14ac:dyDescent="0.25">
      <c r="A487">
        <v>369.93155200000001</v>
      </c>
      <c r="B487" s="1">
        <f>DATE(2011,5,5) + TIME(22,21,26)</f>
        <v>40668.931550925925</v>
      </c>
      <c r="C487">
        <v>1390.6947021000001</v>
      </c>
      <c r="D487">
        <v>1374.2054443</v>
      </c>
      <c r="E487">
        <v>1322.8149414</v>
      </c>
      <c r="F487">
        <v>1319.7823486</v>
      </c>
      <c r="G487">
        <v>80</v>
      </c>
      <c r="H487">
        <v>75.612297057999996</v>
      </c>
      <c r="I487">
        <v>50</v>
      </c>
      <c r="J487">
        <v>48.476379395000002</v>
      </c>
      <c r="K487">
        <v>1200</v>
      </c>
      <c r="L487">
        <v>0</v>
      </c>
      <c r="M487">
        <v>0</v>
      </c>
      <c r="N487">
        <v>1200</v>
      </c>
    </row>
    <row r="488" spans="1:14" x14ac:dyDescent="0.25">
      <c r="A488">
        <v>370.18272300000001</v>
      </c>
      <c r="B488" s="1">
        <f>DATE(2011,5,6) + TIME(4,23,7)</f>
        <v>40669.182719907411</v>
      </c>
      <c r="C488">
        <v>1390.5288086</v>
      </c>
      <c r="D488">
        <v>1374.1101074000001</v>
      </c>
      <c r="E488">
        <v>1322.8101807</v>
      </c>
      <c r="F488">
        <v>1319.7758789</v>
      </c>
      <c r="G488">
        <v>80</v>
      </c>
      <c r="H488">
        <v>76.030006408999995</v>
      </c>
      <c r="I488">
        <v>50</v>
      </c>
      <c r="J488">
        <v>48.423381804999998</v>
      </c>
      <c r="K488">
        <v>1200</v>
      </c>
      <c r="L488">
        <v>0</v>
      </c>
      <c r="M488">
        <v>0</v>
      </c>
      <c r="N488">
        <v>1200</v>
      </c>
    </row>
    <row r="489" spans="1:14" x14ac:dyDescent="0.25">
      <c r="A489">
        <v>370.43609099999998</v>
      </c>
      <c r="B489" s="1">
        <f>DATE(2011,5,6) + TIME(10,27,58)</f>
        <v>40669.43608796296</v>
      </c>
      <c r="C489">
        <v>1390.3707274999999</v>
      </c>
      <c r="D489">
        <v>1374.0164795000001</v>
      </c>
      <c r="E489">
        <v>1322.8052978999999</v>
      </c>
      <c r="F489">
        <v>1319.7694091999999</v>
      </c>
      <c r="G489">
        <v>80</v>
      </c>
      <c r="H489">
        <v>76.407608031999999</v>
      </c>
      <c r="I489">
        <v>50</v>
      </c>
      <c r="J489">
        <v>48.370559692</v>
      </c>
      <c r="K489">
        <v>1200</v>
      </c>
      <c r="L489">
        <v>0</v>
      </c>
      <c r="M489">
        <v>0</v>
      </c>
      <c r="N489">
        <v>1200</v>
      </c>
    </row>
    <row r="490" spans="1:14" x14ac:dyDescent="0.25">
      <c r="A490">
        <v>370.692204</v>
      </c>
      <c r="B490" s="1">
        <f>DATE(2011,5,6) + TIME(16,36,46)</f>
        <v>40669.692199074074</v>
      </c>
      <c r="C490">
        <v>1390.2196045000001</v>
      </c>
      <c r="D490">
        <v>1373.9240723</v>
      </c>
      <c r="E490">
        <v>1322.800293</v>
      </c>
      <c r="F490">
        <v>1319.7628173999999</v>
      </c>
      <c r="G490">
        <v>80</v>
      </c>
      <c r="H490">
        <v>76.749221801999994</v>
      </c>
      <c r="I490">
        <v>50</v>
      </c>
      <c r="J490">
        <v>48.317798615000001</v>
      </c>
      <c r="K490">
        <v>1200</v>
      </c>
      <c r="L490">
        <v>0</v>
      </c>
      <c r="M490">
        <v>0</v>
      </c>
      <c r="N490">
        <v>1200</v>
      </c>
    </row>
    <row r="491" spans="1:14" x14ac:dyDescent="0.25">
      <c r="A491">
        <v>370.95159899999999</v>
      </c>
      <c r="B491" s="1">
        <f>DATE(2011,5,6) + TIME(22,50,18)</f>
        <v>40669.951597222222</v>
      </c>
      <c r="C491">
        <v>1390.0743408000001</v>
      </c>
      <c r="D491">
        <v>1373.8326416</v>
      </c>
      <c r="E491">
        <v>1322.7951660000001</v>
      </c>
      <c r="F491">
        <v>1319.7561035000001</v>
      </c>
      <c r="G491">
        <v>80</v>
      </c>
      <c r="H491">
        <v>77.058418274000005</v>
      </c>
      <c r="I491">
        <v>50</v>
      </c>
      <c r="J491">
        <v>48.264980315999999</v>
      </c>
      <c r="K491">
        <v>1200</v>
      </c>
      <c r="L491">
        <v>0</v>
      </c>
      <c r="M491">
        <v>0</v>
      </c>
      <c r="N491">
        <v>1200</v>
      </c>
    </row>
    <row r="492" spans="1:14" x14ac:dyDescent="0.25">
      <c r="A492">
        <v>371.21481499999999</v>
      </c>
      <c r="B492" s="1">
        <f>DATE(2011,5,7) + TIME(5,9,20)</f>
        <v>40670.214814814812</v>
      </c>
      <c r="C492">
        <v>1389.9343262</v>
      </c>
      <c r="D492">
        <v>1373.7421875</v>
      </c>
      <c r="E492">
        <v>1322.7900391000001</v>
      </c>
      <c r="F492">
        <v>1319.7492675999999</v>
      </c>
      <c r="G492">
        <v>80</v>
      </c>
      <c r="H492">
        <v>77.338340759000005</v>
      </c>
      <c r="I492">
        <v>50</v>
      </c>
      <c r="J492">
        <v>48.211994171000001</v>
      </c>
      <c r="K492">
        <v>1200</v>
      </c>
      <c r="L492">
        <v>0</v>
      </c>
      <c r="M492">
        <v>0</v>
      </c>
      <c r="N492">
        <v>1200</v>
      </c>
    </row>
    <row r="493" spans="1:14" x14ac:dyDescent="0.25">
      <c r="A493">
        <v>371.48246999999998</v>
      </c>
      <c r="B493" s="1">
        <f>DATE(2011,5,7) + TIME(11,34,45)</f>
        <v>40670.482465277775</v>
      </c>
      <c r="C493">
        <v>1389.7989502</v>
      </c>
      <c r="D493">
        <v>1373.6524658000001</v>
      </c>
      <c r="E493">
        <v>1322.784668</v>
      </c>
      <c r="F493">
        <v>1319.7421875</v>
      </c>
      <c r="G493">
        <v>80</v>
      </c>
      <c r="H493">
        <v>77.591812133999994</v>
      </c>
      <c r="I493">
        <v>50</v>
      </c>
      <c r="J493">
        <v>48.158718108999999</v>
      </c>
      <c r="K493">
        <v>1200</v>
      </c>
      <c r="L493">
        <v>0</v>
      </c>
      <c r="M493">
        <v>0</v>
      </c>
      <c r="N493">
        <v>1200</v>
      </c>
    </row>
    <row r="494" spans="1:14" x14ac:dyDescent="0.25">
      <c r="A494">
        <v>371.75511999999998</v>
      </c>
      <c r="B494" s="1">
        <f>DATE(2011,5,7) + TIME(18,7,22)</f>
        <v>40670.755115740743</v>
      </c>
      <c r="C494">
        <v>1389.6673584</v>
      </c>
      <c r="D494">
        <v>1373.5632324000001</v>
      </c>
      <c r="E494">
        <v>1322.7791748</v>
      </c>
      <c r="F494">
        <v>1319.7349853999999</v>
      </c>
      <c r="G494">
        <v>80</v>
      </c>
      <c r="H494">
        <v>77.821258545000006</v>
      </c>
      <c r="I494">
        <v>50</v>
      </c>
      <c r="J494">
        <v>48.105045318999998</v>
      </c>
      <c r="K494">
        <v>1200</v>
      </c>
      <c r="L494">
        <v>0</v>
      </c>
      <c r="M494">
        <v>0</v>
      </c>
      <c r="N494">
        <v>1200</v>
      </c>
    </row>
    <row r="495" spans="1:14" x14ac:dyDescent="0.25">
      <c r="A495">
        <v>372.03330899999997</v>
      </c>
      <c r="B495" s="1">
        <f>DATE(2011,5,8) + TIME(0,47,57)</f>
        <v>40671.03329861111</v>
      </c>
      <c r="C495">
        <v>1389.5391846</v>
      </c>
      <c r="D495">
        <v>1373.4744873</v>
      </c>
      <c r="E495">
        <v>1322.7735596</v>
      </c>
      <c r="F495">
        <v>1319.7276611</v>
      </c>
      <c r="G495">
        <v>80</v>
      </c>
      <c r="H495">
        <v>78.028823853000006</v>
      </c>
      <c r="I495">
        <v>50</v>
      </c>
      <c r="J495">
        <v>48.050880432</v>
      </c>
      <c r="K495">
        <v>1200</v>
      </c>
      <c r="L495">
        <v>0</v>
      </c>
      <c r="M495">
        <v>0</v>
      </c>
      <c r="N495">
        <v>1200</v>
      </c>
    </row>
    <row r="496" spans="1:14" x14ac:dyDescent="0.25">
      <c r="A496">
        <v>372.31766699999997</v>
      </c>
      <c r="B496" s="1">
        <f>DATE(2011,5,8) + TIME(7,37,26)</f>
        <v>40671.317662037036</v>
      </c>
      <c r="C496">
        <v>1389.4139404</v>
      </c>
      <c r="D496">
        <v>1373.3858643000001</v>
      </c>
      <c r="E496">
        <v>1322.7677002</v>
      </c>
      <c r="F496">
        <v>1319.7200928</v>
      </c>
      <c r="G496">
        <v>80</v>
      </c>
      <c r="H496">
        <v>78.216468810999999</v>
      </c>
      <c r="I496">
        <v>50</v>
      </c>
      <c r="J496">
        <v>47.996109009000001</v>
      </c>
      <c r="K496">
        <v>1200</v>
      </c>
      <c r="L496">
        <v>0</v>
      </c>
      <c r="M496">
        <v>0</v>
      </c>
      <c r="N496">
        <v>1200</v>
      </c>
    </row>
    <row r="497" spans="1:14" x14ac:dyDescent="0.25">
      <c r="A497">
        <v>372.60886399999998</v>
      </c>
      <c r="B497" s="1">
        <f>DATE(2011,5,8) + TIME(14,36,45)</f>
        <v>40671.608854166669</v>
      </c>
      <c r="C497">
        <v>1389.2912598</v>
      </c>
      <c r="D497">
        <v>1373.2973632999999</v>
      </c>
      <c r="E497">
        <v>1322.7617187999999</v>
      </c>
      <c r="F497">
        <v>1319.7122803</v>
      </c>
      <c r="G497">
        <v>80</v>
      </c>
      <c r="H497">
        <v>78.385955811000002</v>
      </c>
      <c r="I497">
        <v>50</v>
      </c>
      <c r="J497">
        <v>47.940620422000002</v>
      </c>
      <c r="K497">
        <v>1200</v>
      </c>
      <c r="L497">
        <v>0</v>
      </c>
      <c r="M497">
        <v>0</v>
      </c>
      <c r="N497">
        <v>1200</v>
      </c>
    </row>
    <row r="498" spans="1:14" x14ac:dyDescent="0.25">
      <c r="A498">
        <v>372.907624</v>
      </c>
      <c r="B498" s="1">
        <f>DATE(2011,5,8) + TIME(21,46,58)</f>
        <v>40671.90761574074</v>
      </c>
      <c r="C498">
        <v>1389.1707764</v>
      </c>
      <c r="D498">
        <v>1373.2089844</v>
      </c>
      <c r="E498">
        <v>1322.7556152</v>
      </c>
      <c r="F498">
        <v>1319.7042236</v>
      </c>
      <c r="G498">
        <v>80</v>
      </c>
      <c r="H498">
        <v>78.538871764999996</v>
      </c>
      <c r="I498">
        <v>50</v>
      </c>
      <c r="J498">
        <v>47.884292602999999</v>
      </c>
      <c r="K498">
        <v>1200</v>
      </c>
      <c r="L498">
        <v>0</v>
      </c>
      <c r="M498">
        <v>0</v>
      </c>
      <c r="N498">
        <v>1200</v>
      </c>
    </row>
    <row r="499" spans="1:14" x14ac:dyDescent="0.25">
      <c r="A499">
        <v>373.21473400000002</v>
      </c>
      <c r="B499" s="1">
        <f>DATE(2011,5,9) + TIME(5,9,13)</f>
        <v>40672.214733796296</v>
      </c>
      <c r="C499">
        <v>1389.0520019999999</v>
      </c>
      <c r="D499">
        <v>1373.1203613</v>
      </c>
      <c r="E499">
        <v>1322.7491454999999</v>
      </c>
      <c r="F499">
        <v>1319.6959228999999</v>
      </c>
      <c r="G499">
        <v>80</v>
      </c>
      <c r="H499">
        <v>78.676658630000006</v>
      </c>
      <c r="I499">
        <v>50</v>
      </c>
      <c r="J499">
        <v>47.827003478999998</v>
      </c>
      <c r="K499">
        <v>1200</v>
      </c>
      <c r="L499">
        <v>0</v>
      </c>
      <c r="M499">
        <v>0</v>
      </c>
      <c r="N499">
        <v>1200</v>
      </c>
    </row>
    <row r="500" spans="1:14" x14ac:dyDescent="0.25">
      <c r="A500">
        <v>373.53106300000002</v>
      </c>
      <c r="B500" s="1">
        <f>DATE(2011,5,9) + TIME(12,44,43)</f>
        <v>40672.531053240738</v>
      </c>
      <c r="C500">
        <v>1388.9345702999999</v>
      </c>
      <c r="D500">
        <v>1373.0314940999999</v>
      </c>
      <c r="E500">
        <v>1322.7425536999999</v>
      </c>
      <c r="F500">
        <v>1319.6873779</v>
      </c>
      <c r="G500">
        <v>80</v>
      </c>
      <c r="H500">
        <v>78.800621032999999</v>
      </c>
      <c r="I500">
        <v>50</v>
      </c>
      <c r="J500">
        <v>47.768615723000003</v>
      </c>
      <c r="K500">
        <v>1200</v>
      </c>
      <c r="L500">
        <v>0</v>
      </c>
      <c r="M500">
        <v>0</v>
      </c>
      <c r="N500">
        <v>1200</v>
      </c>
    </row>
    <row r="501" spans="1:14" x14ac:dyDescent="0.25">
      <c r="A501">
        <v>373.85756900000001</v>
      </c>
      <c r="B501" s="1">
        <f>DATE(2011,5,9) + TIME(20,34,54)</f>
        <v>40672.857569444444</v>
      </c>
      <c r="C501">
        <v>1388.8183594</v>
      </c>
      <c r="D501">
        <v>1372.9422606999999</v>
      </c>
      <c r="E501">
        <v>1322.7357178</v>
      </c>
      <c r="F501">
        <v>1319.6784668</v>
      </c>
      <c r="G501">
        <v>80</v>
      </c>
      <c r="H501">
        <v>78.911956786999994</v>
      </c>
      <c r="I501">
        <v>50</v>
      </c>
      <c r="J501">
        <v>47.708984375</v>
      </c>
      <c r="K501">
        <v>1200</v>
      </c>
      <c r="L501">
        <v>0</v>
      </c>
      <c r="M501">
        <v>0</v>
      </c>
      <c r="N501">
        <v>1200</v>
      </c>
    </row>
    <row r="502" spans="1:14" x14ac:dyDescent="0.25">
      <c r="A502">
        <v>374.19532500000003</v>
      </c>
      <c r="B502" s="1">
        <f>DATE(2011,5,10) + TIME(4,41,16)</f>
        <v>40673.195324074077</v>
      </c>
      <c r="C502">
        <v>1388.7028809000001</v>
      </c>
      <c r="D502">
        <v>1372.8524170000001</v>
      </c>
      <c r="E502">
        <v>1322.7285156</v>
      </c>
      <c r="F502">
        <v>1319.6691894999999</v>
      </c>
      <c r="G502">
        <v>80</v>
      </c>
      <c r="H502">
        <v>79.011749268000003</v>
      </c>
      <c r="I502">
        <v>50</v>
      </c>
      <c r="J502">
        <v>47.647949218999997</v>
      </c>
      <c r="K502">
        <v>1200</v>
      </c>
      <c r="L502">
        <v>0</v>
      </c>
      <c r="M502">
        <v>0</v>
      </c>
      <c r="N502">
        <v>1200</v>
      </c>
    </row>
    <row r="503" spans="1:14" x14ac:dyDescent="0.25">
      <c r="A503">
        <v>374.54560199999997</v>
      </c>
      <c r="B503" s="1">
        <f>DATE(2011,5,10) + TIME(13,5,39)</f>
        <v>40673.545590277776</v>
      </c>
      <c r="C503">
        <v>1388.5878906</v>
      </c>
      <c r="D503">
        <v>1372.7619629000001</v>
      </c>
      <c r="E503">
        <v>1322.7210693</v>
      </c>
      <c r="F503">
        <v>1319.6595459</v>
      </c>
      <c r="G503">
        <v>80</v>
      </c>
      <c r="H503">
        <v>79.100997925000001</v>
      </c>
      <c r="I503">
        <v>50</v>
      </c>
      <c r="J503">
        <v>47.585327147999998</v>
      </c>
      <c r="K503">
        <v>1200</v>
      </c>
      <c r="L503">
        <v>0</v>
      </c>
      <c r="M503">
        <v>0</v>
      </c>
      <c r="N503">
        <v>1200</v>
      </c>
    </row>
    <row r="504" spans="1:14" x14ac:dyDescent="0.25">
      <c r="A504">
        <v>374.90987799999999</v>
      </c>
      <c r="B504" s="1">
        <f>DATE(2011,5,10) + TIME(21,50,13)</f>
        <v>40673.909872685188</v>
      </c>
      <c r="C504">
        <v>1388.4729004000001</v>
      </c>
      <c r="D504">
        <v>1372.6706543</v>
      </c>
      <c r="E504">
        <v>1322.7132568</v>
      </c>
      <c r="F504">
        <v>1319.6494141000001</v>
      </c>
      <c r="G504">
        <v>80</v>
      </c>
      <c r="H504">
        <v>79.180641174000002</v>
      </c>
      <c r="I504">
        <v>50</v>
      </c>
      <c r="J504">
        <v>47.520900726000001</v>
      </c>
      <c r="K504">
        <v>1200</v>
      </c>
      <c r="L504">
        <v>0</v>
      </c>
      <c r="M504">
        <v>0</v>
      </c>
      <c r="N504">
        <v>1200</v>
      </c>
    </row>
    <row r="505" spans="1:14" x14ac:dyDescent="0.25">
      <c r="A505">
        <v>375.28844299999997</v>
      </c>
      <c r="B505" s="1">
        <f>DATE(2011,5,11) + TIME(6,55,21)</f>
        <v>40674.288437499999</v>
      </c>
      <c r="C505">
        <v>1388.3579102000001</v>
      </c>
      <c r="D505">
        <v>1372.578125</v>
      </c>
      <c r="E505">
        <v>1322.7050781</v>
      </c>
      <c r="F505">
        <v>1319.6387939000001</v>
      </c>
      <c r="G505">
        <v>80</v>
      </c>
      <c r="H505">
        <v>79.251304626000007</v>
      </c>
      <c r="I505">
        <v>50</v>
      </c>
      <c r="J505">
        <v>47.454650878999999</v>
      </c>
      <c r="K505">
        <v>1200</v>
      </c>
      <c r="L505">
        <v>0</v>
      </c>
      <c r="M505">
        <v>0</v>
      </c>
      <c r="N505">
        <v>1200</v>
      </c>
    </row>
    <row r="506" spans="1:14" x14ac:dyDescent="0.25">
      <c r="A506">
        <v>375.68278500000002</v>
      </c>
      <c r="B506" s="1">
        <f>DATE(2011,5,11) + TIME(16,23,12)</f>
        <v>40674.68277777778</v>
      </c>
      <c r="C506">
        <v>1388.2425536999999</v>
      </c>
      <c r="D506">
        <v>1372.4847411999999</v>
      </c>
      <c r="E506">
        <v>1322.6964111</v>
      </c>
      <c r="F506">
        <v>1319.6278076000001</v>
      </c>
      <c r="G506">
        <v>80</v>
      </c>
      <c r="H506">
        <v>79.313781738000003</v>
      </c>
      <c r="I506">
        <v>50</v>
      </c>
      <c r="J506">
        <v>47.386375426999997</v>
      </c>
      <c r="K506">
        <v>1200</v>
      </c>
      <c r="L506">
        <v>0</v>
      </c>
      <c r="M506">
        <v>0</v>
      </c>
      <c r="N506">
        <v>1200</v>
      </c>
    </row>
    <row r="507" spans="1:14" x14ac:dyDescent="0.25">
      <c r="A507">
        <v>376.09470399999998</v>
      </c>
      <c r="B507" s="1">
        <f>DATE(2011,5,12) + TIME(2,16,22)</f>
        <v>40675.094699074078</v>
      </c>
      <c r="C507">
        <v>1388.1268310999999</v>
      </c>
      <c r="D507">
        <v>1372.3901367000001</v>
      </c>
      <c r="E507">
        <v>1322.6873779</v>
      </c>
      <c r="F507">
        <v>1319.6162108999999</v>
      </c>
      <c r="G507">
        <v>80</v>
      </c>
      <c r="H507">
        <v>79.368850707999997</v>
      </c>
      <c r="I507">
        <v>50</v>
      </c>
      <c r="J507">
        <v>47.315826416</v>
      </c>
      <c r="K507">
        <v>1200</v>
      </c>
      <c r="L507">
        <v>0</v>
      </c>
      <c r="M507">
        <v>0</v>
      </c>
      <c r="N507">
        <v>1200</v>
      </c>
    </row>
    <row r="508" spans="1:14" x14ac:dyDescent="0.25">
      <c r="A508">
        <v>376.517045</v>
      </c>
      <c r="B508" s="1">
        <f>DATE(2011,5,12) + TIME(12,24,32)</f>
        <v>40675.51703703704</v>
      </c>
      <c r="C508">
        <v>1388.0106201000001</v>
      </c>
      <c r="D508">
        <v>1372.2944336</v>
      </c>
      <c r="E508">
        <v>1322.6778564000001</v>
      </c>
      <c r="F508">
        <v>1319.6040039</v>
      </c>
      <c r="G508">
        <v>80</v>
      </c>
      <c r="H508">
        <v>79.416336060000006</v>
      </c>
      <c r="I508">
        <v>50</v>
      </c>
      <c r="J508">
        <v>47.244091034</v>
      </c>
      <c r="K508">
        <v>1200</v>
      </c>
      <c r="L508">
        <v>0</v>
      </c>
      <c r="M508">
        <v>0</v>
      </c>
      <c r="N508">
        <v>1200</v>
      </c>
    </row>
    <row r="509" spans="1:14" x14ac:dyDescent="0.25">
      <c r="A509">
        <v>376.94145900000001</v>
      </c>
      <c r="B509" s="1">
        <f>DATE(2011,5,12) + TIME(22,35,42)</f>
        <v>40675.941458333335</v>
      </c>
      <c r="C509">
        <v>1387.895874</v>
      </c>
      <c r="D509">
        <v>1372.1990966999999</v>
      </c>
      <c r="E509">
        <v>1322.6679687999999</v>
      </c>
      <c r="F509">
        <v>1319.5913086</v>
      </c>
      <c r="G509">
        <v>80</v>
      </c>
      <c r="H509">
        <v>79.456459045000003</v>
      </c>
      <c r="I509">
        <v>50</v>
      </c>
      <c r="J509">
        <v>47.172409058</v>
      </c>
      <c r="K509">
        <v>1200</v>
      </c>
      <c r="L509">
        <v>0</v>
      </c>
      <c r="M509">
        <v>0</v>
      </c>
      <c r="N509">
        <v>1200</v>
      </c>
    </row>
    <row r="510" spans="1:14" x14ac:dyDescent="0.25">
      <c r="A510">
        <v>377.36783800000001</v>
      </c>
      <c r="B510" s="1">
        <f>DATE(2011,5,13) + TIME(8,49,41)</f>
        <v>40676.367835648147</v>
      </c>
      <c r="C510">
        <v>1387.7844238</v>
      </c>
      <c r="D510">
        <v>1372.1062012</v>
      </c>
      <c r="E510">
        <v>1322.6579589999999</v>
      </c>
      <c r="F510">
        <v>1319.5786132999999</v>
      </c>
      <c r="G510">
        <v>80</v>
      </c>
      <c r="H510">
        <v>79.490348815999994</v>
      </c>
      <c r="I510">
        <v>50</v>
      </c>
      <c r="J510">
        <v>47.100807189999998</v>
      </c>
      <c r="K510">
        <v>1200</v>
      </c>
      <c r="L510">
        <v>0</v>
      </c>
      <c r="M510">
        <v>0</v>
      </c>
      <c r="N510">
        <v>1200</v>
      </c>
    </row>
    <row r="511" spans="1:14" x14ac:dyDescent="0.25">
      <c r="A511">
        <v>377.79637700000001</v>
      </c>
      <c r="B511" s="1">
        <f>DATE(2011,5,13) + TIME(19,6,46)</f>
        <v>40676.796365740738</v>
      </c>
      <c r="C511">
        <v>1387.6760254000001</v>
      </c>
      <c r="D511">
        <v>1372.0153809000001</v>
      </c>
      <c r="E511">
        <v>1322.6478271000001</v>
      </c>
      <c r="F511">
        <v>1319.5655518000001</v>
      </c>
      <c r="G511">
        <v>80</v>
      </c>
      <c r="H511">
        <v>79.518997192</v>
      </c>
      <c r="I511">
        <v>50</v>
      </c>
      <c r="J511">
        <v>47.029262543000002</v>
      </c>
      <c r="K511">
        <v>1200</v>
      </c>
      <c r="L511">
        <v>0</v>
      </c>
      <c r="M511">
        <v>0</v>
      </c>
      <c r="N511">
        <v>1200</v>
      </c>
    </row>
    <row r="512" spans="1:14" x14ac:dyDescent="0.25">
      <c r="A512">
        <v>378.22808199999997</v>
      </c>
      <c r="B512" s="1">
        <f>DATE(2011,5,14) + TIME(5,28,26)</f>
        <v>40677.228078703702</v>
      </c>
      <c r="C512">
        <v>1387.5705565999999</v>
      </c>
      <c r="D512">
        <v>1371.9267577999999</v>
      </c>
      <c r="E512">
        <v>1322.6374512</v>
      </c>
      <c r="F512">
        <v>1319.5524902</v>
      </c>
      <c r="G512">
        <v>80</v>
      </c>
      <c r="H512">
        <v>79.543251037999994</v>
      </c>
      <c r="I512">
        <v>50</v>
      </c>
      <c r="J512">
        <v>46.957626343000001</v>
      </c>
      <c r="K512">
        <v>1200</v>
      </c>
      <c r="L512">
        <v>0</v>
      </c>
      <c r="M512">
        <v>0</v>
      </c>
      <c r="N512">
        <v>1200</v>
      </c>
    </row>
    <row r="513" spans="1:14" x14ac:dyDescent="0.25">
      <c r="A513">
        <v>378.66398500000003</v>
      </c>
      <c r="B513" s="1">
        <f>DATE(2011,5,14) + TIME(15,56,8)</f>
        <v>40677.663981481484</v>
      </c>
      <c r="C513">
        <v>1387.4672852000001</v>
      </c>
      <c r="D513">
        <v>1371.8398437999999</v>
      </c>
      <c r="E513">
        <v>1322.6270752</v>
      </c>
      <c r="F513">
        <v>1319.5390625</v>
      </c>
      <c r="G513">
        <v>80</v>
      </c>
      <c r="H513">
        <v>79.563827515</v>
      </c>
      <c r="I513">
        <v>50</v>
      </c>
      <c r="J513">
        <v>46.885761260999999</v>
      </c>
      <c r="K513">
        <v>1200</v>
      </c>
      <c r="L513">
        <v>0</v>
      </c>
      <c r="M513">
        <v>0</v>
      </c>
      <c r="N513">
        <v>1200</v>
      </c>
    </row>
    <row r="514" spans="1:14" x14ac:dyDescent="0.25">
      <c r="A514">
        <v>379.10515299999997</v>
      </c>
      <c r="B514" s="1">
        <f>DATE(2011,5,15) + TIME(2,31,25)</f>
        <v>40678.105150462965</v>
      </c>
      <c r="C514">
        <v>1387.3662108999999</v>
      </c>
      <c r="D514">
        <v>1371.7545166</v>
      </c>
      <c r="E514">
        <v>1322.6164550999999</v>
      </c>
      <c r="F514">
        <v>1319.5255127</v>
      </c>
      <c r="G514">
        <v>80</v>
      </c>
      <c r="H514">
        <v>79.581306458</v>
      </c>
      <c r="I514">
        <v>50</v>
      </c>
      <c r="J514">
        <v>46.813510895</v>
      </c>
      <c r="K514">
        <v>1200</v>
      </c>
      <c r="L514">
        <v>0</v>
      </c>
      <c r="M514">
        <v>0</v>
      </c>
      <c r="N514">
        <v>1200</v>
      </c>
    </row>
    <row r="515" spans="1:14" x14ac:dyDescent="0.25">
      <c r="A515">
        <v>379.552436</v>
      </c>
      <c r="B515" s="1">
        <f>DATE(2011,5,15) + TIME(13,15,30)</f>
        <v>40678.552430555559</v>
      </c>
      <c r="C515">
        <v>1387.2667236</v>
      </c>
      <c r="D515">
        <v>1371.6704102000001</v>
      </c>
      <c r="E515">
        <v>1322.6055908000001</v>
      </c>
      <c r="F515">
        <v>1319.5115966999999</v>
      </c>
      <c r="G515">
        <v>80</v>
      </c>
      <c r="H515">
        <v>79.596168517999999</v>
      </c>
      <c r="I515">
        <v>50</v>
      </c>
      <c r="J515">
        <v>46.740760803000001</v>
      </c>
      <c r="K515">
        <v>1200</v>
      </c>
      <c r="L515">
        <v>0</v>
      </c>
      <c r="M515">
        <v>0</v>
      </c>
      <c r="N515">
        <v>1200</v>
      </c>
    </row>
    <row r="516" spans="1:14" x14ac:dyDescent="0.25">
      <c r="A516">
        <v>380.00684200000001</v>
      </c>
      <c r="B516" s="1">
        <f>DATE(2011,5,16) + TIME(0,9,51)</f>
        <v>40679.006840277776</v>
      </c>
      <c r="C516">
        <v>1387.1687012</v>
      </c>
      <c r="D516">
        <v>1371.5874022999999</v>
      </c>
      <c r="E516">
        <v>1322.5944824000001</v>
      </c>
      <c r="F516">
        <v>1319.4974365</v>
      </c>
      <c r="G516">
        <v>80</v>
      </c>
      <c r="H516">
        <v>79.608810425000001</v>
      </c>
      <c r="I516">
        <v>50</v>
      </c>
      <c r="J516">
        <v>46.667373656999999</v>
      </c>
      <c r="K516">
        <v>1200</v>
      </c>
      <c r="L516">
        <v>0</v>
      </c>
      <c r="M516">
        <v>0</v>
      </c>
      <c r="N516">
        <v>1200</v>
      </c>
    </row>
    <row r="517" spans="1:14" x14ac:dyDescent="0.25">
      <c r="A517">
        <v>380.46942300000001</v>
      </c>
      <c r="B517" s="1">
        <f>DATE(2011,5,16) + TIME(11,15,58)</f>
        <v>40679.469421296293</v>
      </c>
      <c r="C517">
        <v>1387.0717772999999</v>
      </c>
      <c r="D517">
        <v>1371.5053711</v>
      </c>
      <c r="E517">
        <v>1322.5831298999999</v>
      </c>
      <c r="F517">
        <v>1319.4829102000001</v>
      </c>
      <c r="G517">
        <v>80</v>
      </c>
      <c r="H517">
        <v>79.619567871000001</v>
      </c>
      <c r="I517">
        <v>50</v>
      </c>
      <c r="J517">
        <v>46.593204497999999</v>
      </c>
      <c r="K517">
        <v>1200</v>
      </c>
      <c r="L517">
        <v>0</v>
      </c>
      <c r="M517">
        <v>0</v>
      </c>
      <c r="N517">
        <v>1200</v>
      </c>
    </row>
    <row r="518" spans="1:14" x14ac:dyDescent="0.25">
      <c r="A518">
        <v>380.94129700000002</v>
      </c>
      <c r="B518" s="1">
        <f>DATE(2011,5,16) + TIME(22,35,28)</f>
        <v>40679.941296296296</v>
      </c>
      <c r="C518">
        <v>1386.9758300999999</v>
      </c>
      <c r="D518">
        <v>1371.4238281</v>
      </c>
      <c r="E518">
        <v>1322.5715332</v>
      </c>
      <c r="F518">
        <v>1319.4680175999999</v>
      </c>
      <c r="G518">
        <v>80</v>
      </c>
      <c r="H518">
        <v>79.628730774000005</v>
      </c>
      <c r="I518">
        <v>50</v>
      </c>
      <c r="J518">
        <v>46.518100738999998</v>
      </c>
      <c r="K518">
        <v>1200</v>
      </c>
      <c r="L518">
        <v>0</v>
      </c>
      <c r="M518">
        <v>0</v>
      </c>
      <c r="N518">
        <v>1200</v>
      </c>
    </row>
    <row r="519" spans="1:14" x14ac:dyDescent="0.25">
      <c r="A519">
        <v>381.42366099999998</v>
      </c>
      <c r="B519" s="1">
        <f>DATE(2011,5,17) + TIME(10,10,4)</f>
        <v>40680.423657407409</v>
      </c>
      <c r="C519">
        <v>1386.8804932</v>
      </c>
      <c r="D519">
        <v>1371.3430175999999</v>
      </c>
      <c r="E519">
        <v>1322.5595702999999</v>
      </c>
      <c r="F519">
        <v>1319.4526367000001</v>
      </c>
      <c r="G519">
        <v>80</v>
      </c>
      <c r="H519">
        <v>79.636535644999995</v>
      </c>
      <c r="I519">
        <v>50</v>
      </c>
      <c r="J519">
        <v>46.441905974999997</v>
      </c>
      <c r="K519">
        <v>1200</v>
      </c>
      <c r="L519">
        <v>0</v>
      </c>
      <c r="M519">
        <v>0</v>
      </c>
      <c r="N519">
        <v>1200</v>
      </c>
    </row>
    <row r="520" spans="1:14" x14ac:dyDescent="0.25">
      <c r="A520">
        <v>381.91780699999998</v>
      </c>
      <c r="B520" s="1">
        <f>DATE(2011,5,17) + TIME(22,1,38)</f>
        <v>40680.917800925927</v>
      </c>
      <c r="C520">
        <v>1386.7855225000001</v>
      </c>
      <c r="D520">
        <v>1371.2623291</v>
      </c>
      <c r="E520">
        <v>1322.5472411999999</v>
      </c>
      <c r="F520">
        <v>1319.4368896000001</v>
      </c>
      <c r="G520">
        <v>80</v>
      </c>
      <c r="H520">
        <v>79.643180846999996</v>
      </c>
      <c r="I520">
        <v>50</v>
      </c>
      <c r="J520">
        <v>46.364452362000002</v>
      </c>
      <c r="K520">
        <v>1200</v>
      </c>
      <c r="L520">
        <v>0</v>
      </c>
      <c r="M520">
        <v>0</v>
      </c>
      <c r="N520">
        <v>1200</v>
      </c>
    </row>
    <row r="521" spans="1:14" x14ac:dyDescent="0.25">
      <c r="A521">
        <v>382.42514999999997</v>
      </c>
      <c r="B521" s="1">
        <f>DATE(2011,5,18) + TIME(10,12,12)</f>
        <v>40681.425138888888</v>
      </c>
      <c r="C521">
        <v>1386.6907959</v>
      </c>
      <c r="D521">
        <v>1371.1818848</v>
      </c>
      <c r="E521">
        <v>1322.5345459</v>
      </c>
      <c r="F521">
        <v>1319.4206543</v>
      </c>
      <c r="G521">
        <v>80</v>
      </c>
      <c r="H521">
        <v>79.648834229000002</v>
      </c>
      <c r="I521">
        <v>50</v>
      </c>
      <c r="J521">
        <v>46.285552979000002</v>
      </c>
      <c r="K521">
        <v>1200</v>
      </c>
      <c r="L521">
        <v>0</v>
      </c>
      <c r="M521">
        <v>0</v>
      </c>
      <c r="N521">
        <v>1200</v>
      </c>
    </row>
    <row r="522" spans="1:14" x14ac:dyDescent="0.25">
      <c r="A522">
        <v>382.94725299999999</v>
      </c>
      <c r="B522" s="1">
        <f>DATE(2011,5,18) + TIME(22,44,2)</f>
        <v>40681.947245370371</v>
      </c>
      <c r="C522">
        <v>1386.5960693</v>
      </c>
      <c r="D522">
        <v>1371.1013184000001</v>
      </c>
      <c r="E522">
        <v>1322.5214844</v>
      </c>
      <c r="F522">
        <v>1319.4038086</v>
      </c>
      <c r="G522">
        <v>80</v>
      </c>
      <c r="H522">
        <v>79.653656006000006</v>
      </c>
      <c r="I522">
        <v>50</v>
      </c>
      <c r="J522">
        <v>46.205013274999999</v>
      </c>
      <c r="K522">
        <v>1200</v>
      </c>
      <c r="L522">
        <v>0</v>
      </c>
      <c r="M522">
        <v>0</v>
      </c>
      <c r="N522">
        <v>1200</v>
      </c>
    </row>
    <row r="523" spans="1:14" x14ac:dyDescent="0.25">
      <c r="A523">
        <v>383.48587300000003</v>
      </c>
      <c r="B523" s="1">
        <f>DATE(2011,5,19) + TIME(11,39,39)</f>
        <v>40682.485868055555</v>
      </c>
      <c r="C523">
        <v>1386.5009766000001</v>
      </c>
      <c r="D523">
        <v>1371.0206298999999</v>
      </c>
      <c r="E523">
        <v>1322.5079346</v>
      </c>
      <c r="F523">
        <v>1319.3862305</v>
      </c>
      <c r="G523">
        <v>80</v>
      </c>
      <c r="H523">
        <v>79.657752990999995</v>
      </c>
      <c r="I523">
        <v>50</v>
      </c>
      <c r="J523">
        <v>46.122608184999997</v>
      </c>
      <c r="K523">
        <v>1200</v>
      </c>
      <c r="L523">
        <v>0</v>
      </c>
      <c r="M523">
        <v>0</v>
      </c>
      <c r="N523">
        <v>1200</v>
      </c>
    </row>
    <row r="524" spans="1:14" x14ac:dyDescent="0.25">
      <c r="A524">
        <v>384.04330299999998</v>
      </c>
      <c r="B524" s="1">
        <f>DATE(2011,5,20) + TIME(1,2,21)</f>
        <v>40683.043298611112</v>
      </c>
      <c r="C524">
        <v>1386.4053954999999</v>
      </c>
      <c r="D524">
        <v>1370.9394531</v>
      </c>
      <c r="E524">
        <v>1322.4937743999999</v>
      </c>
      <c r="F524">
        <v>1319.3681641000001</v>
      </c>
      <c r="G524">
        <v>80</v>
      </c>
      <c r="H524">
        <v>79.661247252999999</v>
      </c>
      <c r="I524">
        <v>50</v>
      </c>
      <c r="J524">
        <v>46.038051605</v>
      </c>
      <c r="K524">
        <v>1200</v>
      </c>
      <c r="L524">
        <v>0</v>
      </c>
      <c r="M524">
        <v>0</v>
      </c>
      <c r="N524">
        <v>1200</v>
      </c>
    </row>
    <row r="525" spans="1:14" x14ac:dyDescent="0.25">
      <c r="A525">
        <v>384.62142999999998</v>
      </c>
      <c r="B525" s="1">
        <f>DATE(2011,5,20) + TIME(14,54,51)</f>
        <v>40683.621423611112</v>
      </c>
      <c r="C525">
        <v>1386.309082</v>
      </c>
      <c r="D525">
        <v>1370.8575439000001</v>
      </c>
      <c r="E525">
        <v>1322.4790039</v>
      </c>
      <c r="F525">
        <v>1319.3492432</v>
      </c>
      <c r="G525">
        <v>80</v>
      </c>
      <c r="H525">
        <v>79.664222717000001</v>
      </c>
      <c r="I525">
        <v>50</v>
      </c>
      <c r="J525">
        <v>45.951110839999998</v>
      </c>
      <c r="K525">
        <v>1200</v>
      </c>
      <c r="L525">
        <v>0</v>
      </c>
      <c r="M525">
        <v>0</v>
      </c>
      <c r="N525">
        <v>1200</v>
      </c>
    </row>
    <row r="526" spans="1:14" x14ac:dyDescent="0.25">
      <c r="A526">
        <v>385.22279800000001</v>
      </c>
      <c r="B526" s="1">
        <f>DATE(2011,5,21) + TIME(5,20,49)</f>
        <v>40684.22278935185</v>
      </c>
      <c r="C526">
        <v>1386.2116699000001</v>
      </c>
      <c r="D526">
        <v>1370.7747803</v>
      </c>
      <c r="E526">
        <v>1322.4637451000001</v>
      </c>
      <c r="F526">
        <v>1319.3294678</v>
      </c>
      <c r="G526">
        <v>80</v>
      </c>
      <c r="H526">
        <v>79.666755675999994</v>
      </c>
      <c r="I526">
        <v>50</v>
      </c>
      <c r="J526">
        <v>45.861484527999998</v>
      </c>
      <c r="K526">
        <v>1200</v>
      </c>
      <c r="L526">
        <v>0</v>
      </c>
      <c r="M526">
        <v>0</v>
      </c>
      <c r="N526">
        <v>1200</v>
      </c>
    </row>
    <row r="527" spans="1:14" x14ac:dyDescent="0.25">
      <c r="A527">
        <v>385.85033700000002</v>
      </c>
      <c r="B527" s="1">
        <f>DATE(2011,5,21) + TIME(20,24,29)</f>
        <v>40684.850335648145</v>
      </c>
      <c r="C527">
        <v>1386.1129149999999</v>
      </c>
      <c r="D527">
        <v>1370.6910399999999</v>
      </c>
      <c r="E527">
        <v>1322.4476318</v>
      </c>
      <c r="F527">
        <v>1319.3087158000001</v>
      </c>
      <c r="G527">
        <v>80</v>
      </c>
      <c r="H527">
        <v>79.668914795000006</v>
      </c>
      <c r="I527">
        <v>50</v>
      </c>
      <c r="J527">
        <v>45.768817902000002</v>
      </c>
      <c r="K527">
        <v>1200</v>
      </c>
      <c r="L527">
        <v>0</v>
      </c>
      <c r="M527">
        <v>0</v>
      </c>
      <c r="N527">
        <v>1200</v>
      </c>
    </row>
    <row r="528" spans="1:14" x14ac:dyDescent="0.25">
      <c r="A528">
        <v>386.48312600000003</v>
      </c>
      <c r="B528" s="1">
        <f>DATE(2011,5,22) + TIME(11,35,42)</f>
        <v>40685.483124999999</v>
      </c>
      <c r="C528">
        <v>1386.0124512</v>
      </c>
      <c r="D528">
        <v>1370.6058350000001</v>
      </c>
      <c r="E528">
        <v>1322.4306641000001</v>
      </c>
      <c r="F528">
        <v>1319.2869873</v>
      </c>
      <c r="G528">
        <v>80</v>
      </c>
      <c r="H528">
        <v>79.670700073000006</v>
      </c>
      <c r="I528">
        <v>50</v>
      </c>
      <c r="J528">
        <v>45.675640106000003</v>
      </c>
      <c r="K528">
        <v>1200</v>
      </c>
      <c r="L528">
        <v>0</v>
      </c>
      <c r="M528">
        <v>0</v>
      </c>
      <c r="N528">
        <v>1200</v>
      </c>
    </row>
    <row r="529" spans="1:14" x14ac:dyDescent="0.25">
      <c r="A529">
        <v>387.12021399999998</v>
      </c>
      <c r="B529" s="1">
        <f>DATE(2011,5,23) + TIME(2,53,6)</f>
        <v>40686.120208333334</v>
      </c>
      <c r="C529">
        <v>1385.9138184000001</v>
      </c>
      <c r="D529">
        <v>1370.5220947</v>
      </c>
      <c r="E529">
        <v>1322.4133300999999</v>
      </c>
      <c r="F529">
        <v>1319.2647704999999</v>
      </c>
      <c r="G529">
        <v>80</v>
      </c>
      <c r="H529">
        <v>79.672180175999998</v>
      </c>
      <c r="I529">
        <v>50</v>
      </c>
      <c r="J529">
        <v>45.582115172999998</v>
      </c>
      <c r="K529">
        <v>1200</v>
      </c>
      <c r="L529">
        <v>0</v>
      </c>
      <c r="M529">
        <v>0</v>
      </c>
      <c r="N529">
        <v>1200</v>
      </c>
    </row>
    <row r="530" spans="1:14" x14ac:dyDescent="0.25">
      <c r="A530">
        <v>387.76132899999999</v>
      </c>
      <c r="B530" s="1">
        <f>DATE(2011,5,23) + TIME(18,16,18)</f>
        <v>40686.761319444442</v>
      </c>
      <c r="C530">
        <v>1385.8168945</v>
      </c>
      <c r="D530">
        <v>1370.4400635</v>
      </c>
      <c r="E530">
        <v>1322.395874</v>
      </c>
      <c r="F530">
        <v>1319.2423096</v>
      </c>
      <c r="G530">
        <v>80</v>
      </c>
      <c r="H530">
        <v>79.673416137999993</v>
      </c>
      <c r="I530">
        <v>50</v>
      </c>
      <c r="J530">
        <v>45.488323211999997</v>
      </c>
      <c r="K530">
        <v>1200</v>
      </c>
      <c r="L530">
        <v>0</v>
      </c>
      <c r="M530">
        <v>0</v>
      </c>
      <c r="N530">
        <v>1200</v>
      </c>
    </row>
    <row r="531" spans="1:14" x14ac:dyDescent="0.25">
      <c r="A531">
        <v>388.40600000000001</v>
      </c>
      <c r="B531" s="1">
        <f>DATE(2011,5,24) + TIME(9,44,38)</f>
        <v>40687.405995370369</v>
      </c>
      <c r="C531">
        <v>1385.7218018000001</v>
      </c>
      <c r="D531">
        <v>1370.3594971</v>
      </c>
      <c r="E531">
        <v>1322.3780518000001</v>
      </c>
      <c r="F531">
        <v>1319.2194824000001</v>
      </c>
      <c r="G531">
        <v>80</v>
      </c>
      <c r="H531">
        <v>79.674446106000005</v>
      </c>
      <c r="I531">
        <v>50</v>
      </c>
      <c r="J531">
        <v>45.394351958999998</v>
      </c>
      <c r="K531">
        <v>1200</v>
      </c>
      <c r="L531">
        <v>0</v>
      </c>
      <c r="M531">
        <v>0</v>
      </c>
      <c r="N531">
        <v>1200</v>
      </c>
    </row>
    <row r="532" spans="1:14" x14ac:dyDescent="0.25">
      <c r="A532">
        <v>389.05579</v>
      </c>
      <c r="B532" s="1">
        <f>DATE(2011,5,25) + TIME(1,20,20)</f>
        <v>40688.055787037039</v>
      </c>
      <c r="C532">
        <v>1385.628418</v>
      </c>
      <c r="D532">
        <v>1370.2803954999999</v>
      </c>
      <c r="E532">
        <v>1322.3599853999999</v>
      </c>
      <c r="F532">
        <v>1319.1962891000001</v>
      </c>
      <c r="G532">
        <v>80</v>
      </c>
      <c r="H532">
        <v>79.675323485999996</v>
      </c>
      <c r="I532">
        <v>50</v>
      </c>
      <c r="J532">
        <v>45.300052643000001</v>
      </c>
      <c r="K532">
        <v>1200</v>
      </c>
      <c r="L532">
        <v>0</v>
      </c>
      <c r="M532">
        <v>0</v>
      </c>
      <c r="N532">
        <v>1200</v>
      </c>
    </row>
    <row r="533" spans="1:14" x14ac:dyDescent="0.25">
      <c r="A533">
        <v>389.71240599999999</v>
      </c>
      <c r="B533" s="1">
        <f>DATE(2011,5,25) + TIME(17,5,51)</f>
        <v>40688.712395833332</v>
      </c>
      <c r="C533">
        <v>1385.5366211</v>
      </c>
      <c r="D533">
        <v>1370.2026367000001</v>
      </c>
      <c r="E533">
        <v>1322.3416748</v>
      </c>
      <c r="F533">
        <v>1319.1727295000001</v>
      </c>
      <c r="G533">
        <v>80</v>
      </c>
      <c r="H533">
        <v>79.676078795999999</v>
      </c>
      <c r="I533">
        <v>50</v>
      </c>
      <c r="J533">
        <v>45.205234527999998</v>
      </c>
      <c r="K533">
        <v>1200</v>
      </c>
      <c r="L533">
        <v>0</v>
      </c>
      <c r="M533">
        <v>0</v>
      </c>
      <c r="N533">
        <v>1200</v>
      </c>
    </row>
    <row r="534" spans="1:14" x14ac:dyDescent="0.25">
      <c r="A534">
        <v>390.37713200000002</v>
      </c>
      <c r="B534" s="1">
        <f>DATE(2011,5,26) + TIME(9,3,4)</f>
        <v>40689.377129629633</v>
      </c>
      <c r="C534">
        <v>1385.4458007999999</v>
      </c>
      <c r="D534">
        <v>1370.1259766000001</v>
      </c>
      <c r="E534">
        <v>1322.3231201000001</v>
      </c>
      <c r="F534">
        <v>1319.1486815999999</v>
      </c>
      <c r="G534">
        <v>80</v>
      </c>
      <c r="H534">
        <v>79.676727295000006</v>
      </c>
      <c r="I534">
        <v>50</v>
      </c>
      <c r="J534">
        <v>45.109756470000001</v>
      </c>
      <c r="K534">
        <v>1200</v>
      </c>
      <c r="L534">
        <v>0</v>
      </c>
      <c r="M534">
        <v>0</v>
      </c>
      <c r="N534">
        <v>1200</v>
      </c>
    </row>
    <row r="535" spans="1:14" x14ac:dyDescent="0.25">
      <c r="A535">
        <v>391.05152199999998</v>
      </c>
      <c r="B535" s="1">
        <f>DATE(2011,5,27) + TIME(1,14,11)</f>
        <v>40690.051516203705</v>
      </c>
      <c r="C535">
        <v>1385.3560791</v>
      </c>
      <c r="D535">
        <v>1370.0500488</v>
      </c>
      <c r="E535">
        <v>1322.3040771000001</v>
      </c>
      <c r="F535">
        <v>1319.1241454999999</v>
      </c>
      <c r="G535">
        <v>80</v>
      </c>
      <c r="H535">
        <v>79.677299500000004</v>
      </c>
      <c r="I535">
        <v>50</v>
      </c>
      <c r="J535">
        <v>45.013439177999999</v>
      </c>
      <c r="K535">
        <v>1200</v>
      </c>
      <c r="L535">
        <v>0</v>
      </c>
      <c r="M535">
        <v>0</v>
      </c>
      <c r="N535">
        <v>1200</v>
      </c>
    </row>
    <row r="536" spans="1:14" x14ac:dyDescent="0.25">
      <c r="A536">
        <v>391.73718300000002</v>
      </c>
      <c r="B536" s="1">
        <f>DATE(2011,5,27) + TIME(17,41,32)</f>
        <v>40690.737175925926</v>
      </c>
      <c r="C536">
        <v>1385.2669678</v>
      </c>
      <c r="D536">
        <v>1369.9748535000001</v>
      </c>
      <c r="E536">
        <v>1322.284668</v>
      </c>
      <c r="F536">
        <v>1319.098999</v>
      </c>
      <c r="G536">
        <v>80</v>
      </c>
      <c r="H536">
        <v>79.677810668999996</v>
      </c>
      <c r="I536">
        <v>50</v>
      </c>
      <c r="J536">
        <v>44.916103362999998</v>
      </c>
      <c r="K536">
        <v>1200</v>
      </c>
      <c r="L536">
        <v>0</v>
      </c>
      <c r="M536">
        <v>0</v>
      </c>
      <c r="N536">
        <v>1200</v>
      </c>
    </row>
    <row r="537" spans="1:14" x14ac:dyDescent="0.25">
      <c r="A537">
        <v>392.435813</v>
      </c>
      <c r="B537" s="1">
        <f>DATE(2011,5,28) + TIME(10,27,34)</f>
        <v>40691.435810185183</v>
      </c>
      <c r="C537">
        <v>1385.1784668</v>
      </c>
      <c r="D537">
        <v>1369.9001464999999</v>
      </c>
      <c r="E537">
        <v>1322.2647704999999</v>
      </c>
      <c r="F537">
        <v>1319.0733643000001</v>
      </c>
      <c r="G537">
        <v>80</v>
      </c>
      <c r="H537">
        <v>79.678268433</v>
      </c>
      <c r="I537">
        <v>50</v>
      </c>
      <c r="J537">
        <v>44.817539214999996</v>
      </c>
      <c r="K537">
        <v>1200</v>
      </c>
      <c r="L537">
        <v>0</v>
      </c>
      <c r="M537">
        <v>0</v>
      </c>
      <c r="N537">
        <v>1200</v>
      </c>
    </row>
    <row r="538" spans="1:14" x14ac:dyDescent="0.25">
      <c r="A538">
        <v>393.14922999999999</v>
      </c>
      <c r="B538" s="1">
        <f>DATE(2011,5,29) + TIME(3,34,53)</f>
        <v>40692.149224537039</v>
      </c>
      <c r="C538">
        <v>1385.0902100000001</v>
      </c>
      <c r="D538">
        <v>1369.8255615</v>
      </c>
      <c r="E538">
        <v>1322.2445068</v>
      </c>
      <c r="F538">
        <v>1319.0469971</v>
      </c>
      <c r="G538">
        <v>80</v>
      </c>
      <c r="H538">
        <v>79.678680420000006</v>
      </c>
      <c r="I538">
        <v>50</v>
      </c>
      <c r="J538">
        <v>44.717536926000001</v>
      </c>
      <c r="K538">
        <v>1200</v>
      </c>
      <c r="L538">
        <v>0</v>
      </c>
      <c r="M538">
        <v>0</v>
      </c>
      <c r="N538">
        <v>1200</v>
      </c>
    </row>
    <row r="539" spans="1:14" x14ac:dyDescent="0.25">
      <c r="A539">
        <v>393.87939899999998</v>
      </c>
      <c r="B539" s="1">
        <f>DATE(2011,5,29) + TIME(21,6,20)</f>
        <v>40692.87939814815</v>
      </c>
      <c r="C539">
        <v>1385.0019531</v>
      </c>
      <c r="D539">
        <v>1369.7512207</v>
      </c>
      <c r="E539">
        <v>1322.2235106999999</v>
      </c>
      <c r="F539">
        <v>1319.0198975000001</v>
      </c>
      <c r="G539">
        <v>80</v>
      </c>
      <c r="H539">
        <v>79.679069518999995</v>
      </c>
      <c r="I539">
        <v>50</v>
      </c>
      <c r="J539">
        <v>44.615859985</v>
      </c>
      <c r="K539">
        <v>1200</v>
      </c>
      <c r="L539">
        <v>0</v>
      </c>
      <c r="M539">
        <v>0</v>
      </c>
      <c r="N539">
        <v>1200</v>
      </c>
    </row>
    <row r="540" spans="1:14" x14ac:dyDescent="0.25">
      <c r="A540">
        <v>394.62846999999999</v>
      </c>
      <c r="B540" s="1">
        <f>DATE(2011,5,30) + TIME(15,4,59)</f>
        <v>40693.628460648149</v>
      </c>
      <c r="C540">
        <v>1384.9136963000001</v>
      </c>
      <c r="D540">
        <v>1369.6767577999999</v>
      </c>
      <c r="E540">
        <v>1322.2020264</v>
      </c>
      <c r="F540">
        <v>1318.9919434000001</v>
      </c>
      <c r="G540">
        <v>80</v>
      </c>
      <c r="H540">
        <v>79.679435729999994</v>
      </c>
      <c r="I540">
        <v>50</v>
      </c>
      <c r="J540">
        <v>44.512260437000002</v>
      </c>
      <c r="K540">
        <v>1200</v>
      </c>
      <c r="L540">
        <v>0</v>
      </c>
      <c r="M540">
        <v>0</v>
      </c>
      <c r="N540">
        <v>1200</v>
      </c>
    </row>
    <row r="541" spans="1:14" x14ac:dyDescent="0.25">
      <c r="A541">
        <v>395.39880299999999</v>
      </c>
      <c r="B541" s="1">
        <f>DATE(2011,5,31) + TIME(9,34,16)</f>
        <v>40694.398796296293</v>
      </c>
      <c r="C541">
        <v>1384.8250731999999</v>
      </c>
      <c r="D541">
        <v>1369.6020507999999</v>
      </c>
      <c r="E541">
        <v>1322.1798096</v>
      </c>
      <c r="F541">
        <v>1318.9630127</v>
      </c>
      <c r="G541">
        <v>80</v>
      </c>
      <c r="H541">
        <v>79.679779053000004</v>
      </c>
      <c r="I541">
        <v>50</v>
      </c>
      <c r="J541">
        <v>44.406452178999999</v>
      </c>
      <c r="K541">
        <v>1200</v>
      </c>
      <c r="L541">
        <v>0</v>
      </c>
      <c r="M541">
        <v>0</v>
      </c>
      <c r="N541">
        <v>1200</v>
      </c>
    </row>
    <row r="542" spans="1:14" x14ac:dyDescent="0.25">
      <c r="A542">
        <v>396</v>
      </c>
      <c r="B542" s="1">
        <f>DATE(2011,6,1) + TIME(0,0,0)</f>
        <v>40695</v>
      </c>
      <c r="C542">
        <v>1384.7354736</v>
      </c>
      <c r="D542">
        <v>1369.5266113</v>
      </c>
      <c r="E542">
        <v>1322.1564940999999</v>
      </c>
      <c r="F542">
        <v>1318.9339600000001</v>
      </c>
      <c r="G542">
        <v>80</v>
      </c>
      <c r="H542">
        <v>79.680015564000001</v>
      </c>
      <c r="I542">
        <v>50</v>
      </c>
      <c r="J542">
        <v>44.320014954000001</v>
      </c>
      <c r="K542">
        <v>1200</v>
      </c>
      <c r="L542">
        <v>0</v>
      </c>
      <c r="M542">
        <v>0</v>
      </c>
      <c r="N542">
        <v>1200</v>
      </c>
    </row>
    <row r="543" spans="1:14" x14ac:dyDescent="0.25">
      <c r="A543">
        <v>396.79422599999998</v>
      </c>
      <c r="B543" s="1">
        <f>DATE(2011,6,1) + TIME(19,3,41)</f>
        <v>40695.794224537036</v>
      </c>
      <c r="C543">
        <v>1384.6674805</v>
      </c>
      <c r="D543">
        <v>1369.4692382999999</v>
      </c>
      <c r="E543">
        <v>1322.1383057</v>
      </c>
      <c r="F543">
        <v>1318.9090576000001</v>
      </c>
      <c r="G543">
        <v>80</v>
      </c>
      <c r="H543">
        <v>79.680343628000003</v>
      </c>
      <c r="I543">
        <v>50</v>
      </c>
      <c r="J543">
        <v>44.212638855000002</v>
      </c>
      <c r="K543">
        <v>1200</v>
      </c>
      <c r="L543">
        <v>0</v>
      </c>
      <c r="M543">
        <v>0</v>
      </c>
      <c r="N543">
        <v>1200</v>
      </c>
    </row>
    <row r="544" spans="1:14" x14ac:dyDescent="0.25">
      <c r="A544">
        <v>397.62340799999998</v>
      </c>
      <c r="B544" s="1">
        <f>DATE(2011,6,2) + TIME(14,57,42)</f>
        <v>40696.623402777775</v>
      </c>
      <c r="C544">
        <v>1384.5791016000001</v>
      </c>
      <c r="D544">
        <v>1369.3948975000001</v>
      </c>
      <c r="E544">
        <v>1322.1143798999999</v>
      </c>
      <c r="F544">
        <v>1318.8779297000001</v>
      </c>
      <c r="G544">
        <v>80</v>
      </c>
      <c r="H544">
        <v>79.680671692000004</v>
      </c>
      <c r="I544">
        <v>50</v>
      </c>
      <c r="J544">
        <v>44.101444244</v>
      </c>
      <c r="K544">
        <v>1200</v>
      </c>
      <c r="L544">
        <v>0</v>
      </c>
      <c r="M544">
        <v>0</v>
      </c>
      <c r="N544">
        <v>1200</v>
      </c>
    </row>
    <row r="545" spans="1:14" x14ac:dyDescent="0.25">
      <c r="A545">
        <v>398.45678400000003</v>
      </c>
      <c r="B545" s="1">
        <f>DATE(2011,6,3) + TIME(10,57,46)</f>
        <v>40697.456782407404</v>
      </c>
      <c r="C545">
        <v>1384.4886475000001</v>
      </c>
      <c r="D545">
        <v>1369.3187256000001</v>
      </c>
      <c r="E545">
        <v>1322.0892334</v>
      </c>
      <c r="F545">
        <v>1318.8453368999999</v>
      </c>
      <c r="G545">
        <v>80</v>
      </c>
      <c r="H545">
        <v>79.680984496999997</v>
      </c>
      <c r="I545">
        <v>50</v>
      </c>
      <c r="J545">
        <v>43.989589690999999</v>
      </c>
      <c r="K545">
        <v>1200</v>
      </c>
      <c r="L545">
        <v>0</v>
      </c>
      <c r="M545">
        <v>0</v>
      </c>
      <c r="N545">
        <v>1200</v>
      </c>
    </row>
    <row r="546" spans="1:14" x14ac:dyDescent="0.25">
      <c r="A546">
        <v>399.29634800000002</v>
      </c>
      <c r="B546" s="1">
        <f>DATE(2011,6,4) + TIME(7,6,44)</f>
        <v>40698.296342592592</v>
      </c>
      <c r="C546">
        <v>1384.3996582</v>
      </c>
      <c r="D546">
        <v>1369.2438964999999</v>
      </c>
      <c r="E546">
        <v>1322.0637207</v>
      </c>
      <c r="F546">
        <v>1318.8122559000001</v>
      </c>
      <c r="G546">
        <v>80</v>
      </c>
      <c r="H546">
        <v>79.681289672999995</v>
      </c>
      <c r="I546">
        <v>50</v>
      </c>
      <c r="J546">
        <v>43.876983643000003</v>
      </c>
      <c r="K546">
        <v>1200</v>
      </c>
      <c r="L546">
        <v>0</v>
      </c>
      <c r="M546">
        <v>0</v>
      </c>
      <c r="N546">
        <v>1200</v>
      </c>
    </row>
    <row r="547" spans="1:14" x14ac:dyDescent="0.25">
      <c r="A547">
        <v>400.14402100000001</v>
      </c>
      <c r="B547" s="1">
        <f>DATE(2011,6,5) + TIME(3,27,23)</f>
        <v>40699.144016203703</v>
      </c>
      <c r="C547">
        <v>1384.3118896000001</v>
      </c>
      <c r="D547">
        <v>1369.1701660000001</v>
      </c>
      <c r="E547">
        <v>1322.0378418</v>
      </c>
      <c r="F547">
        <v>1318.7785644999999</v>
      </c>
      <c r="G547">
        <v>80</v>
      </c>
      <c r="H547">
        <v>79.681587218999994</v>
      </c>
      <c r="I547">
        <v>50</v>
      </c>
      <c r="J547">
        <v>43.763504028</v>
      </c>
      <c r="K547">
        <v>1200</v>
      </c>
      <c r="L547">
        <v>0</v>
      </c>
      <c r="M547">
        <v>0</v>
      </c>
      <c r="N547">
        <v>1200</v>
      </c>
    </row>
    <row r="548" spans="1:14" x14ac:dyDescent="0.25">
      <c r="A548">
        <v>401.00184899999999</v>
      </c>
      <c r="B548" s="1">
        <f>DATE(2011,6,6) + TIME(0,2,39)</f>
        <v>40700.001840277779</v>
      </c>
      <c r="C548">
        <v>1384.2250977000001</v>
      </c>
      <c r="D548">
        <v>1369.097168</v>
      </c>
      <c r="E548">
        <v>1322.0114745999999</v>
      </c>
      <c r="F548">
        <v>1318.7441406</v>
      </c>
      <c r="G548">
        <v>80</v>
      </c>
      <c r="H548">
        <v>79.681884765999996</v>
      </c>
      <c r="I548">
        <v>50</v>
      </c>
      <c r="J548">
        <v>43.648990630999997</v>
      </c>
      <c r="K548">
        <v>1200</v>
      </c>
      <c r="L548">
        <v>0</v>
      </c>
      <c r="M548">
        <v>0</v>
      </c>
      <c r="N548">
        <v>1200</v>
      </c>
    </row>
    <row r="549" spans="1:14" x14ac:dyDescent="0.25">
      <c r="A549">
        <v>401.866559</v>
      </c>
      <c r="B549" s="1">
        <f>DATE(2011,6,6) + TIME(20,47,50)</f>
        <v>40700.866550925923</v>
      </c>
      <c r="C549">
        <v>1384.1390381000001</v>
      </c>
      <c r="D549">
        <v>1369.0249022999999</v>
      </c>
      <c r="E549">
        <v>1321.9846190999999</v>
      </c>
      <c r="F549">
        <v>1318.7092285000001</v>
      </c>
      <c r="G549">
        <v>80</v>
      </c>
      <c r="H549">
        <v>79.682174683</v>
      </c>
      <c r="I549">
        <v>50</v>
      </c>
      <c r="J549">
        <v>43.533805846999996</v>
      </c>
      <c r="K549">
        <v>1200</v>
      </c>
      <c r="L549">
        <v>0</v>
      </c>
      <c r="M549">
        <v>0</v>
      </c>
      <c r="N549">
        <v>1200</v>
      </c>
    </row>
    <row r="550" spans="1:14" x14ac:dyDescent="0.25">
      <c r="A550">
        <v>402.74028700000002</v>
      </c>
      <c r="B550" s="1">
        <f>DATE(2011,6,7) + TIME(17,46,0)</f>
        <v>40701.740277777775</v>
      </c>
      <c r="C550">
        <v>1384.0541992000001</v>
      </c>
      <c r="D550">
        <v>1368.9534911999999</v>
      </c>
      <c r="E550">
        <v>1321.9573975000001</v>
      </c>
      <c r="F550">
        <v>1318.6737060999999</v>
      </c>
      <c r="G550">
        <v>80</v>
      </c>
      <c r="H550">
        <v>79.682472228999998</v>
      </c>
      <c r="I550">
        <v>50</v>
      </c>
      <c r="J550">
        <v>43.417770386000001</v>
      </c>
      <c r="K550">
        <v>1200</v>
      </c>
      <c r="L550">
        <v>0</v>
      </c>
      <c r="M550">
        <v>0</v>
      </c>
      <c r="N550">
        <v>1200</v>
      </c>
    </row>
    <row r="551" spans="1:14" x14ac:dyDescent="0.25">
      <c r="A551">
        <v>403.62479999999999</v>
      </c>
      <c r="B551" s="1">
        <f>DATE(2011,6,8) + TIME(14,59,42)</f>
        <v>40702.624791666669</v>
      </c>
      <c r="C551">
        <v>1383.9699707</v>
      </c>
      <c r="D551">
        <v>1368.8828125</v>
      </c>
      <c r="E551">
        <v>1321.9298096</v>
      </c>
      <c r="F551">
        <v>1318.6375731999999</v>
      </c>
      <c r="G551">
        <v>80</v>
      </c>
      <c r="H551">
        <v>79.682769774999997</v>
      </c>
      <c r="I551">
        <v>50</v>
      </c>
      <c r="J551">
        <v>43.300712584999999</v>
      </c>
      <c r="K551">
        <v>1200</v>
      </c>
      <c r="L551">
        <v>0</v>
      </c>
      <c r="M551">
        <v>0</v>
      </c>
      <c r="N551">
        <v>1200</v>
      </c>
    </row>
    <row r="552" spans="1:14" x14ac:dyDescent="0.25">
      <c r="A552">
        <v>404.52217999999999</v>
      </c>
      <c r="B552" s="1">
        <f>DATE(2011,6,9) + TIME(12,31,56)</f>
        <v>40703.522175925929</v>
      </c>
      <c r="C552">
        <v>1383.8865966999999</v>
      </c>
      <c r="D552">
        <v>1368.8126221</v>
      </c>
      <c r="E552">
        <v>1321.9016113</v>
      </c>
      <c r="F552">
        <v>1318.6007079999999</v>
      </c>
      <c r="G552">
        <v>80</v>
      </c>
      <c r="H552">
        <v>79.683074950999995</v>
      </c>
      <c r="I552">
        <v>50</v>
      </c>
      <c r="J552">
        <v>43.182422637999998</v>
      </c>
      <c r="K552">
        <v>1200</v>
      </c>
      <c r="L552">
        <v>0</v>
      </c>
      <c r="M552">
        <v>0</v>
      </c>
      <c r="N552">
        <v>1200</v>
      </c>
    </row>
    <row r="553" spans="1:14" x14ac:dyDescent="0.25">
      <c r="A553">
        <v>405.43460299999998</v>
      </c>
      <c r="B553" s="1">
        <f>DATE(2011,6,10) + TIME(10,25,49)</f>
        <v>40704.434594907405</v>
      </c>
      <c r="C553">
        <v>1383.8034668</v>
      </c>
      <c r="D553">
        <v>1368.7427978999999</v>
      </c>
      <c r="E553">
        <v>1321.8729248</v>
      </c>
      <c r="F553">
        <v>1318.5629882999999</v>
      </c>
      <c r="G553">
        <v>80</v>
      </c>
      <c r="H553">
        <v>79.683387756000002</v>
      </c>
      <c r="I553">
        <v>50</v>
      </c>
      <c r="J553">
        <v>43.062671661000003</v>
      </c>
      <c r="K553">
        <v>1200</v>
      </c>
      <c r="L553">
        <v>0</v>
      </c>
      <c r="M553">
        <v>0</v>
      </c>
      <c r="N553">
        <v>1200</v>
      </c>
    </row>
    <row r="554" spans="1:14" x14ac:dyDescent="0.25">
      <c r="A554">
        <v>406.36437799999999</v>
      </c>
      <c r="B554" s="1">
        <f>DATE(2011,6,11) + TIME(8,44,42)</f>
        <v>40705.364374999997</v>
      </c>
      <c r="C554">
        <v>1383.7207031</v>
      </c>
      <c r="D554">
        <v>1368.6733397999999</v>
      </c>
      <c r="E554">
        <v>1321.8435059000001</v>
      </c>
      <c r="F554">
        <v>1318.5245361</v>
      </c>
      <c r="G554">
        <v>80</v>
      </c>
      <c r="H554">
        <v>79.683700561999999</v>
      </c>
      <c r="I554">
        <v>50</v>
      </c>
      <c r="J554">
        <v>42.941204071000001</v>
      </c>
      <c r="K554">
        <v>1200</v>
      </c>
      <c r="L554">
        <v>0</v>
      </c>
      <c r="M554">
        <v>0</v>
      </c>
      <c r="N554">
        <v>1200</v>
      </c>
    </row>
    <row r="555" spans="1:14" x14ac:dyDescent="0.25">
      <c r="A555">
        <v>407.31398899999999</v>
      </c>
      <c r="B555" s="1">
        <f>DATE(2011,6,12) + TIME(7,32,8)</f>
        <v>40706.313981481479</v>
      </c>
      <c r="C555">
        <v>1383.6379394999999</v>
      </c>
      <c r="D555">
        <v>1368.6037598</v>
      </c>
      <c r="E555">
        <v>1321.8134766000001</v>
      </c>
      <c r="F555">
        <v>1318.4849853999999</v>
      </c>
      <c r="G555">
        <v>80</v>
      </c>
      <c r="H555">
        <v>79.684020996000001</v>
      </c>
      <c r="I555">
        <v>50</v>
      </c>
      <c r="J555">
        <v>42.817741394000002</v>
      </c>
      <c r="K555">
        <v>1200</v>
      </c>
      <c r="L555">
        <v>0</v>
      </c>
      <c r="M555">
        <v>0</v>
      </c>
      <c r="N555">
        <v>1200</v>
      </c>
    </row>
    <row r="556" spans="1:14" x14ac:dyDescent="0.25">
      <c r="A556">
        <v>408.28611699999999</v>
      </c>
      <c r="B556" s="1">
        <f>DATE(2011,6,13) + TIME(6,52,0)</f>
        <v>40707.286111111112</v>
      </c>
      <c r="C556">
        <v>1383.5550536999999</v>
      </c>
      <c r="D556">
        <v>1368.5341797000001</v>
      </c>
      <c r="E556">
        <v>1321.7825928</v>
      </c>
      <c r="F556">
        <v>1318.4444579999999</v>
      </c>
      <c r="G556">
        <v>80</v>
      </c>
      <c r="H556">
        <v>79.684356688999998</v>
      </c>
      <c r="I556">
        <v>50</v>
      </c>
      <c r="J556">
        <v>42.691974639999998</v>
      </c>
      <c r="K556">
        <v>1200</v>
      </c>
      <c r="L556">
        <v>0</v>
      </c>
      <c r="M556">
        <v>0</v>
      </c>
      <c r="N556">
        <v>1200</v>
      </c>
    </row>
    <row r="557" spans="1:14" x14ac:dyDescent="0.25">
      <c r="A557">
        <v>409.28370999999999</v>
      </c>
      <c r="B557" s="1">
        <f>DATE(2011,6,14) + TIME(6,48,32)</f>
        <v>40708.283703703702</v>
      </c>
      <c r="C557">
        <v>1383.4719238</v>
      </c>
      <c r="D557">
        <v>1368.4643555</v>
      </c>
      <c r="E557">
        <v>1321.7508545000001</v>
      </c>
      <c r="F557">
        <v>1318.4025879000001</v>
      </c>
      <c r="G557">
        <v>80</v>
      </c>
      <c r="H557">
        <v>79.684700011999993</v>
      </c>
      <c r="I557">
        <v>50</v>
      </c>
      <c r="J557">
        <v>42.563579558999997</v>
      </c>
      <c r="K557">
        <v>1200</v>
      </c>
      <c r="L557">
        <v>0</v>
      </c>
      <c r="M557">
        <v>0</v>
      </c>
      <c r="N557">
        <v>1200</v>
      </c>
    </row>
    <row r="558" spans="1:14" x14ac:dyDescent="0.25">
      <c r="A558">
        <v>410.31007499999998</v>
      </c>
      <c r="B558" s="1">
        <f>DATE(2011,6,15) + TIME(7,26,30)</f>
        <v>40709.310069444444</v>
      </c>
      <c r="C558">
        <v>1383.3881836</v>
      </c>
      <c r="D558">
        <v>1368.3939209</v>
      </c>
      <c r="E558">
        <v>1321.7181396000001</v>
      </c>
      <c r="F558">
        <v>1318.3594971</v>
      </c>
      <c r="G558">
        <v>80</v>
      </c>
      <c r="H558">
        <v>79.685058593999997</v>
      </c>
      <c r="I558">
        <v>50</v>
      </c>
      <c r="J558">
        <v>42.432170868</v>
      </c>
      <c r="K558">
        <v>1200</v>
      </c>
      <c r="L558">
        <v>0</v>
      </c>
      <c r="M558">
        <v>0</v>
      </c>
      <c r="N558">
        <v>1200</v>
      </c>
    </row>
    <row r="559" spans="1:14" x14ac:dyDescent="0.25">
      <c r="A559">
        <v>411.36897800000003</v>
      </c>
      <c r="B559" s="1">
        <f>DATE(2011,6,16) + TIME(8,51,19)</f>
        <v>40710.368969907409</v>
      </c>
      <c r="C559">
        <v>1383.3037108999999</v>
      </c>
      <c r="D559">
        <v>1368.3229980000001</v>
      </c>
      <c r="E559">
        <v>1321.6843262</v>
      </c>
      <c r="F559">
        <v>1318.3149414</v>
      </c>
      <c r="G559">
        <v>80</v>
      </c>
      <c r="H559">
        <v>79.685432434000006</v>
      </c>
      <c r="I559">
        <v>50</v>
      </c>
      <c r="J559">
        <v>42.297336577999999</v>
      </c>
      <c r="K559">
        <v>1200</v>
      </c>
      <c r="L559">
        <v>0</v>
      </c>
      <c r="M559">
        <v>0</v>
      </c>
      <c r="N559">
        <v>1200</v>
      </c>
    </row>
    <row r="560" spans="1:14" x14ac:dyDescent="0.25">
      <c r="A560">
        <v>412.439165</v>
      </c>
      <c r="B560" s="1">
        <f>DATE(2011,6,17) + TIME(10,32,23)</f>
        <v>40711.439155092594</v>
      </c>
      <c r="C560">
        <v>1383.2181396000001</v>
      </c>
      <c r="D560">
        <v>1368.2512207</v>
      </c>
      <c r="E560">
        <v>1321.6492920000001</v>
      </c>
      <c r="F560">
        <v>1318.2687988</v>
      </c>
      <c r="G560">
        <v>80</v>
      </c>
      <c r="H560">
        <v>79.685806274000001</v>
      </c>
      <c r="I560">
        <v>50</v>
      </c>
      <c r="J560">
        <v>42.160964966000002</v>
      </c>
      <c r="K560">
        <v>1200</v>
      </c>
      <c r="L560">
        <v>0</v>
      </c>
      <c r="M560">
        <v>0</v>
      </c>
      <c r="N560">
        <v>1200</v>
      </c>
    </row>
    <row r="561" spans="1:14" x14ac:dyDescent="0.25">
      <c r="A561">
        <v>413.51589999999999</v>
      </c>
      <c r="B561" s="1">
        <f>DATE(2011,6,18) + TIME(12,22,53)</f>
        <v>40712.5158912037</v>
      </c>
      <c r="C561">
        <v>1383.1334228999999</v>
      </c>
      <c r="D561">
        <v>1368.1799315999999</v>
      </c>
      <c r="E561">
        <v>1321.6136475000001</v>
      </c>
      <c r="F561">
        <v>1318.2218018000001</v>
      </c>
      <c r="G561">
        <v>80</v>
      </c>
      <c r="H561">
        <v>79.686180114999999</v>
      </c>
      <c r="I561">
        <v>50</v>
      </c>
      <c r="J561">
        <v>42.023612976000003</v>
      </c>
      <c r="K561">
        <v>1200</v>
      </c>
      <c r="L561">
        <v>0</v>
      </c>
      <c r="M561">
        <v>0</v>
      </c>
      <c r="N561">
        <v>1200</v>
      </c>
    </row>
    <row r="562" spans="1:14" x14ac:dyDescent="0.25">
      <c r="A562">
        <v>414.60151500000001</v>
      </c>
      <c r="B562" s="1">
        <f>DATE(2011,6,19) + TIME(14,26,10)</f>
        <v>40713.601504629631</v>
      </c>
      <c r="C562">
        <v>1383.0498047000001</v>
      </c>
      <c r="D562">
        <v>1368.1097411999999</v>
      </c>
      <c r="E562">
        <v>1321.5776367000001</v>
      </c>
      <c r="F562">
        <v>1318.1741943</v>
      </c>
      <c r="G562">
        <v>80</v>
      </c>
      <c r="H562">
        <v>79.686569214000002</v>
      </c>
      <c r="I562">
        <v>50</v>
      </c>
      <c r="J562">
        <v>41.885185241999999</v>
      </c>
      <c r="K562">
        <v>1200</v>
      </c>
      <c r="L562">
        <v>0</v>
      </c>
      <c r="M562">
        <v>0</v>
      </c>
      <c r="N562">
        <v>1200</v>
      </c>
    </row>
    <row r="563" spans="1:14" x14ac:dyDescent="0.25">
      <c r="A563">
        <v>415.69849299999998</v>
      </c>
      <c r="B563" s="1">
        <f>DATE(2011,6,20) + TIME(16,45,49)</f>
        <v>40714.698483796295</v>
      </c>
      <c r="C563">
        <v>1382.9671631000001</v>
      </c>
      <c r="D563">
        <v>1368.0402832</v>
      </c>
      <c r="E563">
        <v>1321.5410156</v>
      </c>
      <c r="F563">
        <v>1318.1258545000001</v>
      </c>
      <c r="G563">
        <v>80</v>
      </c>
      <c r="H563">
        <v>79.686950683999996</v>
      </c>
      <c r="I563">
        <v>50</v>
      </c>
      <c r="J563">
        <v>41.745521545000003</v>
      </c>
      <c r="K563">
        <v>1200</v>
      </c>
      <c r="L563">
        <v>0</v>
      </c>
      <c r="M563">
        <v>0</v>
      </c>
      <c r="N563">
        <v>1200</v>
      </c>
    </row>
    <row r="564" spans="1:14" x14ac:dyDescent="0.25">
      <c r="A564">
        <v>416.80946699999998</v>
      </c>
      <c r="B564" s="1">
        <f>DATE(2011,6,21) + TIME(19,25,37)</f>
        <v>40715.80945601852</v>
      </c>
      <c r="C564">
        <v>1382.8851318</v>
      </c>
      <c r="D564">
        <v>1367.9713135</v>
      </c>
      <c r="E564">
        <v>1321.5039062000001</v>
      </c>
      <c r="F564">
        <v>1318.0766602000001</v>
      </c>
      <c r="G564">
        <v>80</v>
      </c>
      <c r="H564">
        <v>79.687347411999994</v>
      </c>
      <c r="I564">
        <v>50</v>
      </c>
      <c r="J564">
        <v>41.604400634999998</v>
      </c>
      <c r="K564">
        <v>1200</v>
      </c>
      <c r="L564">
        <v>0</v>
      </c>
      <c r="M564">
        <v>0</v>
      </c>
      <c r="N564">
        <v>1200</v>
      </c>
    </row>
    <row r="565" spans="1:14" x14ac:dyDescent="0.25">
      <c r="A565">
        <v>417.93716000000001</v>
      </c>
      <c r="B565" s="1">
        <f>DATE(2011,6,22) + TIME(22,29,30)</f>
        <v>40716.937152777777</v>
      </c>
      <c r="C565">
        <v>1382.8035889</v>
      </c>
      <c r="D565">
        <v>1367.902832</v>
      </c>
      <c r="E565">
        <v>1321.4661865</v>
      </c>
      <c r="F565">
        <v>1318.0266113</v>
      </c>
      <c r="G565">
        <v>80</v>
      </c>
      <c r="H565">
        <v>79.687751770000006</v>
      </c>
      <c r="I565">
        <v>50</v>
      </c>
      <c r="J565">
        <v>41.461566925</v>
      </c>
      <c r="K565">
        <v>1200</v>
      </c>
      <c r="L565">
        <v>0</v>
      </c>
      <c r="M565">
        <v>0</v>
      </c>
      <c r="N565">
        <v>1200</v>
      </c>
    </row>
    <row r="566" spans="1:14" x14ac:dyDescent="0.25">
      <c r="A566">
        <v>419.08442100000002</v>
      </c>
      <c r="B566" s="1">
        <f>DATE(2011,6,24) + TIME(2,1,34)</f>
        <v>40718.084421296298</v>
      </c>
      <c r="C566">
        <v>1382.7224120999999</v>
      </c>
      <c r="D566">
        <v>1367.8344727000001</v>
      </c>
      <c r="E566">
        <v>1321.4277344</v>
      </c>
      <c r="F566">
        <v>1317.9754639</v>
      </c>
      <c r="G566">
        <v>80</v>
      </c>
      <c r="H566">
        <v>79.688163756999998</v>
      </c>
      <c r="I566">
        <v>50</v>
      </c>
      <c r="J566">
        <v>41.316734314000001</v>
      </c>
      <c r="K566">
        <v>1200</v>
      </c>
      <c r="L566">
        <v>0</v>
      </c>
      <c r="M566">
        <v>0</v>
      </c>
      <c r="N566">
        <v>1200</v>
      </c>
    </row>
    <row r="567" spans="1:14" x14ac:dyDescent="0.25">
      <c r="A567">
        <v>420.24736899999999</v>
      </c>
      <c r="B567" s="1">
        <f>DATE(2011,6,25) + TIME(5,56,12)</f>
        <v>40719.247361111113</v>
      </c>
      <c r="C567">
        <v>1382.6413574000001</v>
      </c>
      <c r="D567">
        <v>1367.7663574000001</v>
      </c>
      <c r="E567">
        <v>1321.3885498</v>
      </c>
      <c r="F567">
        <v>1317.9233397999999</v>
      </c>
      <c r="G567">
        <v>80</v>
      </c>
      <c r="H567">
        <v>79.688583374000004</v>
      </c>
      <c r="I567">
        <v>50</v>
      </c>
      <c r="J567">
        <v>41.170207976999997</v>
      </c>
      <c r="K567">
        <v>1200</v>
      </c>
      <c r="L567">
        <v>0</v>
      </c>
      <c r="M567">
        <v>0</v>
      </c>
      <c r="N567">
        <v>1200</v>
      </c>
    </row>
    <row r="568" spans="1:14" x14ac:dyDescent="0.25">
      <c r="A568">
        <v>421.42768799999999</v>
      </c>
      <c r="B568" s="1">
        <f>DATE(2011,6,26) + TIME(10,15,52)</f>
        <v>40720.427685185183</v>
      </c>
      <c r="C568">
        <v>1382.5606689000001</v>
      </c>
      <c r="D568">
        <v>1367.6984863</v>
      </c>
      <c r="E568">
        <v>1321.3486327999999</v>
      </c>
      <c r="F568">
        <v>1317.8701172000001</v>
      </c>
      <c r="G568">
        <v>80</v>
      </c>
      <c r="H568">
        <v>79.689018250000004</v>
      </c>
      <c r="I568">
        <v>50</v>
      </c>
      <c r="J568">
        <v>41.021831511999999</v>
      </c>
      <c r="K568">
        <v>1200</v>
      </c>
      <c r="L568">
        <v>0</v>
      </c>
      <c r="M568">
        <v>0</v>
      </c>
      <c r="N568">
        <v>1200</v>
      </c>
    </row>
    <row r="569" spans="1:14" x14ac:dyDescent="0.25">
      <c r="A569">
        <v>422.62833999999998</v>
      </c>
      <c r="B569" s="1">
        <f>DATE(2011,6,27) + TIME(15,4,48)</f>
        <v>40721.628333333334</v>
      </c>
      <c r="C569">
        <v>1382.4802245999999</v>
      </c>
      <c r="D569">
        <v>1367.6307373</v>
      </c>
      <c r="E569">
        <v>1321.3079834</v>
      </c>
      <c r="F569">
        <v>1317.815918</v>
      </c>
      <c r="G569">
        <v>80</v>
      </c>
      <c r="H569">
        <v>79.689453125</v>
      </c>
      <c r="I569">
        <v>50</v>
      </c>
      <c r="J569">
        <v>40.871326447000001</v>
      </c>
      <c r="K569">
        <v>1200</v>
      </c>
      <c r="L569">
        <v>0</v>
      </c>
      <c r="M569">
        <v>0</v>
      </c>
      <c r="N569">
        <v>1200</v>
      </c>
    </row>
    <row r="570" spans="1:14" x14ac:dyDescent="0.25">
      <c r="A570">
        <v>423.85246000000001</v>
      </c>
      <c r="B570" s="1">
        <f>DATE(2011,6,28) + TIME(20,27,32)</f>
        <v>40722.852453703701</v>
      </c>
      <c r="C570">
        <v>1382.3999022999999</v>
      </c>
      <c r="D570">
        <v>1367.5631103999999</v>
      </c>
      <c r="E570">
        <v>1321.2664795000001</v>
      </c>
      <c r="F570">
        <v>1317.7604980000001</v>
      </c>
      <c r="G570">
        <v>80</v>
      </c>
      <c r="H570">
        <v>79.689903259000005</v>
      </c>
      <c r="I570">
        <v>50</v>
      </c>
      <c r="J570">
        <v>40.718372344999999</v>
      </c>
      <c r="K570">
        <v>1200</v>
      </c>
      <c r="L570">
        <v>0</v>
      </c>
      <c r="M570">
        <v>0</v>
      </c>
      <c r="N570">
        <v>1200</v>
      </c>
    </row>
    <row r="571" spans="1:14" x14ac:dyDescent="0.25">
      <c r="A571">
        <v>425.10342700000001</v>
      </c>
      <c r="B571" s="1">
        <f>DATE(2011,6,30) + TIME(2,28,56)</f>
        <v>40724.103425925925</v>
      </c>
      <c r="C571">
        <v>1382.3194579999999</v>
      </c>
      <c r="D571">
        <v>1367.4953613</v>
      </c>
      <c r="E571">
        <v>1321.223999</v>
      </c>
      <c r="F571">
        <v>1317.7038574000001</v>
      </c>
      <c r="G571">
        <v>80</v>
      </c>
      <c r="H571">
        <v>79.690361022999994</v>
      </c>
      <c r="I571">
        <v>50</v>
      </c>
      <c r="J571">
        <v>40.562622070000003</v>
      </c>
      <c r="K571">
        <v>1200</v>
      </c>
      <c r="L571">
        <v>0</v>
      </c>
      <c r="M571">
        <v>0</v>
      </c>
      <c r="N571">
        <v>1200</v>
      </c>
    </row>
    <row r="572" spans="1:14" x14ac:dyDescent="0.25">
      <c r="A572">
        <v>426</v>
      </c>
      <c r="B572" s="1">
        <f>DATE(2011,7,1) + TIME(0,0,0)</f>
        <v>40725</v>
      </c>
      <c r="C572">
        <v>1382.2381591999999</v>
      </c>
      <c r="D572">
        <v>1367.4268798999999</v>
      </c>
      <c r="E572">
        <v>1321.1805420000001</v>
      </c>
      <c r="F572">
        <v>1317.6479492000001</v>
      </c>
      <c r="G572">
        <v>80</v>
      </c>
      <c r="H572">
        <v>79.690666199000006</v>
      </c>
      <c r="I572">
        <v>50</v>
      </c>
      <c r="J572">
        <v>40.440227509000003</v>
      </c>
      <c r="K572">
        <v>1200</v>
      </c>
      <c r="L572">
        <v>0</v>
      </c>
      <c r="M572">
        <v>0</v>
      </c>
      <c r="N572">
        <v>1200</v>
      </c>
    </row>
    <row r="573" spans="1:14" x14ac:dyDescent="0.25">
      <c r="A573">
        <v>427.27877599999999</v>
      </c>
      <c r="B573" s="1">
        <f>DATE(2011,7,2) + TIME(6,41,26)</f>
        <v>40726.278773148151</v>
      </c>
      <c r="C573">
        <v>1382.1816406</v>
      </c>
      <c r="D573">
        <v>1367.3792725000001</v>
      </c>
      <c r="E573">
        <v>1321.1483154</v>
      </c>
      <c r="F573">
        <v>1317.6020507999999</v>
      </c>
      <c r="G573">
        <v>80</v>
      </c>
      <c r="H573">
        <v>79.691146850999999</v>
      </c>
      <c r="I573">
        <v>50</v>
      </c>
      <c r="J573">
        <v>40.284423828000001</v>
      </c>
      <c r="K573">
        <v>1200</v>
      </c>
      <c r="L573">
        <v>0</v>
      </c>
      <c r="M573">
        <v>0</v>
      </c>
      <c r="N573">
        <v>1200</v>
      </c>
    </row>
    <row r="574" spans="1:14" x14ac:dyDescent="0.25">
      <c r="A574">
        <v>428.575199</v>
      </c>
      <c r="B574" s="1">
        <f>DATE(2011,7,3) + TIME(13,48,17)</f>
        <v>40727.575196759259</v>
      </c>
      <c r="C574">
        <v>1382.1016846</v>
      </c>
      <c r="D574">
        <v>1367.3118896000001</v>
      </c>
      <c r="E574">
        <v>1321.104126</v>
      </c>
      <c r="F574">
        <v>1317.5428466999999</v>
      </c>
      <c r="G574">
        <v>80</v>
      </c>
      <c r="H574">
        <v>79.691635132000002</v>
      </c>
      <c r="I574">
        <v>50</v>
      </c>
      <c r="J574">
        <v>40.125637054000002</v>
      </c>
      <c r="K574">
        <v>1200</v>
      </c>
      <c r="L574">
        <v>0</v>
      </c>
      <c r="M574">
        <v>0</v>
      </c>
      <c r="N574">
        <v>1200</v>
      </c>
    </row>
    <row r="575" spans="1:14" x14ac:dyDescent="0.25">
      <c r="A575">
        <v>429.879074</v>
      </c>
      <c r="B575" s="1">
        <f>DATE(2011,7,4) + TIME(21,5,51)</f>
        <v>40728.879062499997</v>
      </c>
      <c r="C575">
        <v>1382.0219727000001</v>
      </c>
      <c r="D575">
        <v>1367.244751</v>
      </c>
      <c r="E575">
        <v>1321.0588379000001</v>
      </c>
      <c r="F575">
        <v>1317.4822998</v>
      </c>
      <c r="G575">
        <v>80</v>
      </c>
      <c r="H575">
        <v>79.692123413000004</v>
      </c>
      <c r="I575">
        <v>50</v>
      </c>
      <c r="J575">
        <v>39.965049743999998</v>
      </c>
      <c r="K575">
        <v>1200</v>
      </c>
      <c r="L575">
        <v>0</v>
      </c>
      <c r="M575">
        <v>0</v>
      </c>
      <c r="N575">
        <v>1200</v>
      </c>
    </row>
    <row r="576" spans="1:14" x14ac:dyDescent="0.25">
      <c r="A576">
        <v>431.19361900000001</v>
      </c>
      <c r="B576" s="1">
        <f>DATE(2011,7,6) + TIME(4,38,48)</f>
        <v>40730.193611111114</v>
      </c>
      <c r="C576">
        <v>1381.9431152</v>
      </c>
      <c r="D576">
        <v>1367.1782227000001</v>
      </c>
      <c r="E576">
        <v>1321.0131836</v>
      </c>
      <c r="F576">
        <v>1317.4210204999999</v>
      </c>
      <c r="G576">
        <v>80</v>
      </c>
      <c r="H576">
        <v>79.692611693999993</v>
      </c>
      <c r="I576">
        <v>50</v>
      </c>
      <c r="J576">
        <v>39.802772521999998</v>
      </c>
      <c r="K576">
        <v>1200</v>
      </c>
      <c r="L576">
        <v>0</v>
      </c>
      <c r="M576">
        <v>0</v>
      </c>
      <c r="N576">
        <v>1200</v>
      </c>
    </row>
    <row r="577" spans="1:14" x14ac:dyDescent="0.25">
      <c r="A577">
        <v>432.52152799999999</v>
      </c>
      <c r="B577" s="1">
        <f>DATE(2011,7,7) + TIME(12,30,59)</f>
        <v>40731.521516203706</v>
      </c>
      <c r="C577">
        <v>1381.8651123</v>
      </c>
      <c r="D577">
        <v>1367.1123047000001</v>
      </c>
      <c r="E577">
        <v>1320.9670410000001</v>
      </c>
      <c r="F577">
        <v>1317.3588867000001</v>
      </c>
      <c r="G577">
        <v>80</v>
      </c>
      <c r="H577">
        <v>79.693099975999999</v>
      </c>
      <c r="I577">
        <v>50</v>
      </c>
      <c r="J577">
        <v>39.638751984000002</v>
      </c>
      <c r="K577">
        <v>1200</v>
      </c>
      <c r="L577">
        <v>0</v>
      </c>
      <c r="M577">
        <v>0</v>
      </c>
      <c r="N577">
        <v>1200</v>
      </c>
    </row>
    <row r="578" spans="1:14" x14ac:dyDescent="0.25">
      <c r="A578">
        <v>433.86593299999998</v>
      </c>
      <c r="B578" s="1">
        <f>DATE(2011,7,8) + TIME(20,46,56)</f>
        <v>40732.865925925929</v>
      </c>
      <c r="C578">
        <v>1381.7875977000001</v>
      </c>
      <c r="D578">
        <v>1367.046875</v>
      </c>
      <c r="E578">
        <v>1320.9202881000001</v>
      </c>
      <c r="F578">
        <v>1317.2958983999999</v>
      </c>
      <c r="G578">
        <v>80</v>
      </c>
      <c r="H578">
        <v>79.693603515999996</v>
      </c>
      <c r="I578">
        <v>50</v>
      </c>
      <c r="J578">
        <v>39.472831726000003</v>
      </c>
      <c r="K578">
        <v>1200</v>
      </c>
      <c r="L578">
        <v>0</v>
      </c>
      <c r="M578">
        <v>0</v>
      </c>
      <c r="N578">
        <v>1200</v>
      </c>
    </row>
    <row r="579" spans="1:14" x14ac:dyDescent="0.25">
      <c r="A579">
        <v>435.23007899999999</v>
      </c>
      <c r="B579" s="1">
        <f>DATE(2011,7,10) + TIME(5,31,18)</f>
        <v>40734.230069444442</v>
      </c>
      <c r="C579">
        <v>1381.7104492000001</v>
      </c>
      <c r="D579">
        <v>1366.9818115</v>
      </c>
      <c r="E579">
        <v>1320.8728027</v>
      </c>
      <c r="F579">
        <v>1317.2318115</v>
      </c>
      <c r="G579">
        <v>80</v>
      </c>
      <c r="H579">
        <v>79.694107056000007</v>
      </c>
      <c r="I579">
        <v>50</v>
      </c>
      <c r="J579">
        <v>39.304782867</v>
      </c>
      <c r="K579">
        <v>1200</v>
      </c>
      <c r="L579">
        <v>0</v>
      </c>
      <c r="M579">
        <v>0</v>
      </c>
      <c r="N579">
        <v>1200</v>
      </c>
    </row>
    <row r="580" spans="1:14" x14ac:dyDescent="0.25">
      <c r="A580">
        <v>436.617369</v>
      </c>
      <c r="B580" s="1">
        <f>DATE(2011,7,11) + TIME(14,49,0)</f>
        <v>40735.617361111108</v>
      </c>
      <c r="C580">
        <v>1381.6334228999999</v>
      </c>
      <c r="D580">
        <v>1366.9167480000001</v>
      </c>
      <c r="E580">
        <v>1320.8245850000001</v>
      </c>
      <c r="F580">
        <v>1317.166626</v>
      </c>
      <c r="G580">
        <v>80</v>
      </c>
      <c r="H580">
        <v>79.694625853999995</v>
      </c>
      <c r="I580">
        <v>50</v>
      </c>
      <c r="J580">
        <v>39.134323119999998</v>
      </c>
      <c r="K580">
        <v>1200</v>
      </c>
      <c r="L580">
        <v>0</v>
      </c>
      <c r="M580">
        <v>0</v>
      </c>
      <c r="N580">
        <v>1200</v>
      </c>
    </row>
    <row r="581" spans="1:14" x14ac:dyDescent="0.25">
      <c r="A581">
        <v>438.03143699999998</v>
      </c>
      <c r="B581" s="1">
        <f>DATE(2011,7,13) + TIME(0,45,16)</f>
        <v>40737.031435185185</v>
      </c>
      <c r="C581">
        <v>1381.5565185999999</v>
      </c>
      <c r="D581">
        <v>1366.8516846</v>
      </c>
      <c r="E581">
        <v>1320.7755127</v>
      </c>
      <c r="F581">
        <v>1317.1000977000001</v>
      </c>
      <c r="G581">
        <v>80</v>
      </c>
      <c r="H581">
        <v>79.695152282999999</v>
      </c>
      <c r="I581">
        <v>50</v>
      </c>
      <c r="J581">
        <v>38.961105347</v>
      </c>
      <c r="K581">
        <v>1200</v>
      </c>
      <c r="L581">
        <v>0</v>
      </c>
      <c r="M581">
        <v>0</v>
      </c>
      <c r="N581">
        <v>1200</v>
      </c>
    </row>
    <row r="582" spans="1:14" x14ac:dyDescent="0.25">
      <c r="A582">
        <v>439.47618299999999</v>
      </c>
      <c r="B582" s="1">
        <f>DATE(2011,7,14) + TIME(11,25,42)</f>
        <v>40738.476180555554</v>
      </c>
      <c r="C582">
        <v>1381.4793701000001</v>
      </c>
      <c r="D582">
        <v>1366.786499</v>
      </c>
      <c r="E582">
        <v>1320.7254639</v>
      </c>
      <c r="F582">
        <v>1317.0322266000001</v>
      </c>
      <c r="G582">
        <v>80</v>
      </c>
      <c r="H582">
        <v>79.695693969999994</v>
      </c>
      <c r="I582">
        <v>50</v>
      </c>
      <c r="J582">
        <v>38.784751892000003</v>
      </c>
      <c r="K582">
        <v>1200</v>
      </c>
      <c r="L582">
        <v>0</v>
      </c>
      <c r="M582">
        <v>0</v>
      </c>
      <c r="N582">
        <v>1200</v>
      </c>
    </row>
    <row r="583" spans="1:14" x14ac:dyDescent="0.25">
      <c r="A583">
        <v>440.95344499999999</v>
      </c>
      <c r="B583" s="1">
        <f>DATE(2011,7,15) + TIME(22,52,57)</f>
        <v>40739.9534375</v>
      </c>
      <c r="C583">
        <v>1381.4018555</v>
      </c>
      <c r="D583">
        <v>1366.7208252</v>
      </c>
      <c r="E583">
        <v>1320.6743164</v>
      </c>
      <c r="F583">
        <v>1316.9627685999999</v>
      </c>
      <c r="G583">
        <v>80</v>
      </c>
      <c r="H583">
        <v>79.696243285999998</v>
      </c>
      <c r="I583">
        <v>50</v>
      </c>
      <c r="J583">
        <v>38.605022429999998</v>
      </c>
      <c r="K583">
        <v>1200</v>
      </c>
      <c r="L583">
        <v>0</v>
      </c>
      <c r="M583">
        <v>0</v>
      </c>
      <c r="N583">
        <v>1200</v>
      </c>
    </row>
    <row r="584" spans="1:14" x14ac:dyDescent="0.25">
      <c r="A584">
        <v>442.45794599999999</v>
      </c>
      <c r="B584" s="1">
        <f>DATE(2011,7,17) + TIME(10,59,26)</f>
        <v>40741.457939814813</v>
      </c>
      <c r="C584">
        <v>1381.3239745999999</v>
      </c>
      <c r="D584">
        <v>1366.6549072</v>
      </c>
      <c r="E584">
        <v>1320.6220702999999</v>
      </c>
      <c r="F584">
        <v>1316.8916016000001</v>
      </c>
      <c r="G584">
        <v>80</v>
      </c>
      <c r="H584">
        <v>79.696800232000001</v>
      </c>
      <c r="I584">
        <v>50</v>
      </c>
      <c r="J584">
        <v>38.422267914000003</v>
      </c>
      <c r="K584">
        <v>1200</v>
      </c>
      <c r="L584">
        <v>0</v>
      </c>
      <c r="M584">
        <v>0</v>
      </c>
      <c r="N584">
        <v>1200</v>
      </c>
    </row>
    <row r="585" spans="1:14" x14ac:dyDescent="0.25">
      <c r="A585">
        <v>443.98116700000003</v>
      </c>
      <c r="B585" s="1">
        <f>DATE(2011,7,18) + TIME(23,32,52)</f>
        <v>40742.981157407405</v>
      </c>
      <c r="C585">
        <v>1381.2458495999999</v>
      </c>
      <c r="D585">
        <v>1366.5887451000001</v>
      </c>
      <c r="E585">
        <v>1320.5687256000001</v>
      </c>
      <c r="F585">
        <v>1316.8190918</v>
      </c>
      <c r="G585">
        <v>80</v>
      </c>
      <c r="H585">
        <v>79.697372436999999</v>
      </c>
      <c r="I585">
        <v>50</v>
      </c>
      <c r="J585">
        <v>38.237190247000001</v>
      </c>
      <c r="K585">
        <v>1200</v>
      </c>
      <c r="L585">
        <v>0</v>
      </c>
      <c r="M585">
        <v>0</v>
      </c>
      <c r="N585">
        <v>1200</v>
      </c>
    </row>
    <row r="586" spans="1:14" x14ac:dyDescent="0.25">
      <c r="A586">
        <v>445.51569000000001</v>
      </c>
      <c r="B586" s="1">
        <f>DATE(2011,7,20) + TIME(12,22,35)</f>
        <v>40744.515682870369</v>
      </c>
      <c r="C586">
        <v>1381.1682129000001</v>
      </c>
      <c r="D586">
        <v>1366.5228271000001</v>
      </c>
      <c r="E586">
        <v>1320.5147704999999</v>
      </c>
      <c r="F586">
        <v>1316.7456055</v>
      </c>
      <c r="G586">
        <v>80</v>
      </c>
      <c r="H586">
        <v>79.697937011999997</v>
      </c>
      <c r="I586">
        <v>50</v>
      </c>
      <c r="J586">
        <v>38.050529480000002</v>
      </c>
      <c r="K586">
        <v>1200</v>
      </c>
      <c r="L586">
        <v>0</v>
      </c>
      <c r="M586">
        <v>0</v>
      </c>
      <c r="N586">
        <v>1200</v>
      </c>
    </row>
    <row r="587" spans="1:14" x14ac:dyDescent="0.25">
      <c r="A587">
        <v>447.06516800000003</v>
      </c>
      <c r="B587" s="1">
        <f>DATE(2011,7,22) + TIME(1,33,50)</f>
        <v>40746.065162037034</v>
      </c>
      <c r="C587">
        <v>1381.0911865</v>
      </c>
      <c r="D587">
        <v>1366.4575195</v>
      </c>
      <c r="E587">
        <v>1320.4603271000001</v>
      </c>
      <c r="F587">
        <v>1316.6712646000001</v>
      </c>
      <c r="G587">
        <v>80</v>
      </c>
      <c r="H587">
        <v>79.698509216000005</v>
      </c>
      <c r="I587">
        <v>50</v>
      </c>
      <c r="J587">
        <v>37.862216949</v>
      </c>
      <c r="K587">
        <v>1200</v>
      </c>
      <c r="L587">
        <v>0</v>
      </c>
      <c r="M587">
        <v>0</v>
      </c>
      <c r="N587">
        <v>1200</v>
      </c>
    </row>
    <row r="588" spans="1:14" x14ac:dyDescent="0.25">
      <c r="A588">
        <v>448.63330500000001</v>
      </c>
      <c r="B588" s="1">
        <f>DATE(2011,7,23) + TIME(15,11,57)</f>
        <v>40747.633298611108</v>
      </c>
      <c r="C588">
        <v>1381.0146483999999</v>
      </c>
      <c r="D588">
        <v>1366.3925781</v>
      </c>
      <c r="E588">
        <v>1320.4053954999999</v>
      </c>
      <c r="F588">
        <v>1316.5960693</v>
      </c>
      <c r="G588">
        <v>80</v>
      </c>
      <c r="H588">
        <v>79.699089049999998</v>
      </c>
      <c r="I588">
        <v>50</v>
      </c>
      <c r="J588">
        <v>37.672054291000002</v>
      </c>
      <c r="K588">
        <v>1200</v>
      </c>
      <c r="L588">
        <v>0</v>
      </c>
      <c r="M588">
        <v>0</v>
      </c>
      <c r="N588">
        <v>1200</v>
      </c>
    </row>
    <row r="589" spans="1:14" x14ac:dyDescent="0.25">
      <c r="A589">
        <v>450.21646900000002</v>
      </c>
      <c r="B589" s="1">
        <f>DATE(2011,7,25) + TIME(5,11,42)</f>
        <v>40749.216458333336</v>
      </c>
      <c r="C589">
        <v>1380.9384766000001</v>
      </c>
      <c r="D589">
        <v>1366.3278809000001</v>
      </c>
      <c r="E589">
        <v>1320.3498535000001</v>
      </c>
      <c r="F589">
        <v>1316.5198975000001</v>
      </c>
      <c r="G589">
        <v>80</v>
      </c>
      <c r="H589">
        <v>79.699676514000004</v>
      </c>
      <c r="I589">
        <v>50</v>
      </c>
      <c r="J589">
        <v>37.480358123999999</v>
      </c>
      <c r="K589">
        <v>1200</v>
      </c>
      <c r="L589">
        <v>0</v>
      </c>
      <c r="M589">
        <v>0</v>
      </c>
      <c r="N589">
        <v>1200</v>
      </c>
    </row>
    <row r="590" spans="1:14" x14ac:dyDescent="0.25">
      <c r="A590">
        <v>451.81454600000001</v>
      </c>
      <c r="B590" s="1">
        <f>DATE(2011,7,26) + TIME(19,32,56)</f>
        <v>40750.81453703704</v>
      </c>
      <c r="C590">
        <v>1380.8626709</v>
      </c>
      <c r="D590">
        <v>1366.2634277</v>
      </c>
      <c r="E590">
        <v>1320.2938231999999</v>
      </c>
      <c r="F590">
        <v>1316.4429932</v>
      </c>
      <c r="G590">
        <v>80</v>
      </c>
      <c r="H590">
        <v>79.700263977000006</v>
      </c>
      <c r="I590">
        <v>50</v>
      </c>
      <c r="J590">
        <v>37.287208557</v>
      </c>
      <c r="K590">
        <v>1200</v>
      </c>
      <c r="L590">
        <v>0</v>
      </c>
      <c r="M590">
        <v>0</v>
      </c>
      <c r="N590">
        <v>1200</v>
      </c>
    </row>
    <row r="591" spans="1:14" x14ac:dyDescent="0.25">
      <c r="A591">
        <v>453.43069600000001</v>
      </c>
      <c r="B591" s="1">
        <f>DATE(2011,7,28) + TIME(10,20,12)</f>
        <v>40752.430694444447</v>
      </c>
      <c r="C591">
        <v>1380.7874756000001</v>
      </c>
      <c r="D591">
        <v>1366.1994629000001</v>
      </c>
      <c r="E591">
        <v>1320.2373047000001</v>
      </c>
      <c r="F591">
        <v>1316.3652344</v>
      </c>
      <c r="G591">
        <v>80</v>
      </c>
      <c r="H591">
        <v>79.700851439999994</v>
      </c>
      <c r="I591">
        <v>50</v>
      </c>
      <c r="J591">
        <v>37.092437744000001</v>
      </c>
      <c r="K591">
        <v>1200</v>
      </c>
      <c r="L591">
        <v>0</v>
      </c>
      <c r="M591">
        <v>0</v>
      </c>
      <c r="N591">
        <v>1200</v>
      </c>
    </row>
    <row r="592" spans="1:14" x14ac:dyDescent="0.25">
      <c r="A592">
        <v>455.06875000000002</v>
      </c>
      <c r="B592" s="1">
        <f>DATE(2011,7,30) + TIME(1,39,0)</f>
        <v>40754.068749999999</v>
      </c>
      <c r="C592">
        <v>1380.7126464999999</v>
      </c>
      <c r="D592">
        <v>1366.1357422000001</v>
      </c>
      <c r="E592">
        <v>1320.1802978999999</v>
      </c>
      <c r="F592">
        <v>1316.2867432</v>
      </c>
      <c r="G592">
        <v>80</v>
      </c>
      <c r="H592">
        <v>79.701454162999994</v>
      </c>
      <c r="I592">
        <v>50</v>
      </c>
      <c r="J592">
        <v>36.895759583</v>
      </c>
      <c r="K592">
        <v>1200</v>
      </c>
      <c r="L592">
        <v>0</v>
      </c>
      <c r="M592">
        <v>0</v>
      </c>
      <c r="N592">
        <v>1200</v>
      </c>
    </row>
    <row r="593" spans="1:14" x14ac:dyDescent="0.25">
      <c r="A593">
        <v>456.732709</v>
      </c>
      <c r="B593" s="1">
        <f>DATE(2011,7,31) + TIME(17,35,6)</f>
        <v>40755.732708333337</v>
      </c>
      <c r="C593">
        <v>1380.6379394999999</v>
      </c>
      <c r="D593">
        <v>1366.0721435999999</v>
      </c>
      <c r="E593">
        <v>1320.1226807</v>
      </c>
      <c r="F593">
        <v>1316.2070312000001</v>
      </c>
      <c r="G593">
        <v>80</v>
      </c>
      <c r="H593">
        <v>79.702056885000005</v>
      </c>
      <c r="I593">
        <v>50</v>
      </c>
      <c r="J593">
        <v>36.696838378999999</v>
      </c>
      <c r="K593">
        <v>1200</v>
      </c>
      <c r="L593">
        <v>0</v>
      </c>
      <c r="M593">
        <v>0</v>
      </c>
      <c r="N593">
        <v>1200</v>
      </c>
    </row>
    <row r="594" spans="1:14" x14ac:dyDescent="0.25">
      <c r="A594">
        <v>457</v>
      </c>
      <c r="B594" s="1">
        <f>DATE(2011,8,1) + TIME(0,0,0)</f>
        <v>40756</v>
      </c>
      <c r="C594">
        <v>1380.5633545000001</v>
      </c>
      <c r="D594">
        <v>1366.0085449000001</v>
      </c>
      <c r="E594">
        <v>1320.0655518000001</v>
      </c>
      <c r="F594">
        <v>1316.1398925999999</v>
      </c>
      <c r="G594">
        <v>80</v>
      </c>
      <c r="H594">
        <v>79.702133179</v>
      </c>
      <c r="I594">
        <v>50</v>
      </c>
      <c r="J594">
        <v>36.650455475000001</v>
      </c>
      <c r="K594">
        <v>1200</v>
      </c>
      <c r="L594">
        <v>0</v>
      </c>
      <c r="M594">
        <v>0</v>
      </c>
      <c r="N594">
        <v>1200</v>
      </c>
    </row>
    <row r="595" spans="1:14" x14ac:dyDescent="0.25">
      <c r="A595">
        <v>458.69410599999998</v>
      </c>
      <c r="B595" s="1">
        <f>DATE(2011,8,2) + TIME(16,39,30)</f>
        <v>40757.694097222222</v>
      </c>
      <c r="C595">
        <v>1380.5509033000001</v>
      </c>
      <c r="D595">
        <v>1365.9979248</v>
      </c>
      <c r="E595">
        <v>1320.0534668</v>
      </c>
      <c r="F595">
        <v>1316.1107178</v>
      </c>
      <c r="G595">
        <v>80</v>
      </c>
      <c r="H595">
        <v>79.702766417999996</v>
      </c>
      <c r="I595">
        <v>50</v>
      </c>
      <c r="J595">
        <v>36.454269408999998</v>
      </c>
      <c r="K595">
        <v>1200</v>
      </c>
      <c r="L595">
        <v>0</v>
      </c>
      <c r="M595">
        <v>0</v>
      </c>
      <c r="N595">
        <v>1200</v>
      </c>
    </row>
    <row r="596" spans="1:14" x14ac:dyDescent="0.25">
      <c r="A596">
        <v>460.42134399999998</v>
      </c>
      <c r="B596" s="1">
        <f>DATE(2011,8,4) + TIME(10,6,44)</f>
        <v>40759.421342592592</v>
      </c>
      <c r="C596">
        <v>1380.4765625</v>
      </c>
      <c r="D596">
        <v>1365.9344481999999</v>
      </c>
      <c r="E596">
        <v>1319.994751</v>
      </c>
      <c r="F596">
        <v>1316.0296631000001</v>
      </c>
      <c r="G596">
        <v>80</v>
      </c>
      <c r="H596">
        <v>79.703399657999995</v>
      </c>
      <c r="I596">
        <v>50</v>
      </c>
      <c r="J596">
        <v>36.253215789999999</v>
      </c>
      <c r="K596">
        <v>1200</v>
      </c>
      <c r="L596">
        <v>0</v>
      </c>
      <c r="M596">
        <v>0</v>
      </c>
      <c r="N596">
        <v>1200</v>
      </c>
    </row>
    <row r="597" spans="1:14" x14ac:dyDescent="0.25">
      <c r="A597">
        <v>462.164219</v>
      </c>
      <c r="B597" s="1">
        <f>DATE(2011,8,6) + TIME(3,56,28)</f>
        <v>40761.164212962962</v>
      </c>
      <c r="C597">
        <v>1380.4014893000001</v>
      </c>
      <c r="D597">
        <v>1365.8704834</v>
      </c>
      <c r="E597">
        <v>1319.9348144999999</v>
      </c>
      <c r="F597">
        <v>1315.9466553</v>
      </c>
      <c r="G597">
        <v>80</v>
      </c>
      <c r="H597">
        <v>79.704025268999999</v>
      </c>
      <c r="I597">
        <v>50</v>
      </c>
      <c r="J597">
        <v>36.049186706999997</v>
      </c>
      <c r="K597">
        <v>1200</v>
      </c>
      <c r="L597">
        <v>0</v>
      </c>
      <c r="M597">
        <v>0</v>
      </c>
      <c r="N597">
        <v>1200</v>
      </c>
    </row>
    <row r="598" spans="1:14" x14ac:dyDescent="0.25">
      <c r="A598">
        <v>463.91596800000002</v>
      </c>
      <c r="B598" s="1">
        <f>DATE(2011,8,7) + TIME(21,58,59)</f>
        <v>40762.915960648148</v>
      </c>
      <c r="C598">
        <v>1380.3269043</v>
      </c>
      <c r="D598">
        <v>1365.8066406</v>
      </c>
      <c r="E598">
        <v>1319.8743896000001</v>
      </c>
      <c r="F598">
        <v>1315.8626709</v>
      </c>
      <c r="G598">
        <v>80</v>
      </c>
      <c r="H598">
        <v>79.704658507999994</v>
      </c>
      <c r="I598">
        <v>50</v>
      </c>
      <c r="J598">
        <v>35.843410491999997</v>
      </c>
      <c r="K598">
        <v>1200</v>
      </c>
      <c r="L598">
        <v>0</v>
      </c>
      <c r="M598">
        <v>0</v>
      </c>
      <c r="N598">
        <v>1200</v>
      </c>
    </row>
    <row r="599" spans="1:14" x14ac:dyDescent="0.25">
      <c r="A599">
        <v>465.68169599999999</v>
      </c>
      <c r="B599" s="1">
        <f>DATE(2011,8,9) + TIME(16,21,38)</f>
        <v>40764.681689814817</v>
      </c>
      <c r="C599">
        <v>1380.2529297000001</v>
      </c>
      <c r="D599">
        <v>1365.7435303</v>
      </c>
      <c r="E599">
        <v>1319.8135986</v>
      </c>
      <c r="F599">
        <v>1315.7781981999999</v>
      </c>
      <c r="G599">
        <v>80</v>
      </c>
      <c r="H599">
        <v>79.705291747999993</v>
      </c>
      <c r="I599">
        <v>50</v>
      </c>
      <c r="J599">
        <v>35.636112212999997</v>
      </c>
      <c r="K599">
        <v>1200</v>
      </c>
      <c r="L599">
        <v>0</v>
      </c>
      <c r="M599">
        <v>0</v>
      </c>
      <c r="N599">
        <v>1200</v>
      </c>
    </row>
    <row r="600" spans="1:14" x14ac:dyDescent="0.25">
      <c r="A600">
        <v>467.46517699999998</v>
      </c>
      <c r="B600" s="1">
        <f>DATE(2011,8,11) + TIME(11,9,51)</f>
        <v>40766.465173611112</v>
      </c>
      <c r="C600">
        <v>1380.1795654</v>
      </c>
      <c r="D600">
        <v>1365.6806641000001</v>
      </c>
      <c r="E600">
        <v>1319.7525635</v>
      </c>
      <c r="F600">
        <v>1315.6931152</v>
      </c>
      <c r="G600">
        <v>80</v>
      </c>
      <c r="H600">
        <v>79.705932617000002</v>
      </c>
      <c r="I600">
        <v>50</v>
      </c>
      <c r="J600">
        <v>35.427322388</v>
      </c>
      <c r="K600">
        <v>1200</v>
      </c>
      <c r="L600">
        <v>0</v>
      </c>
      <c r="M600">
        <v>0</v>
      </c>
      <c r="N600">
        <v>1200</v>
      </c>
    </row>
    <row r="601" spans="1:14" x14ac:dyDescent="0.25">
      <c r="A601">
        <v>469.27054600000002</v>
      </c>
      <c r="B601" s="1">
        <f>DATE(2011,8,13) + TIME(6,29,35)</f>
        <v>40768.270543981482</v>
      </c>
      <c r="C601">
        <v>1380.1065673999999</v>
      </c>
      <c r="D601">
        <v>1365.6181641000001</v>
      </c>
      <c r="E601">
        <v>1319.6911620999999</v>
      </c>
      <c r="F601">
        <v>1315.6072998</v>
      </c>
      <c r="G601">
        <v>80</v>
      </c>
      <c r="H601">
        <v>79.706573485999996</v>
      </c>
      <c r="I601">
        <v>50</v>
      </c>
      <c r="J601">
        <v>35.216892242</v>
      </c>
      <c r="K601">
        <v>1200</v>
      </c>
      <c r="L601">
        <v>0</v>
      </c>
      <c r="M601">
        <v>0</v>
      </c>
      <c r="N601">
        <v>1200</v>
      </c>
    </row>
    <row r="602" spans="1:14" x14ac:dyDescent="0.25">
      <c r="A602">
        <v>471.10212100000001</v>
      </c>
      <c r="B602" s="1">
        <f>DATE(2011,8,15) + TIME(2,27,3)</f>
        <v>40770.102118055554</v>
      </c>
      <c r="C602">
        <v>1380.0336914</v>
      </c>
      <c r="D602">
        <v>1365.5556641000001</v>
      </c>
      <c r="E602">
        <v>1319.6292725000001</v>
      </c>
      <c r="F602">
        <v>1315.5205077999999</v>
      </c>
      <c r="G602">
        <v>80</v>
      </c>
      <c r="H602">
        <v>79.707221985000004</v>
      </c>
      <c r="I602">
        <v>50</v>
      </c>
      <c r="J602">
        <v>35.004577636999997</v>
      </c>
      <c r="K602">
        <v>1200</v>
      </c>
      <c r="L602">
        <v>0</v>
      </c>
      <c r="M602">
        <v>0</v>
      </c>
      <c r="N602">
        <v>1200</v>
      </c>
    </row>
    <row r="603" spans="1:14" x14ac:dyDescent="0.25">
      <c r="A603">
        <v>472.96450399999998</v>
      </c>
      <c r="B603" s="1">
        <f>DATE(2011,8,16) + TIME(23,8,53)</f>
        <v>40771.964502314811</v>
      </c>
      <c r="C603">
        <v>1379.9608154</v>
      </c>
      <c r="D603">
        <v>1365.4931641000001</v>
      </c>
      <c r="E603">
        <v>1319.5667725000001</v>
      </c>
      <c r="F603">
        <v>1315.4328613</v>
      </c>
      <c r="G603">
        <v>80</v>
      </c>
      <c r="H603">
        <v>79.707878113000007</v>
      </c>
      <c r="I603">
        <v>50</v>
      </c>
      <c r="J603">
        <v>34.790042876999998</v>
      </c>
      <c r="K603">
        <v>1200</v>
      </c>
      <c r="L603">
        <v>0</v>
      </c>
      <c r="M603">
        <v>0</v>
      </c>
      <c r="N603">
        <v>1200</v>
      </c>
    </row>
    <row r="604" spans="1:14" x14ac:dyDescent="0.25">
      <c r="A604">
        <v>474.84471100000002</v>
      </c>
      <c r="B604" s="1">
        <f>DATE(2011,8,18) + TIME(20,16,23)</f>
        <v>40773.844710648147</v>
      </c>
      <c r="C604">
        <v>1379.8878173999999</v>
      </c>
      <c r="D604">
        <v>1365.4304199000001</v>
      </c>
      <c r="E604">
        <v>1319.5035399999999</v>
      </c>
      <c r="F604">
        <v>1315.3439940999999</v>
      </c>
      <c r="G604">
        <v>80</v>
      </c>
      <c r="H604">
        <v>79.708541870000005</v>
      </c>
      <c r="I604">
        <v>50</v>
      </c>
      <c r="J604">
        <v>34.574134827000002</v>
      </c>
      <c r="K604">
        <v>1200</v>
      </c>
      <c r="L604">
        <v>0</v>
      </c>
      <c r="M604">
        <v>0</v>
      </c>
      <c r="N604">
        <v>1200</v>
      </c>
    </row>
    <row r="605" spans="1:14" x14ac:dyDescent="0.25">
      <c r="A605">
        <v>476.74983400000002</v>
      </c>
      <c r="B605" s="1">
        <f>DATE(2011,8,20) + TIME(17,59,45)</f>
        <v>40775.749826388892</v>
      </c>
      <c r="C605">
        <v>1379.8150635</v>
      </c>
      <c r="D605">
        <v>1365.3679199000001</v>
      </c>
      <c r="E605">
        <v>1319.4400635</v>
      </c>
      <c r="F605">
        <v>1315.2545166</v>
      </c>
      <c r="G605">
        <v>80</v>
      </c>
      <c r="H605">
        <v>79.709205627000003</v>
      </c>
      <c r="I605">
        <v>50</v>
      </c>
      <c r="J605">
        <v>34.356594086000001</v>
      </c>
      <c r="K605">
        <v>1200</v>
      </c>
      <c r="L605">
        <v>0</v>
      </c>
      <c r="M605">
        <v>0</v>
      </c>
      <c r="N605">
        <v>1200</v>
      </c>
    </row>
    <row r="606" spans="1:14" x14ac:dyDescent="0.25">
      <c r="A606">
        <v>478.68448100000001</v>
      </c>
      <c r="B606" s="1">
        <f>DATE(2011,8,22) + TIME(16,25,39)</f>
        <v>40777.684479166666</v>
      </c>
      <c r="C606">
        <v>1379.7424315999999</v>
      </c>
      <c r="D606">
        <v>1365.3054199000001</v>
      </c>
      <c r="E606">
        <v>1319.3760986</v>
      </c>
      <c r="F606">
        <v>1315.1641846</v>
      </c>
      <c r="G606">
        <v>80</v>
      </c>
      <c r="H606">
        <v>79.709877014</v>
      </c>
      <c r="I606">
        <v>50</v>
      </c>
      <c r="J606">
        <v>34.137165070000002</v>
      </c>
      <c r="K606">
        <v>1200</v>
      </c>
      <c r="L606">
        <v>0</v>
      </c>
      <c r="M606">
        <v>0</v>
      </c>
      <c r="N606">
        <v>1200</v>
      </c>
    </row>
    <row r="607" spans="1:14" x14ac:dyDescent="0.25">
      <c r="A607">
        <v>480.639903</v>
      </c>
      <c r="B607" s="1">
        <f>DATE(2011,8,24) + TIME(15,21,27)</f>
        <v>40779.63989583333</v>
      </c>
      <c r="C607">
        <v>1379.6696777</v>
      </c>
      <c r="D607">
        <v>1365.2427978999999</v>
      </c>
      <c r="E607">
        <v>1319.3115233999999</v>
      </c>
      <c r="F607">
        <v>1315.072876</v>
      </c>
      <c r="G607">
        <v>80</v>
      </c>
      <c r="H607">
        <v>79.710548400999997</v>
      </c>
      <c r="I607">
        <v>50</v>
      </c>
      <c r="J607">
        <v>33.916412354000002</v>
      </c>
      <c r="K607">
        <v>1200</v>
      </c>
      <c r="L607">
        <v>0</v>
      </c>
      <c r="M607">
        <v>0</v>
      </c>
      <c r="N607">
        <v>1200</v>
      </c>
    </row>
    <row r="608" spans="1:14" x14ac:dyDescent="0.25">
      <c r="A608">
        <v>482.61352699999998</v>
      </c>
      <c r="B608" s="1">
        <f>DATE(2011,8,26) + TIME(14,43,28)</f>
        <v>40781.613518518519</v>
      </c>
      <c r="C608">
        <v>1379.597168</v>
      </c>
      <c r="D608">
        <v>1365.1802978999999</v>
      </c>
      <c r="E608">
        <v>1319.2467041</v>
      </c>
      <c r="F608">
        <v>1314.9810791</v>
      </c>
      <c r="G608">
        <v>80</v>
      </c>
      <c r="H608">
        <v>79.711227417000003</v>
      </c>
      <c r="I608">
        <v>50</v>
      </c>
      <c r="J608">
        <v>33.694702147999998</v>
      </c>
      <c r="K608">
        <v>1200</v>
      </c>
      <c r="L608">
        <v>0</v>
      </c>
      <c r="M608">
        <v>0</v>
      </c>
      <c r="N608">
        <v>1200</v>
      </c>
    </row>
    <row r="609" spans="1:14" x14ac:dyDescent="0.25">
      <c r="A609">
        <v>484.60998699999999</v>
      </c>
      <c r="B609" s="1">
        <f>DATE(2011,8,28) + TIME(14,38,22)</f>
        <v>40783.609976851854</v>
      </c>
      <c r="C609">
        <v>1379.5249022999999</v>
      </c>
      <c r="D609">
        <v>1365.1179199000001</v>
      </c>
      <c r="E609">
        <v>1319.1816406</v>
      </c>
      <c r="F609">
        <v>1314.8886719</v>
      </c>
      <c r="G609">
        <v>80</v>
      </c>
      <c r="H609">
        <v>79.711914062000005</v>
      </c>
      <c r="I609">
        <v>50</v>
      </c>
      <c r="J609">
        <v>33.471927643000001</v>
      </c>
      <c r="K609">
        <v>1200</v>
      </c>
      <c r="L609">
        <v>0</v>
      </c>
      <c r="M609">
        <v>0</v>
      </c>
      <c r="N609">
        <v>1200</v>
      </c>
    </row>
    <row r="610" spans="1:14" x14ac:dyDescent="0.25">
      <c r="A610">
        <v>486.62953399999998</v>
      </c>
      <c r="B610" s="1">
        <f>DATE(2011,8,30) + TIME(15,6,31)</f>
        <v>40785.629525462966</v>
      </c>
      <c r="C610">
        <v>1379.4528809000001</v>
      </c>
      <c r="D610">
        <v>1365.0557861</v>
      </c>
      <c r="E610">
        <v>1319.1163329999999</v>
      </c>
      <c r="F610">
        <v>1314.7956543</v>
      </c>
      <c r="G610">
        <v>80</v>
      </c>
      <c r="H610">
        <v>79.712600707999997</v>
      </c>
      <c r="I610">
        <v>50</v>
      </c>
      <c r="J610">
        <v>33.248138427999997</v>
      </c>
      <c r="K610">
        <v>1200</v>
      </c>
      <c r="L610">
        <v>0</v>
      </c>
      <c r="M610">
        <v>0</v>
      </c>
      <c r="N610">
        <v>1200</v>
      </c>
    </row>
    <row r="611" spans="1:14" x14ac:dyDescent="0.25">
      <c r="A611">
        <v>488</v>
      </c>
      <c r="B611" s="1">
        <f>DATE(2011,9,1) + TIME(0,0,0)</f>
        <v>40787</v>
      </c>
      <c r="C611">
        <v>1379.3803711</v>
      </c>
      <c r="D611">
        <v>1364.9930420000001</v>
      </c>
      <c r="E611">
        <v>1319.0506591999999</v>
      </c>
      <c r="F611">
        <v>1314.7066649999999</v>
      </c>
      <c r="G611">
        <v>80</v>
      </c>
      <c r="H611">
        <v>79.713035583000007</v>
      </c>
      <c r="I611">
        <v>50</v>
      </c>
      <c r="J611">
        <v>33.072986602999997</v>
      </c>
      <c r="K611">
        <v>1200</v>
      </c>
      <c r="L611">
        <v>0</v>
      </c>
      <c r="M611">
        <v>0</v>
      </c>
      <c r="N611">
        <v>1200</v>
      </c>
    </row>
    <row r="612" spans="1:14" x14ac:dyDescent="0.25">
      <c r="A612">
        <v>490.03290700000002</v>
      </c>
      <c r="B612" s="1">
        <f>DATE(2011,9,3) + TIME(0,47,23)</f>
        <v>40789.032905092594</v>
      </c>
      <c r="C612">
        <v>1379.3323975000001</v>
      </c>
      <c r="D612">
        <v>1364.9515381000001</v>
      </c>
      <c r="E612">
        <v>1319.0046387</v>
      </c>
      <c r="F612">
        <v>1314.6352539</v>
      </c>
      <c r="G612">
        <v>80</v>
      </c>
      <c r="H612">
        <v>79.713729857999994</v>
      </c>
      <c r="I612">
        <v>50</v>
      </c>
      <c r="J612">
        <v>32.859561919999997</v>
      </c>
      <c r="K612">
        <v>1200</v>
      </c>
      <c r="L612">
        <v>0</v>
      </c>
      <c r="M612">
        <v>0</v>
      </c>
      <c r="N612">
        <v>1200</v>
      </c>
    </row>
    <row r="613" spans="1:14" x14ac:dyDescent="0.25">
      <c r="A613">
        <v>492.10195499999998</v>
      </c>
      <c r="B613" s="1">
        <f>DATE(2011,9,5) + TIME(2,26,48)</f>
        <v>40791.101944444446</v>
      </c>
      <c r="C613">
        <v>1379.2617187999999</v>
      </c>
      <c r="D613">
        <v>1364.8903809000001</v>
      </c>
      <c r="E613">
        <v>1318.9403076000001</v>
      </c>
      <c r="F613">
        <v>1314.543457</v>
      </c>
      <c r="G613">
        <v>80</v>
      </c>
      <c r="H613">
        <v>79.714431762999993</v>
      </c>
      <c r="I613">
        <v>50</v>
      </c>
      <c r="J613">
        <v>32.640674591</v>
      </c>
      <c r="K613">
        <v>1200</v>
      </c>
      <c r="L613">
        <v>0</v>
      </c>
      <c r="M613">
        <v>0</v>
      </c>
      <c r="N613">
        <v>1200</v>
      </c>
    </row>
    <row r="614" spans="1:14" x14ac:dyDescent="0.25">
      <c r="A614">
        <v>494.19892700000003</v>
      </c>
      <c r="B614" s="1">
        <f>DATE(2011,9,7) + TIME(4,46,27)</f>
        <v>40793.198923611111</v>
      </c>
      <c r="C614">
        <v>1379.1905518000001</v>
      </c>
      <c r="D614">
        <v>1364.8287353999999</v>
      </c>
      <c r="E614">
        <v>1318.875</v>
      </c>
      <c r="F614">
        <v>1314.4499512</v>
      </c>
      <c r="G614">
        <v>80</v>
      </c>
      <c r="H614">
        <v>79.715133667000003</v>
      </c>
      <c r="I614">
        <v>50</v>
      </c>
      <c r="J614">
        <v>32.418281555</v>
      </c>
      <c r="K614">
        <v>1200</v>
      </c>
      <c r="L614">
        <v>0</v>
      </c>
      <c r="M614">
        <v>0</v>
      </c>
      <c r="N614">
        <v>1200</v>
      </c>
    </row>
    <row r="615" spans="1:14" x14ac:dyDescent="0.25">
      <c r="A615">
        <v>496.31370800000002</v>
      </c>
      <c r="B615" s="1">
        <f>DATE(2011,9,9) + TIME(7,31,44)</f>
        <v>40795.313703703701</v>
      </c>
      <c r="C615">
        <v>1379.1193848</v>
      </c>
      <c r="D615">
        <v>1364.7669678</v>
      </c>
      <c r="E615">
        <v>1318.809082</v>
      </c>
      <c r="F615">
        <v>1314.3554687999999</v>
      </c>
      <c r="G615">
        <v>80</v>
      </c>
      <c r="H615">
        <v>79.715827942000004</v>
      </c>
      <c r="I615">
        <v>50</v>
      </c>
      <c r="J615">
        <v>32.194065094000003</v>
      </c>
      <c r="K615">
        <v>1200</v>
      </c>
      <c r="L615">
        <v>0</v>
      </c>
      <c r="M615">
        <v>0</v>
      </c>
      <c r="N615">
        <v>1200</v>
      </c>
    </row>
    <row r="616" spans="1:14" x14ac:dyDescent="0.25">
      <c r="A616">
        <v>498.45250399999998</v>
      </c>
      <c r="B616" s="1">
        <f>DATE(2011,9,11) + TIME(10,51,36)</f>
        <v>40797.452499999999</v>
      </c>
      <c r="C616">
        <v>1379.0484618999999</v>
      </c>
      <c r="D616">
        <v>1364.7053223</v>
      </c>
      <c r="E616">
        <v>1318.7432861</v>
      </c>
      <c r="F616">
        <v>1314.2604980000001</v>
      </c>
      <c r="G616">
        <v>80</v>
      </c>
      <c r="H616">
        <v>79.716529846</v>
      </c>
      <c r="I616">
        <v>50</v>
      </c>
      <c r="J616">
        <v>31.968526839999999</v>
      </c>
      <c r="K616">
        <v>1200</v>
      </c>
      <c r="L616">
        <v>0</v>
      </c>
      <c r="M616">
        <v>0</v>
      </c>
      <c r="N616">
        <v>1200</v>
      </c>
    </row>
    <row r="617" spans="1:14" x14ac:dyDescent="0.25">
      <c r="A617">
        <v>500.60785700000002</v>
      </c>
      <c r="B617" s="1">
        <f>DATE(2011,9,13) + TIME(14,35,18)</f>
        <v>40799.607847222222</v>
      </c>
      <c r="C617">
        <v>1378.9776611</v>
      </c>
      <c r="D617">
        <v>1364.6437988</v>
      </c>
      <c r="E617">
        <v>1318.677124</v>
      </c>
      <c r="F617">
        <v>1314.1651611</v>
      </c>
      <c r="G617">
        <v>80</v>
      </c>
      <c r="H617">
        <v>79.717239379999995</v>
      </c>
      <c r="I617">
        <v>50</v>
      </c>
      <c r="J617">
        <v>31.742525100999998</v>
      </c>
      <c r="K617">
        <v>1200</v>
      </c>
      <c r="L617">
        <v>0</v>
      </c>
      <c r="M617">
        <v>0</v>
      </c>
      <c r="N617">
        <v>1200</v>
      </c>
    </row>
    <row r="618" spans="1:14" x14ac:dyDescent="0.25">
      <c r="A618">
        <v>502.77499899999998</v>
      </c>
      <c r="B618" s="1">
        <f>DATE(2011,9,15) + TIME(18,35,59)</f>
        <v>40801.774988425925</v>
      </c>
      <c r="C618">
        <v>1378.9071045000001</v>
      </c>
      <c r="D618">
        <v>1364.5823975000001</v>
      </c>
      <c r="E618">
        <v>1318.6112060999999</v>
      </c>
      <c r="F618">
        <v>1314.0695800999999</v>
      </c>
      <c r="G618">
        <v>80</v>
      </c>
      <c r="H618">
        <v>79.717933654999996</v>
      </c>
      <c r="I618">
        <v>50</v>
      </c>
      <c r="J618">
        <v>31.516769408999998</v>
      </c>
      <c r="K618">
        <v>1200</v>
      </c>
      <c r="L618">
        <v>0</v>
      </c>
      <c r="M618">
        <v>0</v>
      </c>
      <c r="N618">
        <v>1200</v>
      </c>
    </row>
    <row r="619" spans="1:14" x14ac:dyDescent="0.25">
      <c r="A619">
        <v>504.95870400000001</v>
      </c>
      <c r="B619" s="1">
        <f>DATE(2011,9,17) + TIME(23,0,32)</f>
        <v>40803.958703703705</v>
      </c>
      <c r="C619">
        <v>1378.8370361</v>
      </c>
      <c r="D619">
        <v>1364.5214844</v>
      </c>
      <c r="E619">
        <v>1318.5454102000001</v>
      </c>
      <c r="F619">
        <v>1313.9742432</v>
      </c>
      <c r="G619">
        <v>80</v>
      </c>
      <c r="H619">
        <v>79.718635559000006</v>
      </c>
      <c r="I619">
        <v>50</v>
      </c>
      <c r="J619">
        <v>31.291351318</v>
      </c>
      <c r="K619">
        <v>1200</v>
      </c>
      <c r="L619">
        <v>0</v>
      </c>
      <c r="M619">
        <v>0</v>
      </c>
      <c r="N619">
        <v>1200</v>
      </c>
    </row>
    <row r="620" spans="1:14" x14ac:dyDescent="0.25">
      <c r="A620">
        <v>507.16765099999998</v>
      </c>
      <c r="B620" s="1">
        <f>DATE(2011,9,20) + TIME(4,1,25)</f>
        <v>40806.167650462965</v>
      </c>
      <c r="C620">
        <v>1378.7673339999999</v>
      </c>
      <c r="D620">
        <v>1364.4606934000001</v>
      </c>
      <c r="E620">
        <v>1318.4798584</v>
      </c>
      <c r="F620">
        <v>1313.8787841999999</v>
      </c>
      <c r="G620">
        <v>80</v>
      </c>
      <c r="H620">
        <v>79.719345093000001</v>
      </c>
      <c r="I620">
        <v>50</v>
      </c>
      <c r="J620">
        <v>31.065933227999999</v>
      </c>
      <c r="K620">
        <v>1200</v>
      </c>
      <c r="L620">
        <v>0</v>
      </c>
      <c r="M620">
        <v>0</v>
      </c>
      <c r="N620">
        <v>1200</v>
      </c>
    </row>
    <row r="621" spans="1:14" x14ac:dyDescent="0.25">
      <c r="A621">
        <v>509.40027199999997</v>
      </c>
      <c r="B621" s="1">
        <f>DATE(2011,9,22) + TIME(9,36,23)</f>
        <v>40808.400266203702</v>
      </c>
      <c r="C621">
        <v>1378.6976318</v>
      </c>
      <c r="D621">
        <v>1364.3997803</v>
      </c>
      <c r="E621">
        <v>1318.4144286999999</v>
      </c>
      <c r="F621">
        <v>1313.7832031</v>
      </c>
      <c r="G621">
        <v>80</v>
      </c>
      <c r="H621">
        <v>79.720054626000007</v>
      </c>
      <c r="I621">
        <v>50</v>
      </c>
      <c r="J621">
        <v>30.840576171999999</v>
      </c>
      <c r="K621">
        <v>1200</v>
      </c>
      <c r="L621">
        <v>0</v>
      </c>
      <c r="M621">
        <v>0</v>
      </c>
      <c r="N621">
        <v>1200</v>
      </c>
    </row>
    <row r="622" spans="1:14" x14ac:dyDescent="0.25">
      <c r="A622">
        <v>511.63570199999998</v>
      </c>
      <c r="B622" s="1">
        <f>DATE(2011,9,24) + TIME(15,15,24)</f>
        <v>40810.635694444441</v>
      </c>
      <c r="C622">
        <v>1378.6280518000001</v>
      </c>
      <c r="D622">
        <v>1364.3389893000001</v>
      </c>
      <c r="E622">
        <v>1318.3488769999999</v>
      </c>
      <c r="F622">
        <v>1313.6875</v>
      </c>
      <c r="G622">
        <v>80</v>
      </c>
      <c r="H622">
        <v>79.720756531000006</v>
      </c>
      <c r="I622">
        <v>50</v>
      </c>
      <c r="J622">
        <v>30.616481781000001</v>
      </c>
      <c r="K622">
        <v>1200</v>
      </c>
      <c r="L622">
        <v>0</v>
      </c>
      <c r="M622">
        <v>0</v>
      </c>
      <c r="N622">
        <v>1200</v>
      </c>
    </row>
    <row r="623" spans="1:14" x14ac:dyDescent="0.25">
      <c r="A623">
        <v>513.88027699999998</v>
      </c>
      <c r="B623" s="1">
        <f>DATE(2011,9,26) + TIME(21,7,35)</f>
        <v>40812.880266203705</v>
      </c>
      <c r="C623">
        <v>1378.5592041</v>
      </c>
      <c r="D623">
        <v>1364.2786865</v>
      </c>
      <c r="E623">
        <v>1318.2840576000001</v>
      </c>
      <c r="F623">
        <v>1313.5924072</v>
      </c>
      <c r="G623">
        <v>80</v>
      </c>
      <c r="H623">
        <v>79.721458435000002</v>
      </c>
      <c r="I623">
        <v>50</v>
      </c>
      <c r="J623">
        <v>30.393774033</v>
      </c>
      <c r="K623">
        <v>1200</v>
      </c>
      <c r="L623">
        <v>0</v>
      </c>
      <c r="M623">
        <v>0</v>
      </c>
      <c r="N623">
        <v>1200</v>
      </c>
    </row>
    <row r="624" spans="1:14" x14ac:dyDescent="0.25">
      <c r="A624">
        <v>516.13842999999997</v>
      </c>
      <c r="B624" s="1">
        <f>DATE(2011,9,29) + TIME(3,19,20)</f>
        <v>40815.138425925928</v>
      </c>
      <c r="C624">
        <v>1378.4907227000001</v>
      </c>
      <c r="D624">
        <v>1364.21875</v>
      </c>
      <c r="E624">
        <v>1318.2197266000001</v>
      </c>
      <c r="F624">
        <v>1313.4978027</v>
      </c>
      <c r="G624">
        <v>80</v>
      </c>
      <c r="H624">
        <v>79.722152710000003</v>
      </c>
      <c r="I624">
        <v>50</v>
      </c>
      <c r="J624">
        <v>30.172389983999999</v>
      </c>
      <c r="K624">
        <v>1200</v>
      </c>
      <c r="L624">
        <v>0</v>
      </c>
      <c r="M624">
        <v>0</v>
      </c>
      <c r="N624">
        <v>1200</v>
      </c>
    </row>
    <row r="625" spans="1:14" x14ac:dyDescent="0.25">
      <c r="A625">
        <v>518</v>
      </c>
      <c r="B625" s="1">
        <f>DATE(2011,10,1) + TIME(0,0,0)</f>
        <v>40817</v>
      </c>
      <c r="C625">
        <v>1378.4224853999999</v>
      </c>
      <c r="D625">
        <v>1364.1588135</v>
      </c>
      <c r="E625">
        <v>1318.1558838000001</v>
      </c>
      <c r="F625">
        <v>1313.4060059000001</v>
      </c>
      <c r="G625">
        <v>80</v>
      </c>
      <c r="H625">
        <v>79.722717285000002</v>
      </c>
      <c r="I625">
        <v>50</v>
      </c>
      <c r="J625">
        <v>29.976024628000001</v>
      </c>
      <c r="K625">
        <v>1200</v>
      </c>
      <c r="L625">
        <v>0</v>
      </c>
      <c r="M625">
        <v>0</v>
      </c>
      <c r="N625">
        <v>1200</v>
      </c>
    </row>
    <row r="626" spans="1:14" x14ac:dyDescent="0.25">
      <c r="A626">
        <v>520.276926</v>
      </c>
      <c r="B626" s="1">
        <f>DATE(2011,10,3) + TIME(6,38,46)</f>
        <v>40819.276921296296</v>
      </c>
      <c r="C626">
        <v>1378.3670654</v>
      </c>
      <c r="D626">
        <v>1364.1102295000001</v>
      </c>
      <c r="E626">
        <v>1318.1027832</v>
      </c>
      <c r="F626">
        <v>1313.3243408000001</v>
      </c>
      <c r="G626">
        <v>80</v>
      </c>
      <c r="H626">
        <v>79.723419188999998</v>
      </c>
      <c r="I626">
        <v>50</v>
      </c>
      <c r="J626">
        <v>29.764848708999999</v>
      </c>
      <c r="K626">
        <v>1200</v>
      </c>
      <c r="L626">
        <v>0</v>
      </c>
      <c r="M626">
        <v>0</v>
      </c>
      <c r="N626">
        <v>1200</v>
      </c>
    </row>
    <row r="627" spans="1:14" x14ac:dyDescent="0.25">
      <c r="A627">
        <v>522.60246700000005</v>
      </c>
      <c r="B627" s="1">
        <f>DATE(2011,10,5) + TIME(14,27,33)</f>
        <v>40821.602465277778</v>
      </c>
      <c r="C627">
        <v>1378.2999268000001</v>
      </c>
      <c r="D627">
        <v>1364.0512695</v>
      </c>
      <c r="E627">
        <v>1318.0405272999999</v>
      </c>
      <c r="F627">
        <v>1313.2321777</v>
      </c>
      <c r="G627">
        <v>80</v>
      </c>
      <c r="H627">
        <v>79.724128723000007</v>
      </c>
      <c r="I627">
        <v>50</v>
      </c>
      <c r="J627">
        <v>29.550146102999999</v>
      </c>
      <c r="K627">
        <v>1200</v>
      </c>
      <c r="L627">
        <v>0</v>
      </c>
      <c r="M627">
        <v>0</v>
      </c>
      <c r="N627">
        <v>1200</v>
      </c>
    </row>
    <row r="628" spans="1:14" x14ac:dyDescent="0.25">
      <c r="A628">
        <v>524.954341</v>
      </c>
      <c r="B628" s="1">
        <f>DATE(2011,10,7) + TIME(22,54,15)</f>
        <v>40823.954340277778</v>
      </c>
      <c r="C628">
        <v>1378.2319336</v>
      </c>
      <c r="D628">
        <v>1363.9915771000001</v>
      </c>
      <c r="E628">
        <v>1317.9775391000001</v>
      </c>
      <c r="F628">
        <v>1313.1386719</v>
      </c>
      <c r="G628">
        <v>80</v>
      </c>
      <c r="H628">
        <v>79.724845885999997</v>
      </c>
      <c r="I628">
        <v>50</v>
      </c>
      <c r="J628">
        <v>29.333902359</v>
      </c>
      <c r="K628">
        <v>1200</v>
      </c>
      <c r="L628">
        <v>0</v>
      </c>
      <c r="M628">
        <v>0</v>
      </c>
      <c r="N628">
        <v>1200</v>
      </c>
    </row>
    <row r="629" spans="1:14" x14ac:dyDescent="0.25">
      <c r="A629">
        <v>527.32364700000005</v>
      </c>
      <c r="B629" s="1">
        <f>DATE(2011,10,10) + TIME(7,46,3)</f>
        <v>40826.323645833334</v>
      </c>
      <c r="C629">
        <v>1378.1639404</v>
      </c>
      <c r="D629">
        <v>1363.9316406</v>
      </c>
      <c r="E629">
        <v>1317.9145507999999</v>
      </c>
      <c r="F629">
        <v>1313.0450439000001</v>
      </c>
      <c r="G629">
        <v>80</v>
      </c>
      <c r="H629">
        <v>79.725555420000006</v>
      </c>
      <c r="I629">
        <v>50</v>
      </c>
      <c r="J629">
        <v>29.117555618000001</v>
      </c>
      <c r="K629">
        <v>1200</v>
      </c>
      <c r="L629">
        <v>0</v>
      </c>
      <c r="M629">
        <v>0</v>
      </c>
      <c r="N629">
        <v>1200</v>
      </c>
    </row>
    <row r="630" spans="1:14" x14ac:dyDescent="0.25">
      <c r="A630">
        <v>529.69654200000002</v>
      </c>
      <c r="B630" s="1">
        <f>DATE(2011,10,12) + TIME(16,43,1)</f>
        <v>40828.696539351855</v>
      </c>
      <c r="C630">
        <v>1378.0961914</v>
      </c>
      <c r="D630">
        <v>1363.8719481999999</v>
      </c>
      <c r="E630">
        <v>1317.8520507999999</v>
      </c>
      <c r="F630">
        <v>1312.9516602000001</v>
      </c>
      <c r="G630">
        <v>80</v>
      </c>
      <c r="H630">
        <v>79.726264954000001</v>
      </c>
      <c r="I630">
        <v>50</v>
      </c>
      <c r="J630">
        <v>28.902528762999999</v>
      </c>
      <c r="K630">
        <v>1200</v>
      </c>
      <c r="L630">
        <v>0</v>
      </c>
      <c r="M630">
        <v>0</v>
      </c>
      <c r="N630">
        <v>1200</v>
      </c>
    </row>
    <row r="631" spans="1:14" x14ac:dyDescent="0.25">
      <c r="A631">
        <v>532.07176400000003</v>
      </c>
      <c r="B631" s="1">
        <f>DATE(2011,10,15) + TIME(1,43,20)</f>
        <v>40831.071759259263</v>
      </c>
      <c r="C631">
        <v>1378.0289307</v>
      </c>
      <c r="D631">
        <v>1363.8126221</v>
      </c>
      <c r="E631">
        <v>1317.7902832</v>
      </c>
      <c r="F631">
        <v>1312.8591309000001</v>
      </c>
      <c r="G631">
        <v>80</v>
      </c>
      <c r="H631">
        <v>79.726959229000002</v>
      </c>
      <c r="I631">
        <v>50</v>
      </c>
      <c r="J631">
        <v>28.689577103000001</v>
      </c>
      <c r="K631">
        <v>1200</v>
      </c>
      <c r="L631">
        <v>0</v>
      </c>
      <c r="M631">
        <v>0</v>
      </c>
      <c r="N631">
        <v>1200</v>
      </c>
    </row>
    <row r="632" spans="1:14" x14ac:dyDescent="0.25">
      <c r="A632">
        <v>534.455106</v>
      </c>
      <c r="B632" s="1">
        <f>DATE(2011,10,17) + TIME(10,55,21)</f>
        <v>40833.455104166664</v>
      </c>
      <c r="C632">
        <v>1377.9624022999999</v>
      </c>
      <c r="D632">
        <v>1363.7537841999999</v>
      </c>
      <c r="E632">
        <v>1317.7294922000001</v>
      </c>
      <c r="F632">
        <v>1312.7675781</v>
      </c>
      <c r="G632">
        <v>80</v>
      </c>
      <c r="H632">
        <v>79.727661132999998</v>
      </c>
      <c r="I632">
        <v>50</v>
      </c>
      <c r="J632">
        <v>28.478832245</v>
      </c>
      <c r="K632">
        <v>1200</v>
      </c>
      <c r="L632">
        <v>0</v>
      </c>
      <c r="M632">
        <v>0</v>
      </c>
      <c r="N632">
        <v>1200</v>
      </c>
    </row>
    <row r="633" spans="1:14" x14ac:dyDescent="0.25">
      <c r="A633">
        <v>536.85299599999996</v>
      </c>
      <c r="B633" s="1">
        <f>DATE(2011,10,19) + TIME(20,28,18)</f>
        <v>40835.852986111109</v>
      </c>
      <c r="C633">
        <v>1377.8962402</v>
      </c>
      <c r="D633">
        <v>1363.6953125</v>
      </c>
      <c r="E633">
        <v>1317.6693115</v>
      </c>
      <c r="F633">
        <v>1312.6767577999999</v>
      </c>
      <c r="G633">
        <v>80</v>
      </c>
      <c r="H633">
        <v>79.728355407999999</v>
      </c>
      <c r="I633">
        <v>50</v>
      </c>
      <c r="J633">
        <v>28.270122528000002</v>
      </c>
      <c r="K633">
        <v>1200</v>
      </c>
      <c r="L633">
        <v>0</v>
      </c>
      <c r="M633">
        <v>0</v>
      </c>
      <c r="N633">
        <v>1200</v>
      </c>
    </row>
    <row r="634" spans="1:14" x14ac:dyDescent="0.25">
      <c r="A634">
        <v>539.27020700000003</v>
      </c>
      <c r="B634" s="1">
        <f>DATE(2011,10,22) + TIME(6,29,5)</f>
        <v>40838.270196759258</v>
      </c>
      <c r="C634">
        <v>1377.8304443</v>
      </c>
      <c r="D634">
        <v>1363.6370850000001</v>
      </c>
      <c r="E634">
        <v>1317.6098632999999</v>
      </c>
      <c r="F634">
        <v>1312.5866699000001</v>
      </c>
      <c r="G634">
        <v>80</v>
      </c>
      <c r="H634">
        <v>79.729049683</v>
      </c>
      <c r="I634">
        <v>50</v>
      </c>
      <c r="J634">
        <v>28.063217163000001</v>
      </c>
      <c r="K634">
        <v>1200</v>
      </c>
      <c r="L634">
        <v>0</v>
      </c>
      <c r="M634">
        <v>0</v>
      </c>
      <c r="N634">
        <v>1200</v>
      </c>
    </row>
    <row r="635" spans="1:14" x14ac:dyDescent="0.25">
      <c r="A635">
        <v>541.71236399999998</v>
      </c>
      <c r="B635" s="1">
        <f>DATE(2011,10,24) + TIME(17,5,48)</f>
        <v>40840.712361111109</v>
      </c>
      <c r="C635">
        <v>1377.7646483999999</v>
      </c>
      <c r="D635">
        <v>1363.5787353999999</v>
      </c>
      <c r="E635">
        <v>1317.5510254000001</v>
      </c>
      <c r="F635">
        <v>1312.4971923999999</v>
      </c>
      <c r="G635">
        <v>80</v>
      </c>
      <c r="H635">
        <v>79.729751586999996</v>
      </c>
      <c r="I635">
        <v>50</v>
      </c>
      <c r="J635">
        <v>27.857816696</v>
      </c>
      <c r="K635">
        <v>1200</v>
      </c>
      <c r="L635">
        <v>0</v>
      </c>
      <c r="M635">
        <v>0</v>
      </c>
      <c r="N635">
        <v>1200</v>
      </c>
    </row>
    <row r="636" spans="1:14" x14ac:dyDescent="0.25">
      <c r="A636">
        <v>544.18353000000002</v>
      </c>
      <c r="B636" s="1">
        <f>DATE(2011,10,27) + TIME(4,24,16)</f>
        <v>40843.183518518519</v>
      </c>
      <c r="C636">
        <v>1377.6988524999999</v>
      </c>
      <c r="D636">
        <v>1363.5203856999999</v>
      </c>
      <c r="E636">
        <v>1317.4926757999999</v>
      </c>
      <c r="F636">
        <v>1312.4080810999999</v>
      </c>
      <c r="G636">
        <v>80</v>
      </c>
      <c r="H636">
        <v>79.730453491000006</v>
      </c>
      <c r="I636">
        <v>50</v>
      </c>
      <c r="J636">
        <v>27.653678893999999</v>
      </c>
      <c r="K636">
        <v>1200</v>
      </c>
      <c r="L636">
        <v>0</v>
      </c>
      <c r="M636">
        <v>0</v>
      </c>
      <c r="N636">
        <v>1200</v>
      </c>
    </row>
    <row r="637" spans="1:14" x14ac:dyDescent="0.25">
      <c r="A637">
        <v>545.42626800000005</v>
      </c>
      <c r="B637" s="1">
        <f>DATE(2011,10,28) + TIME(10,13,49)</f>
        <v>40844.426261574074</v>
      </c>
      <c r="C637">
        <v>1377.6323242000001</v>
      </c>
      <c r="D637">
        <v>1363.4611815999999</v>
      </c>
      <c r="E637">
        <v>1317.4346923999999</v>
      </c>
      <c r="F637">
        <v>1312.3273925999999</v>
      </c>
      <c r="G637">
        <v>80</v>
      </c>
      <c r="H637">
        <v>79.730781554999993</v>
      </c>
      <c r="I637">
        <v>50</v>
      </c>
      <c r="J637">
        <v>27.520563125999999</v>
      </c>
      <c r="K637">
        <v>1200</v>
      </c>
      <c r="L637">
        <v>0</v>
      </c>
      <c r="M637">
        <v>0</v>
      </c>
      <c r="N637">
        <v>1200</v>
      </c>
    </row>
    <row r="638" spans="1:14" x14ac:dyDescent="0.25">
      <c r="A638">
        <v>546.66900699999997</v>
      </c>
      <c r="B638" s="1">
        <f>DATE(2011,10,29) + TIME(16,3,22)</f>
        <v>40845.669004629628</v>
      </c>
      <c r="C638">
        <v>1377.5988769999999</v>
      </c>
      <c r="D638">
        <v>1363.4313964999999</v>
      </c>
      <c r="E638">
        <v>1317.4039307</v>
      </c>
      <c r="F638">
        <v>1312.2780762</v>
      </c>
      <c r="G638">
        <v>80</v>
      </c>
      <c r="H638">
        <v>79.731109618999994</v>
      </c>
      <c r="I638">
        <v>50</v>
      </c>
      <c r="J638">
        <v>27.398477553999999</v>
      </c>
      <c r="K638">
        <v>1200</v>
      </c>
      <c r="L638">
        <v>0</v>
      </c>
      <c r="M638">
        <v>0</v>
      </c>
      <c r="N638">
        <v>1200</v>
      </c>
    </row>
    <row r="639" spans="1:14" x14ac:dyDescent="0.25">
      <c r="A639">
        <v>549</v>
      </c>
      <c r="B639" s="1">
        <f>DATE(2011,11,1) + TIME(0,0,0)</f>
        <v>40848</v>
      </c>
      <c r="C639">
        <v>1377.5667725000001</v>
      </c>
      <c r="D639">
        <v>1363.402832</v>
      </c>
      <c r="E639">
        <v>1317.3745117000001</v>
      </c>
      <c r="F639">
        <v>1312.2247314000001</v>
      </c>
      <c r="G639">
        <v>80</v>
      </c>
      <c r="H639">
        <v>79.731781006000006</v>
      </c>
      <c r="I639">
        <v>50</v>
      </c>
      <c r="J639">
        <v>27.230533600000001</v>
      </c>
      <c r="K639">
        <v>1200</v>
      </c>
      <c r="L639">
        <v>0</v>
      </c>
      <c r="M639">
        <v>0</v>
      </c>
      <c r="N639">
        <v>1200</v>
      </c>
    </row>
    <row r="640" spans="1:14" x14ac:dyDescent="0.25">
      <c r="A640">
        <v>549.000001</v>
      </c>
      <c r="B640" s="1">
        <f>DATE(2011,11,1) + TIME(0,0,0)</f>
        <v>40848</v>
      </c>
      <c r="C640">
        <v>1363.1141356999999</v>
      </c>
      <c r="D640">
        <v>1350.5435791</v>
      </c>
      <c r="E640">
        <v>1322.7896728999999</v>
      </c>
      <c r="F640">
        <v>1317.6568603999999</v>
      </c>
      <c r="G640">
        <v>80</v>
      </c>
      <c r="H640">
        <v>79.731742858999993</v>
      </c>
      <c r="I640">
        <v>50</v>
      </c>
      <c r="J640">
        <v>27.230573654000001</v>
      </c>
      <c r="K640">
        <v>0</v>
      </c>
      <c r="L640">
        <v>1200</v>
      </c>
      <c r="M640">
        <v>1200</v>
      </c>
      <c r="N640">
        <v>0</v>
      </c>
    </row>
    <row r="641" spans="1:14" x14ac:dyDescent="0.25">
      <c r="A641">
        <v>549.00000399999999</v>
      </c>
      <c r="B641" s="1">
        <f>DATE(2011,11,1) + TIME(0,0,0)</f>
        <v>40848</v>
      </c>
      <c r="C641">
        <v>1362.3137207</v>
      </c>
      <c r="D641">
        <v>1349.7413329999999</v>
      </c>
      <c r="E641">
        <v>1323.5791016000001</v>
      </c>
      <c r="F641">
        <v>1318.4483643000001</v>
      </c>
      <c r="G641">
        <v>80</v>
      </c>
      <c r="H641">
        <v>79.731628418</v>
      </c>
      <c r="I641">
        <v>50</v>
      </c>
      <c r="J641">
        <v>27.230686188</v>
      </c>
      <c r="K641">
        <v>0</v>
      </c>
      <c r="L641">
        <v>1200</v>
      </c>
      <c r="M641">
        <v>1200</v>
      </c>
      <c r="N641">
        <v>0</v>
      </c>
    </row>
    <row r="642" spans="1:14" x14ac:dyDescent="0.25">
      <c r="A642">
        <v>549.00001299999997</v>
      </c>
      <c r="B642" s="1">
        <f>DATE(2011,11,1) + TIME(0,0,1)</f>
        <v>40848.000011574077</v>
      </c>
      <c r="C642">
        <v>1360.3485106999999</v>
      </c>
      <c r="D642">
        <v>1347.7731934000001</v>
      </c>
      <c r="E642">
        <v>1325.5528564000001</v>
      </c>
      <c r="F642">
        <v>1320.4261475000001</v>
      </c>
      <c r="G642">
        <v>80</v>
      </c>
      <c r="H642">
        <v>79.731346130000006</v>
      </c>
      <c r="I642">
        <v>50</v>
      </c>
      <c r="J642">
        <v>27.230983733999999</v>
      </c>
      <c r="K642">
        <v>0</v>
      </c>
      <c r="L642">
        <v>1200</v>
      </c>
      <c r="M642">
        <v>1200</v>
      </c>
      <c r="N642">
        <v>0</v>
      </c>
    </row>
    <row r="643" spans="1:14" x14ac:dyDescent="0.25">
      <c r="A643">
        <v>549.00004000000001</v>
      </c>
      <c r="B643" s="1">
        <f>DATE(2011,11,1) + TIME(0,0,3)</f>
        <v>40848.000034722223</v>
      </c>
      <c r="C643">
        <v>1356.4967041</v>
      </c>
      <c r="D643">
        <v>1343.9195557</v>
      </c>
      <c r="E643">
        <v>1329.4179687999999</v>
      </c>
      <c r="F643">
        <v>1324.2935791</v>
      </c>
      <c r="G643">
        <v>80</v>
      </c>
      <c r="H643">
        <v>79.730796814000001</v>
      </c>
      <c r="I643">
        <v>50</v>
      </c>
      <c r="J643">
        <v>27.231641768999999</v>
      </c>
      <c r="K643">
        <v>0</v>
      </c>
      <c r="L643">
        <v>1200</v>
      </c>
      <c r="M643">
        <v>1200</v>
      </c>
      <c r="N643">
        <v>0</v>
      </c>
    </row>
    <row r="644" spans="1:14" x14ac:dyDescent="0.25">
      <c r="A644">
        <v>549.00012100000004</v>
      </c>
      <c r="B644" s="1">
        <f>DATE(2011,11,1) + TIME(0,0,10)</f>
        <v>40848.000115740739</v>
      </c>
      <c r="C644">
        <v>1350.8106689000001</v>
      </c>
      <c r="D644">
        <v>1338.2368164</v>
      </c>
      <c r="E644">
        <v>1334.6475829999999</v>
      </c>
      <c r="F644">
        <v>1329.5295410000001</v>
      </c>
      <c r="G644">
        <v>80</v>
      </c>
      <c r="H644">
        <v>79.729980468999997</v>
      </c>
      <c r="I644">
        <v>50</v>
      </c>
      <c r="J644">
        <v>27.232917786000002</v>
      </c>
      <c r="K644">
        <v>0</v>
      </c>
      <c r="L644">
        <v>1200</v>
      </c>
      <c r="M644">
        <v>1200</v>
      </c>
      <c r="N644">
        <v>0</v>
      </c>
    </row>
    <row r="645" spans="1:14" x14ac:dyDescent="0.25">
      <c r="A645">
        <v>549.00036399999999</v>
      </c>
      <c r="B645" s="1">
        <f>DATE(2011,11,1) + TIME(0,0,31)</f>
        <v>40848.000358796293</v>
      </c>
      <c r="C645">
        <v>1344.0863036999999</v>
      </c>
      <c r="D645">
        <v>1331.5341797000001</v>
      </c>
      <c r="E645">
        <v>1339.7954102000001</v>
      </c>
      <c r="F645">
        <v>1334.6693115</v>
      </c>
      <c r="G645">
        <v>80</v>
      </c>
      <c r="H645">
        <v>79.728965759000005</v>
      </c>
      <c r="I645">
        <v>50</v>
      </c>
      <c r="J645">
        <v>27.235546112000002</v>
      </c>
      <c r="K645">
        <v>0</v>
      </c>
      <c r="L645">
        <v>1200</v>
      </c>
      <c r="M645">
        <v>1200</v>
      </c>
      <c r="N645">
        <v>0</v>
      </c>
    </row>
    <row r="646" spans="1:14" x14ac:dyDescent="0.25">
      <c r="A646">
        <v>549.00109299999997</v>
      </c>
      <c r="B646" s="1">
        <f>DATE(2011,11,1) + TIME(0,1,34)</f>
        <v>40848.001087962963</v>
      </c>
      <c r="C646">
        <v>1336.9106445</v>
      </c>
      <c r="D646">
        <v>1324.3624268000001</v>
      </c>
      <c r="E646">
        <v>1344.5379639</v>
      </c>
      <c r="F646">
        <v>1339.4127197</v>
      </c>
      <c r="G646">
        <v>80</v>
      </c>
      <c r="H646">
        <v>79.727729796999995</v>
      </c>
      <c r="I646">
        <v>50</v>
      </c>
      <c r="J646">
        <v>27.242233276</v>
      </c>
      <c r="K646">
        <v>0</v>
      </c>
      <c r="L646">
        <v>1200</v>
      </c>
      <c r="M646">
        <v>1200</v>
      </c>
      <c r="N646">
        <v>0</v>
      </c>
    </row>
    <row r="647" spans="1:14" x14ac:dyDescent="0.25">
      <c r="A647">
        <v>549.00328000000002</v>
      </c>
      <c r="B647" s="1">
        <f>DATE(2011,11,1) + TIME(0,4,43)</f>
        <v>40848.003275462965</v>
      </c>
      <c r="C647">
        <v>1329.2513428</v>
      </c>
      <c r="D647">
        <v>1316.6184082</v>
      </c>
      <c r="E647">
        <v>1349.0722656</v>
      </c>
      <c r="F647">
        <v>1343.9412841999999</v>
      </c>
      <c r="G647">
        <v>80</v>
      </c>
      <c r="H647">
        <v>79.725990295000003</v>
      </c>
      <c r="I647">
        <v>50</v>
      </c>
      <c r="J647">
        <v>27.261224747</v>
      </c>
      <c r="K647">
        <v>0</v>
      </c>
      <c r="L647">
        <v>1200</v>
      </c>
      <c r="M647">
        <v>1200</v>
      </c>
      <c r="N647">
        <v>0</v>
      </c>
    </row>
    <row r="648" spans="1:14" x14ac:dyDescent="0.25">
      <c r="A648">
        <v>549.00984100000005</v>
      </c>
      <c r="B648" s="1">
        <f>DATE(2011,11,1) + TIME(0,14,10)</f>
        <v>40848.009837962964</v>
      </c>
      <c r="C648">
        <v>1321.0981445</v>
      </c>
      <c r="D648">
        <v>1308.3220214999999</v>
      </c>
      <c r="E648">
        <v>1352.2635498</v>
      </c>
      <c r="F648">
        <v>1347.1092529</v>
      </c>
      <c r="G648">
        <v>80</v>
      </c>
      <c r="H648">
        <v>79.722839355000005</v>
      </c>
      <c r="I648">
        <v>50</v>
      </c>
      <c r="J648">
        <v>27.317220687999999</v>
      </c>
      <c r="K648">
        <v>0</v>
      </c>
      <c r="L648">
        <v>1200</v>
      </c>
      <c r="M648">
        <v>1200</v>
      </c>
      <c r="N648">
        <v>0</v>
      </c>
    </row>
    <row r="649" spans="1:14" x14ac:dyDescent="0.25">
      <c r="A649">
        <v>549.02952400000004</v>
      </c>
      <c r="B649" s="1">
        <f>DATE(2011,11,1) + TIME(0,42,30)</f>
        <v>40848.029513888891</v>
      </c>
      <c r="C649">
        <v>1313.7816161999999</v>
      </c>
      <c r="D649">
        <v>1300.9234618999999</v>
      </c>
      <c r="E649">
        <v>1352.4847411999999</v>
      </c>
      <c r="F649">
        <v>1347.3232422000001</v>
      </c>
      <c r="G649">
        <v>80</v>
      </c>
      <c r="H649">
        <v>79.715812682999996</v>
      </c>
      <c r="I649">
        <v>50</v>
      </c>
      <c r="J649">
        <v>27.483778000000001</v>
      </c>
      <c r="K649">
        <v>0</v>
      </c>
      <c r="L649">
        <v>1200</v>
      </c>
      <c r="M649">
        <v>1200</v>
      </c>
      <c r="N649">
        <v>0</v>
      </c>
    </row>
    <row r="650" spans="1:14" x14ac:dyDescent="0.25">
      <c r="A650">
        <v>549.088573</v>
      </c>
      <c r="B650" s="1">
        <f>DATE(2011,11,1) + TIME(2,7,32)</f>
        <v>40848.088564814818</v>
      </c>
      <c r="C650">
        <v>1308.7442627</v>
      </c>
      <c r="D650">
        <v>1295.8580322</v>
      </c>
      <c r="E650">
        <v>1350.5083007999999</v>
      </c>
      <c r="F650">
        <v>1345.3898925999999</v>
      </c>
      <c r="G650">
        <v>80</v>
      </c>
      <c r="H650">
        <v>79.697364807</v>
      </c>
      <c r="I650">
        <v>50</v>
      </c>
      <c r="J650">
        <v>27.973451613999998</v>
      </c>
      <c r="K650">
        <v>0</v>
      </c>
      <c r="L650">
        <v>1200</v>
      </c>
      <c r="M650">
        <v>1200</v>
      </c>
      <c r="N650">
        <v>0</v>
      </c>
    </row>
    <row r="651" spans="1:14" x14ac:dyDescent="0.25">
      <c r="A651">
        <v>549.20235600000001</v>
      </c>
      <c r="B651" s="1">
        <f>DATE(2011,11,1) + TIME(4,51,23)</f>
        <v>40848.202349537038</v>
      </c>
      <c r="C651">
        <v>1306.2829589999999</v>
      </c>
      <c r="D651">
        <v>1293.3886719</v>
      </c>
      <c r="E651">
        <v>1348.6711425999999</v>
      </c>
      <c r="F651">
        <v>1343.6401367000001</v>
      </c>
      <c r="G651">
        <v>80</v>
      </c>
      <c r="H651">
        <v>79.663642882999994</v>
      </c>
      <c r="I651">
        <v>50</v>
      </c>
      <c r="J651">
        <v>28.880655289</v>
      </c>
      <c r="K651">
        <v>0</v>
      </c>
      <c r="L651">
        <v>1200</v>
      </c>
      <c r="M651">
        <v>1200</v>
      </c>
      <c r="N651">
        <v>0</v>
      </c>
    </row>
    <row r="652" spans="1:14" x14ac:dyDescent="0.25">
      <c r="A652">
        <v>549.32039299999997</v>
      </c>
      <c r="B652" s="1">
        <f>DATE(2011,11,1) + TIME(7,41,21)</f>
        <v>40848.320381944446</v>
      </c>
      <c r="C652">
        <v>1305.3327637</v>
      </c>
      <c r="D652">
        <v>1292.4353027</v>
      </c>
      <c r="E652">
        <v>1347.762207</v>
      </c>
      <c r="F652">
        <v>1342.8088379000001</v>
      </c>
      <c r="G652">
        <v>80</v>
      </c>
      <c r="H652">
        <v>79.629188537999994</v>
      </c>
      <c r="I652">
        <v>50</v>
      </c>
      <c r="J652">
        <v>29.785379410000001</v>
      </c>
      <c r="K652">
        <v>0</v>
      </c>
      <c r="L652">
        <v>1200</v>
      </c>
      <c r="M652">
        <v>1200</v>
      </c>
      <c r="N652">
        <v>0</v>
      </c>
    </row>
    <row r="653" spans="1:14" x14ac:dyDescent="0.25">
      <c r="A653">
        <v>549.44310700000005</v>
      </c>
      <c r="B653" s="1">
        <f>DATE(2011,11,1) + TIME(10,38,4)</f>
        <v>40848.443101851852</v>
      </c>
      <c r="C653">
        <v>1304.9056396000001</v>
      </c>
      <c r="D653">
        <v>1292.0059814000001</v>
      </c>
      <c r="E653">
        <v>1347.2634277</v>
      </c>
      <c r="F653">
        <v>1342.3842772999999</v>
      </c>
      <c r="G653">
        <v>80</v>
      </c>
      <c r="H653">
        <v>79.593772888000004</v>
      </c>
      <c r="I653">
        <v>50</v>
      </c>
      <c r="J653">
        <v>30.687982559000002</v>
      </c>
      <c r="K653">
        <v>0</v>
      </c>
      <c r="L653">
        <v>1200</v>
      </c>
      <c r="M653">
        <v>1200</v>
      </c>
      <c r="N653">
        <v>0</v>
      </c>
    </row>
    <row r="654" spans="1:14" x14ac:dyDescent="0.25">
      <c r="A654">
        <v>549.57092</v>
      </c>
      <c r="B654" s="1">
        <f>DATE(2011,11,1) + TIME(13,42,7)</f>
        <v>40848.570914351854</v>
      </c>
      <c r="C654">
        <v>1304.7055664</v>
      </c>
      <c r="D654">
        <v>1291.8039550999999</v>
      </c>
      <c r="E654">
        <v>1346.9621582</v>
      </c>
      <c r="F654">
        <v>1342.1541748</v>
      </c>
      <c r="G654">
        <v>80</v>
      </c>
      <c r="H654">
        <v>79.557266235</v>
      </c>
      <c r="I654">
        <v>50</v>
      </c>
      <c r="J654">
        <v>31.588188170999999</v>
      </c>
      <c r="K654">
        <v>0</v>
      </c>
      <c r="L654">
        <v>1200</v>
      </c>
      <c r="M654">
        <v>1200</v>
      </c>
      <c r="N654">
        <v>0</v>
      </c>
    </row>
    <row r="655" spans="1:14" x14ac:dyDescent="0.25">
      <c r="A655">
        <v>549.704341</v>
      </c>
      <c r="B655" s="1">
        <f>DATE(2011,11,1) + TIME(16,54,15)</f>
        <v>40848.704340277778</v>
      </c>
      <c r="C655">
        <v>1304.6112060999999</v>
      </c>
      <c r="D655">
        <v>1291.7076416</v>
      </c>
      <c r="E655">
        <v>1346.7587891000001</v>
      </c>
      <c r="F655">
        <v>1342.0189209</v>
      </c>
      <c r="G655">
        <v>80</v>
      </c>
      <c r="H655">
        <v>79.519538878999995</v>
      </c>
      <c r="I655">
        <v>50</v>
      </c>
      <c r="J655">
        <v>32.485916138</v>
      </c>
      <c r="K655">
        <v>0</v>
      </c>
      <c r="L655">
        <v>1200</v>
      </c>
      <c r="M655">
        <v>1200</v>
      </c>
      <c r="N655">
        <v>0</v>
      </c>
    </row>
    <row r="656" spans="1:14" x14ac:dyDescent="0.25">
      <c r="A656">
        <v>549.84389999999996</v>
      </c>
      <c r="B656" s="1">
        <f>DATE(2011,11,1) + TIME(20,15,13)</f>
        <v>40848.843900462962</v>
      </c>
      <c r="C656">
        <v>1304.5665283000001</v>
      </c>
      <c r="D656">
        <v>1291.6608887</v>
      </c>
      <c r="E656">
        <v>1346.6049805</v>
      </c>
      <c r="F656">
        <v>1341.9304199000001</v>
      </c>
      <c r="G656">
        <v>80</v>
      </c>
      <c r="H656">
        <v>79.48046875</v>
      </c>
      <c r="I656">
        <v>50</v>
      </c>
      <c r="J656">
        <v>33.380798339999998</v>
      </c>
      <c r="K656">
        <v>0</v>
      </c>
      <c r="L656">
        <v>1200</v>
      </c>
      <c r="M656">
        <v>1200</v>
      </c>
      <c r="N656">
        <v>0</v>
      </c>
    </row>
    <row r="657" spans="1:14" x14ac:dyDescent="0.25">
      <c r="A657">
        <v>549.99020499999995</v>
      </c>
      <c r="B657" s="1">
        <f>DATE(2011,11,1) + TIME(23,45,53)</f>
        <v>40848.99019675926</v>
      </c>
      <c r="C657">
        <v>1304.5445557</v>
      </c>
      <c r="D657">
        <v>1291.6368408000001</v>
      </c>
      <c r="E657">
        <v>1346.4774170000001</v>
      </c>
      <c r="F657">
        <v>1341.8653564000001</v>
      </c>
      <c r="G657">
        <v>80</v>
      </c>
      <c r="H657">
        <v>79.439933776999993</v>
      </c>
      <c r="I657">
        <v>50</v>
      </c>
      <c r="J657">
        <v>34.272377014</v>
      </c>
      <c r="K657">
        <v>0</v>
      </c>
      <c r="L657">
        <v>1200</v>
      </c>
      <c r="M657">
        <v>1200</v>
      </c>
      <c r="N657">
        <v>0</v>
      </c>
    </row>
    <row r="658" spans="1:14" x14ac:dyDescent="0.25">
      <c r="A658">
        <v>550.14393299999995</v>
      </c>
      <c r="B658" s="1">
        <f>DATE(2011,11,2) + TIME(3,27,15)</f>
        <v>40849.143923611111</v>
      </c>
      <c r="C658">
        <v>1304.5328368999999</v>
      </c>
      <c r="D658">
        <v>1291.6229248</v>
      </c>
      <c r="E658">
        <v>1346.3649902</v>
      </c>
      <c r="F658">
        <v>1341.8125</v>
      </c>
      <c r="G658">
        <v>80</v>
      </c>
      <c r="H658">
        <v>79.397796631000006</v>
      </c>
      <c r="I658">
        <v>50</v>
      </c>
      <c r="J658">
        <v>35.160022736000002</v>
      </c>
      <c r="K658">
        <v>0</v>
      </c>
      <c r="L658">
        <v>1200</v>
      </c>
      <c r="M658">
        <v>1200</v>
      </c>
      <c r="N658">
        <v>0</v>
      </c>
    </row>
    <row r="659" spans="1:14" x14ac:dyDescent="0.25">
      <c r="A659">
        <v>550.30586300000004</v>
      </c>
      <c r="B659" s="1">
        <f>DATE(2011,11,2) + TIME(7,20,26)</f>
        <v>40849.305856481478</v>
      </c>
      <c r="C659">
        <v>1304.5252685999999</v>
      </c>
      <c r="D659">
        <v>1291.6131591999999</v>
      </c>
      <c r="E659">
        <v>1346.2619629000001</v>
      </c>
      <c r="F659">
        <v>1341.7667236</v>
      </c>
      <c r="G659">
        <v>80</v>
      </c>
      <c r="H659">
        <v>79.353889464999995</v>
      </c>
      <c r="I659">
        <v>50</v>
      </c>
      <c r="J659">
        <v>36.042999268000003</v>
      </c>
      <c r="K659">
        <v>0</v>
      </c>
      <c r="L659">
        <v>1200</v>
      </c>
      <c r="M659">
        <v>1200</v>
      </c>
      <c r="N659">
        <v>0</v>
      </c>
    </row>
    <row r="660" spans="1:14" x14ac:dyDescent="0.25">
      <c r="A660">
        <v>550.47693600000002</v>
      </c>
      <c r="B660" s="1">
        <f>DATE(2011,11,2) + TIME(11,26,47)</f>
        <v>40849.47693287037</v>
      </c>
      <c r="C660">
        <v>1304.5192870999999</v>
      </c>
      <c r="D660">
        <v>1291.6048584</v>
      </c>
      <c r="E660">
        <v>1346.1660156</v>
      </c>
      <c r="F660">
        <v>1341.7254639</v>
      </c>
      <c r="G660">
        <v>80</v>
      </c>
      <c r="H660">
        <v>79.308021545000003</v>
      </c>
      <c r="I660">
        <v>50</v>
      </c>
      <c r="J660">
        <v>36.920627594000003</v>
      </c>
      <c r="K660">
        <v>0</v>
      </c>
      <c r="L660">
        <v>1200</v>
      </c>
      <c r="M660">
        <v>1200</v>
      </c>
      <c r="N660">
        <v>0</v>
      </c>
    </row>
    <row r="661" spans="1:14" x14ac:dyDescent="0.25">
      <c r="A661">
        <v>550.65822200000002</v>
      </c>
      <c r="B661" s="1">
        <f>DATE(2011,11,2) + TIME(15,47,50)</f>
        <v>40849.658217592594</v>
      </c>
      <c r="C661">
        <v>1304.5137939000001</v>
      </c>
      <c r="D661">
        <v>1291.5969238</v>
      </c>
      <c r="E661">
        <v>1346.0758057</v>
      </c>
      <c r="F661">
        <v>1341.6873779</v>
      </c>
      <c r="G661">
        <v>80</v>
      </c>
      <c r="H661">
        <v>79.259986877000003</v>
      </c>
      <c r="I661">
        <v>50</v>
      </c>
      <c r="J661">
        <v>37.791969299000002</v>
      </c>
      <c r="K661">
        <v>0</v>
      </c>
      <c r="L661">
        <v>1200</v>
      </c>
      <c r="M661">
        <v>1200</v>
      </c>
      <c r="N661">
        <v>0</v>
      </c>
    </row>
    <row r="662" spans="1:14" x14ac:dyDescent="0.25">
      <c r="A662">
        <v>550.85097699999994</v>
      </c>
      <c r="B662" s="1">
        <f>DATE(2011,11,2) + TIME(20,25,24)</f>
        <v>40849.850972222222</v>
      </c>
      <c r="C662">
        <v>1304.5081786999999</v>
      </c>
      <c r="D662">
        <v>1291.5887451000001</v>
      </c>
      <c r="E662">
        <v>1345.9904785000001</v>
      </c>
      <c r="F662">
        <v>1341.6519774999999</v>
      </c>
      <c r="G662">
        <v>80</v>
      </c>
      <c r="H662">
        <v>79.209533691000004</v>
      </c>
      <c r="I662">
        <v>50</v>
      </c>
      <c r="J662">
        <v>38.655921935999999</v>
      </c>
      <c r="K662">
        <v>0</v>
      </c>
      <c r="L662">
        <v>1200</v>
      </c>
      <c r="M662">
        <v>1200</v>
      </c>
      <c r="N662">
        <v>0</v>
      </c>
    </row>
    <row r="663" spans="1:14" x14ac:dyDescent="0.25">
      <c r="A663">
        <v>551.056693</v>
      </c>
      <c r="B663" s="1">
        <f>DATE(2011,11,3) + TIME(1,21,38)</f>
        <v>40850.056689814817</v>
      </c>
      <c r="C663">
        <v>1304.5021973</v>
      </c>
      <c r="D663">
        <v>1291.5800781</v>
      </c>
      <c r="E663">
        <v>1345.9095459</v>
      </c>
      <c r="F663">
        <v>1341.6185303</v>
      </c>
      <c r="G663">
        <v>80</v>
      </c>
      <c r="H663">
        <v>79.156372070000003</v>
      </c>
      <c r="I663">
        <v>50</v>
      </c>
      <c r="J663">
        <v>39.511192321999999</v>
      </c>
      <c r="K663">
        <v>0</v>
      </c>
      <c r="L663">
        <v>1200</v>
      </c>
      <c r="M663">
        <v>1200</v>
      </c>
      <c r="N663">
        <v>0</v>
      </c>
    </row>
    <row r="664" spans="1:14" x14ac:dyDescent="0.25">
      <c r="A664">
        <v>551.277152</v>
      </c>
      <c r="B664" s="1">
        <f>DATE(2011,11,3) + TIME(6,39,5)</f>
        <v>40850.277141203704</v>
      </c>
      <c r="C664">
        <v>1304.4957274999999</v>
      </c>
      <c r="D664">
        <v>1291.5708007999999</v>
      </c>
      <c r="E664">
        <v>1345.8327637</v>
      </c>
      <c r="F664">
        <v>1341.5870361</v>
      </c>
      <c r="G664">
        <v>80</v>
      </c>
      <c r="H664">
        <v>79.100158691000004</v>
      </c>
      <c r="I664">
        <v>50</v>
      </c>
      <c r="J664">
        <v>40.356376648000001</v>
      </c>
      <c r="K664">
        <v>0</v>
      </c>
      <c r="L664">
        <v>1200</v>
      </c>
      <c r="M664">
        <v>1200</v>
      </c>
      <c r="N664">
        <v>0</v>
      </c>
    </row>
    <row r="665" spans="1:14" x14ac:dyDescent="0.25">
      <c r="A665">
        <v>551.51450799999998</v>
      </c>
      <c r="B665" s="1">
        <f>DATE(2011,11,3) + TIME(12,20,53)</f>
        <v>40850.514502314814</v>
      </c>
      <c r="C665">
        <v>1304.4886475000001</v>
      </c>
      <c r="D665">
        <v>1291.5606689000001</v>
      </c>
      <c r="E665">
        <v>1345.7597656</v>
      </c>
      <c r="F665">
        <v>1341.5570068</v>
      </c>
      <c r="G665">
        <v>80</v>
      </c>
      <c r="H665">
        <v>79.040489196999999</v>
      </c>
      <c r="I665">
        <v>50</v>
      </c>
      <c r="J665">
        <v>41.189769745</v>
      </c>
      <c r="K665">
        <v>0</v>
      </c>
      <c r="L665">
        <v>1200</v>
      </c>
      <c r="M665">
        <v>1200</v>
      </c>
      <c r="N665">
        <v>0</v>
      </c>
    </row>
    <row r="666" spans="1:14" x14ac:dyDescent="0.25">
      <c r="A666">
        <v>551.77139899999997</v>
      </c>
      <c r="B666" s="1">
        <f>DATE(2011,11,3) + TIME(18,30,48)</f>
        <v>40850.77138888889</v>
      </c>
      <c r="C666">
        <v>1304.4808350000001</v>
      </c>
      <c r="D666">
        <v>1291.5498047000001</v>
      </c>
      <c r="E666">
        <v>1345.6901855000001</v>
      </c>
      <c r="F666">
        <v>1341.5283202999999</v>
      </c>
      <c r="G666">
        <v>80</v>
      </c>
      <c r="H666">
        <v>78.976867675999998</v>
      </c>
      <c r="I666">
        <v>50</v>
      </c>
      <c r="J666">
        <v>42.009243011000002</v>
      </c>
      <c r="K666">
        <v>0</v>
      </c>
      <c r="L666">
        <v>1200</v>
      </c>
      <c r="M666">
        <v>1200</v>
      </c>
      <c r="N666">
        <v>0</v>
      </c>
    </row>
    <row r="667" spans="1:14" x14ac:dyDescent="0.25">
      <c r="A667">
        <v>552.05109700000003</v>
      </c>
      <c r="B667" s="1">
        <f>DATE(2011,11,4) + TIME(1,13,34)</f>
        <v>40851.051087962966</v>
      </c>
      <c r="C667">
        <v>1304.4724120999999</v>
      </c>
      <c r="D667">
        <v>1291.5379639</v>
      </c>
      <c r="E667">
        <v>1345.6237793</v>
      </c>
      <c r="F667">
        <v>1341.5003661999999</v>
      </c>
      <c r="G667">
        <v>80</v>
      </c>
      <c r="H667">
        <v>78.908699036000002</v>
      </c>
      <c r="I667">
        <v>50</v>
      </c>
      <c r="J667">
        <v>42.812461853000002</v>
      </c>
      <c r="K667">
        <v>0</v>
      </c>
      <c r="L667">
        <v>1200</v>
      </c>
      <c r="M667">
        <v>1200</v>
      </c>
      <c r="N667">
        <v>0</v>
      </c>
    </row>
    <row r="668" spans="1:14" x14ac:dyDescent="0.25">
      <c r="A668">
        <v>552.35772199999997</v>
      </c>
      <c r="B668" s="1">
        <f>DATE(2011,11,4) + TIME(8,35,7)</f>
        <v>40851.357719907406</v>
      </c>
      <c r="C668">
        <v>1304.4630127</v>
      </c>
      <c r="D668">
        <v>1291.5249022999999</v>
      </c>
      <c r="E668">
        <v>1345.5599365</v>
      </c>
      <c r="F668">
        <v>1341.4730225000001</v>
      </c>
      <c r="G668">
        <v>80</v>
      </c>
      <c r="H668">
        <v>78.835243224999999</v>
      </c>
      <c r="I668">
        <v>50</v>
      </c>
      <c r="J668">
        <v>43.596717834000003</v>
      </c>
      <c r="K668">
        <v>0</v>
      </c>
      <c r="L668">
        <v>1200</v>
      </c>
      <c r="M668">
        <v>1200</v>
      </c>
      <c r="N668">
        <v>0</v>
      </c>
    </row>
    <row r="669" spans="1:14" x14ac:dyDescent="0.25">
      <c r="A669">
        <v>552.696506</v>
      </c>
      <c r="B669" s="1">
        <f>DATE(2011,11,4) + TIME(16,42,58)</f>
        <v>40851.696504629632</v>
      </c>
      <c r="C669">
        <v>1304.4527588000001</v>
      </c>
      <c r="D669">
        <v>1291.5106201000001</v>
      </c>
      <c r="E669">
        <v>1345.4986572</v>
      </c>
      <c r="F669">
        <v>1341.4458007999999</v>
      </c>
      <c r="G669">
        <v>80</v>
      </c>
      <c r="H669">
        <v>78.755577087000006</v>
      </c>
      <c r="I669">
        <v>50</v>
      </c>
      <c r="J669">
        <v>44.358772278000004</v>
      </c>
      <c r="K669">
        <v>0</v>
      </c>
      <c r="L669">
        <v>1200</v>
      </c>
      <c r="M669">
        <v>1200</v>
      </c>
      <c r="N669">
        <v>0</v>
      </c>
    </row>
    <row r="670" spans="1:14" x14ac:dyDescent="0.25">
      <c r="A670">
        <v>553.07435899999996</v>
      </c>
      <c r="B670" s="1">
        <f>DATE(2011,11,5) + TIME(1,47,4)</f>
        <v>40852.07435185185</v>
      </c>
      <c r="C670">
        <v>1304.4411620999999</v>
      </c>
      <c r="D670">
        <v>1291.4948730000001</v>
      </c>
      <c r="E670">
        <v>1345.4390868999999</v>
      </c>
      <c r="F670">
        <v>1341.4180908000001</v>
      </c>
      <c r="G670">
        <v>80</v>
      </c>
      <c r="H670">
        <v>78.668518066000004</v>
      </c>
      <c r="I670">
        <v>50</v>
      </c>
      <c r="J670">
        <v>45.095020294000001</v>
      </c>
      <c r="K670">
        <v>0</v>
      </c>
      <c r="L670">
        <v>1200</v>
      </c>
      <c r="M670">
        <v>1200</v>
      </c>
      <c r="N670">
        <v>0</v>
      </c>
    </row>
    <row r="671" spans="1:14" x14ac:dyDescent="0.25">
      <c r="A671">
        <v>553.50056300000006</v>
      </c>
      <c r="B671" s="1">
        <f>DATE(2011,11,5) + TIME(12,0,48)</f>
        <v>40852.500555555554</v>
      </c>
      <c r="C671">
        <v>1304.4282227000001</v>
      </c>
      <c r="D671">
        <v>1291.4771728999999</v>
      </c>
      <c r="E671">
        <v>1345.3809814000001</v>
      </c>
      <c r="F671">
        <v>1341.3896483999999</v>
      </c>
      <c r="G671">
        <v>80</v>
      </c>
      <c r="H671">
        <v>78.572517395000006</v>
      </c>
      <c r="I671">
        <v>50</v>
      </c>
      <c r="J671">
        <v>45.801292418999999</v>
      </c>
      <c r="K671">
        <v>0</v>
      </c>
      <c r="L671">
        <v>1200</v>
      </c>
      <c r="M671">
        <v>1200</v>
      </c>
      <c r="N671">
        <v>0</v>
      </c>
    </row>
    <row r="672" spans="1:14" x14ac:dyDescent="0.25">
      <c r="A672">
        <v>553.98788200000001</v>
      </c>
      <c r="B672" s="1">
        <f>DATE(2011,11,5) + TIME(23,42,33)</f>
        <v>40852.987881944442</v>
      </c>
      <c r="C672">
        <v>1304.4134521000001</v>
      </c>
      <c r="D672">
        <v>1291.4572754000001</v>
      </c>
      <c r="E672">
        <v>1345.3237305</v>
      </c>
      <c r="F672">
        <v>1341.3594971</v>
      </c>
      <c r="G672">
        <v>80</v>
      </c>
      <c r="H672">
        <v>78.465515136999997</v>
      </c>
      <c r="I672">
        <v>50</v>
      </c>
      <c r="J672">
        <v>46.472679137999997</v>
      </c>
      <c r="K672">
        <v>0</v>
      </c>
      <c r="L672">
        <v>1200</v>
      </c>
      <c r="M672">
        <v>1200</v>
      </c>
      <c r="N672">
        <v>0</v>
      </c>
    </row>
    <row r="673" spans="1:14" x14ac:dyDescent="0.25">
      <c r="A673">
        <v>554.55451900000003</v>
      </c>
      <c r="B673" s="1">
        <f>DATE(2011,11,6) + TIME(13,18,30)</f>
        <v>40853.554513888892</v>
      </c>
      <c r="C673">
        <v>1304.3966064000001</v>
      </c>
      <c r="D673">
        <v>1291.4344481999999</v>
      </c>
      <c r="E673">
        <v>1345.2664795000001</v>
      </c>
      <c r="F673">
        <v>1341.3269043</v>
      </c>
      <c r="G673">
        <v>80</v>
      </c>
      <c r="H673">
        <v>78.344696045000006</v>
      </c>
      <c r="I673">
        <v>50</v>
      </c>
      <c r="J673">
        <v>47.103454589999998</v>
      </c>
      <c r="K673">
        <v>0</v>
      </c>
      <c r="L673">
        <v>1200</v>
      </c>
      <c r="M673">
        <v>1200</v>
      </c>
      <c r="N673">
        <v>0</v>
      </c>
    </row>
    <row r="674" spans="1:14" x14ac:dyDescent="0.25">
      <c r="A674">
        <v>555.16671799999995</v>
      </c>
      <c r="B674" s="1">
        <f>DATE(2011,11,7) + TIME(4,0,4)</f>
        <v>40854.166712962964</v>
      </c>
      <c r="C674">
        <v>1304.3762207</v>
      </c>
      <c r="D674">
        <v>1291.4080810999999</v>
      </c>
      <c r="E674">
        <v>1345.2142334</v>
      </c>
      <c r="F674">
        <v>1341.2940673999999</v>
      </c>
      <c r="G674">
        <v>80</v>
      </c>
      <c r="H674">
        <v>78.216232300000001</v>
      </c>
      <c r="I674">
        <v>50</v>
      </c>
      <c r="J674">
        <v>47.645187378000003</v>
      </c>
      <c r="K674">
        <v>0</v>
      </c>
      <c r="L674">
        <v>1200</v>
      </c>
      <c r="M674">
        <v>1200</v>
      </c>
      <c r="N674">
        <v>0</v>
      </c>
    </row>
    <row r="675" spans="1:14" x14ac:dyDescent="0.25">
      <c r="A675">
        <v>555.79437199999995</v>
      </c>
      <c r="B675" s="1">
        <f>DATE(2011,11,7) + TIME(19,3,53)</f>
        <v>40854.794363425928</v>
      </c>
      <c r="C675">
        <v>1304.3536377</v>
      </c>
      <c r="D675">
        <v>1291.3795166</v>
      </c>
      <c r="E675">
        <v>1345.1665039</v>
      </c>
      <c r="F675">
        <v>1341.2609863</v>
      </c>
      <c r="G675">
        <v>80</v>
      </c>
      <c r="H675">
        <v>78.085365295000003</v>
      </c>
      <c r="I675">
        <v>50</v>
      </c>
      <c r="J675">
        <v>48.084041595000002</v>
      </c>
      <c r="K675">
        <v>0</v>
      </c>
      <c r="L675">
        <v>1200</v>
      </c>
      <c r="M675">
        <v>1200</v>
      </c>
      <c r="N675">
        <v>0</v>
      </c>
    </row>
    <row r="676" spans="1:14" x14ac:dyDescent="0.25">
      <c r="A676">
        <v>556.44612500000005</v>
      </c>
      <c r="B676" s="1">
        <f>DATE(2011,11,8) + TIME(10,42,25)</f>
        <v>40855.446122685185</v>
      </c>
      <c r="C676">
        <v>1304.3304443</v>
      </c>
      <c r="D676">
        <v>1291.3500977000001</v>
      </c>
      <c r="E676">
        <v>1345.1208495999999</v>
      </c>
      <c r="F676">
        <v>1341.2270507999999</v>
      </c>
      <c r="G676">
        <v>80</v>
      </c>
      <c r="H676">
        <v>77.950904846</v>
      </c>
      <c r="I676">
        <v>50</v>
      </c>
      <c r="J676">
        <v>48.440994263</v>
      </c>
      <c r="K676">
        <v>0</v>
      </c>
      <c r="L676">
        <v>1200</v>
      </c>
      <c r="M676">
        <v>1200</v>
      </c>
      <c r="N676">
        <v>0</v>
      </c>
    </row>
    <row r="677" spans="1:14" x14ac:dyDescent="0.25">
      <c r="A677">
        <v>557.12836500000003</v>
      </c>
      <c r="B677" s="1">
        <f>DATE(2011,11,9) + TIME(3,4,50)</f>
        <v>40856.12835648148</v>
      </c>
      <c r="C677">
        <v>1304.3061522999999</v>
      </c>
      <c r="D677">
        <v>1291.3192139</v>
      </c>
      <c r="E677">
        <v>1345.0766602000001</v>
      </c>
      <c r="F677">
        <v>1341.1923827999999</v>
      </c>
      <c r="G677">
        <v>80</v>
      </c>
      <c r="H677">
        <v>77.812034607000001</v>
      </c>
      <c r="I677">
        <v>50</v>
      </c>
      <c r="J677">
        <v>48.730705260999997</v>
      </c>
      <c r="K677">
        <v>0</v>
      </c>
      <c r="L677">
        <v>1200</v>
      </c>
      <c r="M677">
        <v>1200</v>
      </c>
      <c r="N677">
        <v>0</v>
      </c>
    </row>
    <row r="678" spans="1:14" x14ac:dyDescent="0.25">
      <c r="A678">
        <v>557.84831699999995</v>
      </c>
      <c r="B678" s="1">
        <f>DATE(2011,11,9) + TIME(20,21,34)</f>
        <v>40856.848310185182</v>
      </c>
      <c r="C678">
        <v>1304.2805175999999</v>
      </c>
      <c r="D678">
        <v>1291.2866211</v>
      </c>
      <c r="E678">
        <v>1345.0333252</v>
      </c>
      <c r="F678">
        <v>1341.1566161999999</v>
      </c>
      <c r="G678">
        <v>80</v>
      </c>
      <c r="H678">
        <v>77.667823791999993</v>
      </c>
      <c r="I678">
        <v>50</v>
      </c>
      <c r="J678">
        <v>48.964954376000001</v>
      </c>
      <c r="K678">
        <v>0</v>
      </c>
      <c r="L678">
        <v>1200</v>
      </c>
      <c r="M678">
        <v>1200</v>
      </c>
      <c r="N678">
        <v>0</v>
      </c>
    </row>
    <row r="679" spans="1:14" x14ac:dyDescent="0.25">
      <c r="A679">
        <v>558.61428699999999</v>
      </c>
      <c r="B679" s="1">
        <f>DATE(2011,11,10) + TIME(14,44,34)</f>
        <v>40857.614282407405</v>
      </c>
      <c r="C679">
        <v>1304.2531738</v>
      </c>
      <c r="D679">
        <v>1291.2518310999999</v>
      </c>
      <c r="E679">
        <v>1344.9902344</v>
      </c>
      <c r="F679">
        <v>1341.119751</v>
      </c>
      <c r="G679">
        <v>80</v>
      </c>
      <c r="H679">
        <v>77.517196655000006</v>
      </c>
      <c r="I679">
        <v>50</v>
      </c>
      <c r="J679">
        <v>49.153320311999998</v>
      </c>
      <c r="K679">
        <v>0</v>
      </c>
      <c r="L679">
        <v>1200</v>
      </c>
      <c r="M679">
        <v>1200</v>
      </c>
      <c r="N679">
        <v>0</v>
      </c>
    </row>
    <row r="680" spans="1:14" x14ac:dyDescent="0.25">
      <c r="A680">
        <v>559.43617200000006</v>
      </c>
      <c r="B680" s="1">
        <f>DATE(2011,11,11) + TIME(10,28,5)</f>
        <v>40858.436168981483</v>
      </c>
      <c r="C680">
        <v>1304.2238769999999</v>
      </c>
      <c r="D680">
        <v>1291.2147216999999</v>
      </c>
      <c r="E680">
        <v>1344.9471435999999</v>
      </c>
      <c r="F680">
        <v>1341.0816649999999</v>
      </c>
      <c r="G680">
        <v>80</v>
      </c>
      <c r="H680">
        <v>77.358909607000001</v>
      </c>
      <c r="I680">
        <v>50</v>
      </c>
      <c r="J680">
        <v>49.303730010999999</v>
      </c>
      <c r="K680">
        <v>0</v>
      </c>
      <c r="L680">
        <v>1200</v>
      </c>
      <c r="M680">
        <v>1200</v>
      </c>
      <c r="N680">
        <v>0</v>
      </c>
    </row>
    <row r="681" spans="1:14" x14ac:dyDescent="0.25">
      <c r="A681">
        <v>560.30626600000005</v>
      </c>
      <c r="B681" s="1">
        <f>DATE(2011,11,12) + TIME(7,21,1)</f>
        <v>40859.306261574071</v>
      </c>
      <c r="C681">
        <v>1304.1920166</v>
      </c>
      <c r="D681">
        <v>1291.1744385</v>
      </c>
      <c r="E681">
        <v>1344.9039307</v>
      </c>
      <c r="F681">
        <v>1341.0424805</v>
      </c>
      <c r="G681">
        <v>80</v>
      </c>
      <c r="H681">
        <v>77.194274902000004</v>
      </c>
      <c r="I681">
        <v>50</v>
      </c>
      <c r="J681">
        <v>49.420864105</v>
      </c>
      <c r="K681">
        <v>0</v>
      </c>
      <c r="L681">
        <v>1200</v>
      </c>
      <c r="M681">
        <v>1200</v>
      </c>
      <c r="N681">
        <v>0</v>
      </c>
    </row>
    <row r="682" spans="1:14" x14ac:dyDescent="0.25">
      <c r="A682">
        <v>561.230413</v>
      </c>
      <c r="B682" s="1">
        <f>DATE(2011,11,13) + TIME(5,31,47)</f>
        <v>40860.230405092596</v>
      </c>
      <c r="C682">
        <v>1304.1578368999999</v>
      </c>
      <c r="D682">
        <v>1291.1314697</v>
      </c>
      <c r="E682">
        <v>1344.8607178</v>
      </c>
      <c r="F682">
        <v>1341.0025635</v>
      </c>
      <c r="G682">
        <v>80</v>
      </c>
      <c r="H682">
        <v>77.022758483999993</v>
      </c>
      <c r="I682">
        <v>50</v>
      </c>
      <c r="J682">
        <v>49.511329650999997</v>
      </c>
      <c r="K682">
        <v>0</v>
      </c>
      <c r="L682">
        <v>1200</v>
      </c>
      <c r="M682">
        <v>1200</v>
      </c>
      <c r="N682">
        <v>0</v>
      </c>
    </row>
    <row r="683" spans="1:14" x14ac:dyDescent="0.25">
      <c r="A683">
        <v>562.21686899999997</v>
      </c>
      <c r="B683" s="1">
        <f>DATE(2011,11,14) + TIME(5,12,17)</f>
        <v>40861.216863425929</v>
      </c>
      <c r="C683">
        <v>1304.1212158000001</v>
      </c>
      <c r="D683">
        <v>1291.0853271000001</v>
      </c>
      <c r="E683">
        <v>1344.8173827999999</v>
      </c>
      <c r="F683">
        <v>1340.9619141000001</v>
      </c>
      <c r="G683">
        <v>80</v>
      </c>
      <c r="H683">
        <v>76.843521117999998</v>
      </c>
      <c r="I683">
        <v>50</v>
      </c>
      <c r="J683">
        <v>49.580745696999998</v>
      </c>
      <c r="K683">
        <v>0</v>
      </c>
      <c r="L683">
        <v>1200</v>
      </c>
      <c r="M683">
        <v>1200</v>
      </c>
      <c r="N683">
        <v>0</v>
      </c>
    </row>
    <row r="684" spans="1:14" x14ac:dyDescent="0.25">
      <c r="A684">
        <v>563.27748199999996</v>
      </c>
      <c r="B684" s="1">
        <f>DATE(2011,11,15) + TIME(6,39,34)</f>
        <v>40862.27747685185</v>
      </c>
      <c r="C684">
        <v>1304.0816649999999</v>
      </c>
      <c r="D684">
        <v>1291.0355225000001</v>
      </c>
      <c r="E684">
        <v>1344.7738036999999</v>
      </c>
      <c r="F684">
        <v>1340.9206543</v>
      </c>
      <c r="G684">
        <v>80</v>
      </c>
      <c r="H684">
        <v>76.655311584000003</v>
      </c>
      <c r="I684">
        <v>50</v>
      </c>
      <c r="J684">
        <v>49.633777618000003</v>
      </c>
      <c r="K684">
        <v>0</v>
      </c>
      <c r="L684">
        <v>1200</v>
      </c>
      <c r="M684">
        <v>1200</v>
      </c>
      <c r="N684">
        <v>0</v>
      </c>
    </row>
    <row r="685" spans="1:14" x14ac:dyDescent="0.25">
      <c r="A685">
        <v>564.42681600000003</v>
      </c>
      <c r="B685" s="1">
        <f>DATE(2011,11,16) + TIME(10,14,36)</f>
        <v>40863.426805555559</v>
      </c>
      <c r="C685">
        <v>1304.0385742000001</v>
      </c>
      <c r="D685">
        <v>1290.9813231999999</v>
      </c>
      <c r="E685">
        <v>1344.7294922000001</v>
      </c>
      <c r="F685">
        <v>1340.8786620999999</v>
      </c>
      <c r="G685">
        <v>80</v>
      </c>
      <c r="H685">
        <v>76.456626892000003</v>
      </c>
      <c r="I685">
        <v>50</v>
      </c>
      <c r="J685">
        <v>49.674175261999999</v>
      </c>
      <c r="K685">
        <v>0</v>
      </c>
      <c r="L685">
        <v>1200</v>
      </c>
      <c r="M685">
        <v>1200</v>
      </c>
      <c r="N685">
        <v>0</v>
      </c>
    </row>
    <row r="686" spans="1:14" x14ac:dyDescent="0.25">
      <c r="A686">
        <v>565.670616</v>
      </c>
      <c r="B686" s="1">
        <f>DATE(2011,11,17) + TIME(16,5,41)</f>
        <v>40864.670613425929</v>
      </c>
      <c r="C686">
        <v>1303.9913329999999</v>
      </c>
      <c r="D686">
        <v>1290.921875</v>
      </c>
      <c r="E686">
        <v>1344.6844481999999</v>
      </c>
      <c r="F686">
        <v>1340.8355713000001</v>
      </c>
      <c r="G686">
        <v>80</v>
      </c>
      <c r="H686">
        <v>76.247047424000002</v>
      </c>
      <c r="I686">
        <v>50</v>
      </c>
      <c r="J686">
        <v>49.704708099000001</v>
      </c>
      <c r="K686">
        <v>0</v>
      </c>
      <c r="L686">
        <v>1200</v>
      </c>
      <c r="M686">
        <v>1200</v>
      </c>
      <c r="N686">
        <v>0</v>
      </c>
    </row>
    <row r="687" spans="1:14" x14ac:dyDescent="0.25">
      <c r="A687">
        <v>566.96807200000001</v>
      </c>
      <c r="B687" s="1">
        <f>DATE(2011,11,18) + TIME(23,14,1)</f>
        <v>40865.96806712963</v>
      </c>
      <c r="C687">
        <v>1303.9390868999999</v>
      </c>
      <c r="D687">
        <v>1290.8568115</v>
      </c>
      <c r="E687">
        <v>1344.6385498</v>
      </c>
      <c r="F687">
        <v>1340.791626</v>
      </c>
      <c r="G687">
        <v>80</v>
      </c>
      <c r="H687">
        <v>76.031410217000001</v>
      </c>
      <c r="I687">
        <v>50</v>
      </c>
      <c r="J687">
        <v>49.727138519</v>
      </c>
      <c r="K687">
        <v>0</v>
      </c>
      <c r="L687">
        <v>1200</v>
      </c>
      <c r="M687">
        <v>1200</v>
      </c>
      <c r="N687">
        <v>0</v>
      </c>
    </row>
    <row r="688" spans="1:14" x14ac:dyDescent="0.25">
      <c r="A688">
        <v>568.300794</v>
      </c>
      <c r="B688" s="1">
        <f>DATE(2011,11,20) + TIME(7,13,8)</f>
        <v>40867.300787037035</v>
      </c>
      <c r="C688">
        <v>1303.8836670000001</v>
      </c>
      <c r="D688">
        <v>1290.7877197</v>
      </c>
      <c r="E688">
        <v>1344.5936279</v>
      </c>
      <c r="F688">
        <v>1340.7485352000001</v>
      </c>
      <c r="G688">
        <v>80</v>
      </c>
      <c r="H688">
        <v>75.812538146999998</v>
      </c>
      <c r="I688">
        <v>50</v>
      </c>
      <c r="J688">
        <v>49.743637085000003</v>
      </c>
      <c r="K688">
        <v>0</v>
      </c>
      <c r="L688">
        <v>1200</v>
      </c>
      <c r="M688">
        <v>1200</v>
      </c>
      <c r="N688">
        <v>0</v>
      </c>
    </row>
    <row r="689" spans="1:14" x14ac:dyDescent="0.25">
      <c r="A689">
        <v>569.67953799999998</v>
      </c>
      <c r="B689" s="1">
        <f>DATE(2011,11,21) + TIME(16,18,32)</f>
        <v>40868.679537037038</v>
      </c>
      <c r="C689">
        <v>1303.8258057</v>
      </c>
      <c r="D689">
        <v>1290.715332</v>
      </c>
      <c r="E689">
        <v>1344.550293</v>
      </c>
      <c r="F689">
        <v>1340.7070312000001</v>
      </c>
      <c r="G689">
        <v>80</v>
      </c>
      <c r="H689">
        <v>75.590187072999996</v>
      </c>
      <c r="I689">
        <v>50</v>
      </c>
      <c r="J689">
        <v>49.756084442000002</v>
      </c>
      <c r="K689">
        <v>0</v>
      </c>
      <c r="L689">
        <v>1200</v>
      </c>
      <c r="M689">
        <v>1200</v>
      </c>
      <c r="N689">
        <v>0</v>
      </c>
    </row>
    <row r="690" spans="1:14" x14ac:dyDescent="0.25">
      <c r="A690">
        <v>571.11408100000006</v>
      </c>
      <c r="B690" s="1">
        <f>DATE(2011,11,23) + TIME(2,44,16)</f>
        <v>40870.114074074074</v>
      </c>
      <c r="C690">
        <v>1303.7650146000001</v>
      </c>
      <c r="D690">
        <v>1290.6390381000001</v>
      </c>
      <c r="E690">
        <v>1344.5080565999999</v>
      </c>
      <c r="F690">
        <v>1340.6667480000001</v>
      </c>
      <c r="G690">
        <v>80</v>
      </c>
      <c r="H690">
        <v>75.36390686</v>
      </c>
      <c r="I690">
        <v>50</v>
      </c>
      <c r="J690">
        <v>49.765716552999997</v>
      </c>
      <c r="K690">
        <v>0</v>
      </c>
      <c r="L690">
        <v>1200</v>
      </c>
      <c r="M690">
        <v>1200</v>
      </c>
      <c r="N690">
        <v>0</v>
      </c>
    </row>
    <row r="691" spans="1:14" x14ac:dyDescent="0.25">
      <c r="A691">
        <v>572.61966099999995</v>
      </c>
      <c r="B691" s="1">
        <f>DATE(2011,11,24) + TIME(14,52,18)</f>
        <v>40871.619652777779</v>
      </c>
      <c r="C691">
        <v>1303.7008057</v>
      </c>
      <c r="D691">
        <v>1290.5578613</v>
      </c>
      <c r="E691">
        <v>1344.4666748</v>
      </c>
      <c r="F691">
        <v>1340.6273193</v>
      </c>
      <c r="G691">
        <v>80</v>
      </c>
      <c r="H691">
        <v>75.132568359000004</v>
      </c>
      <c r="I691">
        <v>50</v>
      </c>
      <c r="J691">
        <v>49.773380279999998</v>
      </c>
      <c r="K691">
        <v>0</v>
      </c>
      <c r="L691">
        <v>1200</v>
      </c>
      <c r="M691">
        <v>1200</v>
      </c>
      <c r="N691">
        <v>0</v>
      </c>
    </row>
    <row r="692" spans="1:14" x14ac:dyDescent="0.25">
      <c r="A692">
        <v>574.17746499999998</v>
      </c>
      <c r="B692" s="1">
        <f>DATE(2011,11,26) + TIME(4,15,32)</f>
        <v>40873.177453703705</v>
      </c>
      <c r="C692">
        <v>1303.6318358999999</v>
      </c>
      <c r="D692">
        <v>1290.4709473</v>
      </c>
      <c r="E692">
        <v>1344.4257812000001</v>
      </c>
      <c r="F692">
        <v>1340.5883789</v>
      </c>
      <c r="G692">
        <v>80</v>
      </c>
      <c r="H692">
        <v>74.898071289000001</v>
      </c>
      <c r="I692">
        <v>50</v>
      </c>
      <c r="J692">
        <v>49.779529572000001</v>
      </c>
      <c r="K692">
        <v>0</v>
      </c>
      <c r="L692">
        <v>1200</v>
      </c>
      <c r="M692">
        <v>1200</v>
      </c>
      <c r="N692">
        <v>0</v>
      </c>
    </row>
    <row r="693" spans="1:14" x14ac:dyDescent="0.25">
      <c r="A693">
        <v>575.79463599999997</v>
      </c>
      <c r="B693" s="1">
        <f>DATE(2011,11,27) + TIME(19,4,16)</f>
        <v>40874.794629629629</v>
      </c>
      <c r="C693">
        <v>1303.559082</v>
      </c>
      <c r="D693">
        <v>1290.3787841999999</v>
      </c>
      <c r="E693">
        <v>1344.3858643000001</v>
      </c>
      <c r="F693">
        <v>1340.5504149999999</v>
      </c>
      <c r="G693">
        <v>80</v>
      </c>
      <c r="H693">
        <v>74.660148621000005</v>
      </c>
      <c r="I693">
        <v>50</v>
      </c>
      <c r="J693">
        <v>49.784576416</v>
      </c>
      <c r="K693">
        <v>0</v>
      </c>
      <c r="L693">
        <v>1200</v>
      </c>
      <c r="M693">
        <v>1200</v>
      </c>
      <c r="N693">
        <v>0</v>
      </c>
    </row>
    <row r="694" spans="1:14" x14ac:dyDescent="0.25">
      <c r="A694">
        <v>577.48627099999999</v>
      </c>
      <c r="B694" s="1">
        <f>DATE(2011,11,29) + TIME(11,40,13)</f>
        <v>40876.486261574071</v>
      </c>
      <c r="C694">
        <v>1303.4820557</v>
      </c>
      <c r="D694">
        <v>1290.2806396000001</v>
      </c>
      <c r="E694">
        <v>1344.3468018000001</v>
      </c>
      <c r="F694">
        <v>1340.5134277</v>
      </c>
      <c r="G694">
        <v>80</v>
      </c>
      <c r="H694">
        <v>74.417839049999998</v>
      </c>
      <c r="I694">
        <v>50</v>
      </c>
      <c r="J694">
        <v>49.788822174000003</v>
      </c>
      <c r="K694">
        <v>0</v>
      </c>
      <c r="L694">
        <v>1200</v>
      </c>
      <c r="M694">
        <v>1200</v>
      </c>
      <c r="N694">
        <v>0</v>
      </c>
    </row>
    <row r="695" spans="1:14" x14ac:dyDescent="0.25">
      <c r="A695">
        <v>579</v>
      </c>
      <c r="B695" s="1">
        <f>DATE(2011,12,1) + TIME(0,0,0)</f>
        <v>40878</v>
      </c>
      <c r="C695">
        <v>1303.3986815999999</v>
      </c>
      <c r="D695">
        <v>1290.1768798999999</v>
      </c>
      <c r="E695">
        <v>1344.3079834</v>
      </c>
      <c r="F695">
        <v>1340.4768065999999</v>
      </c>
      <c r="G695">
        <v>80</v>
      </c>
      <c r="H695">
        <v>74.193962096999996</v>
      </c>
      <c r="I695">
        <v>50</v>
      </c>
      <c r="J695">
        <v>49.791976929</v>
      </c>
      <c r="K695">
        <v>0</v>
      </c>
      <c r="L695">
        <v>1200</v>
      </c>
      <c r="M695">
        <v>1200</v>
      </c>
      <c r="N695">
        <v>0</v>
      </c>
    </row>
    <row r="696" spans="1:14" x14ac:dyDescent="0.25">
      <c r="A696">
        <v>580.783096</v>
      </c>
      <c r="B696" s="1">
        <f>DATE(2011,12,2) + TIME(18,47,39)</f>
        <v>40879.783090277779</v>
      </c>
      <c r="C696">
        <v>1303.3236084</v>
      </c>
      <c r="D696">
        <v>1290.0776367000001</v>
      </c>
      <c r="E696">
        <v>1344.2756348</v>
      </c>
      <c r="F696">
        <v>1340.4462891000001</v>
      </c>
      <c r="G696">
        <v>80</v>
      </c>
      <c r="H696">
        <v>73.952491760000001</v>
      </c>
      <c r="I696">
        <v>50</v>
      </c>
      <c r="J696">
        <v>49.795074462999999</v>
      </c>
      <c r="K696">
        <v>0</v>
      </c>
      <c r="L696">
        <v>1200</v>
      </c>
      <c r="M696">
        <v>1200</v>
      </c>
      <c r="N696">
        <v>0</v>
      </c>
    </row>
    <row r="697" spans="1:14" x14ac:dyDescent="0.25">
      <c r="A697">
        <v>582.79191700000001</v>
      </c>
      <c r="B697" s="1">
        <f>DATE(2011,12,4) + TIME(19,0,21)</f>
        <v>40881.791909722226</v>
      </c>
      <c r="C697">
        <v>1303.2331543</v>
      </c>
      <c r="D697">
        <v>1289.9599608999999</v>
      </c>
      <c r="E697">
        <v>1344.2392577999999</v>
      </c>
      <c r="F697">
        <v>1340.4122314000001</v>
      </c>
      <c r="G697">
        <v>80</v>
      </c>
      <c r="H697">
        <v>73.694427489999995</v>
      </c>
      <c r="I697">
        <v>50</v>
      </c>
      <c r="J697">
        <v>49.797981262</v>
      </c>
      <c r="K697">
        <v>0</v>
      </c>
      <c r="L697">
        <v>1200</v>
      </c>
      <c r="M697">
        <v>1200</v>
      </c>
      <c r="N697">
        <v>0</v>
      </c>
    </row>
    <row r="698" spans="1:14" x14ac:dyDescent="0.25">
      <c r="A698">
        <v>584.84386099999995</v>
      </c>
      <c r="B698" s="1">
        <f>DATE(2011,12,6) + TIME(20,15,9)</f>
        <v>40883.843854166669</v>
      </c>
      <c r="C698">
        <v>1303.1280518000001</v>
      </c>
      <c r="D698">
        <v>1289.8253173999999</v>
      </c>
      <c r="E698">
        <v>1344.2004394999999</v>
      </c>
      <c r="F698">
        <v>1340.3757324000001</v>
      </c>
      <c r="G698">
        <v>80</v>
      </c>
      <c r="H698">
        <v>73.431190490999995</v>
      </c>
      <c r="I698">
        <v>50</v>
      </c>
      <c r="J698">
        <v>49.800472259999999</v>
      </c>
      <c r="K698">
        <v>0</v>
      </c>
      <c r="L698">
        <v>1200</v>
      </c>
      <c r="M698">
        <v>1200</v>
      </c>
      <c r="N698">
        <v>0</v>
      </c>
    </row>
    <row r="699" spans="1:14" x14ac:dyDescent="0.25">
      <c r="A699">
        <v>586.92901500000005</v>
      </c>
      <c r="B699" s="1">
        <f>DATE(2011,12,8) + TIME(22,17,46)</f>
        <v>40885.92900462963</v>
      </c>
      <c r="C699">
        <v>1303.0174560999999</v>
      </c>
      <c r="D699">
        <v>1289.6824951000001</v>
      </c>
      <c r="E699">
        <v>1344.1629639</v>
      </c>
      <c r="F699">
        <v>1340.3406981999999</v>
      </c>
      <c r="G699">
        <v>80</v>
      </c>
      <c r="H699">
        <v>73.166107178000004</v>
      </c>
      <c r="I699">
        <v>50</v>
      </c>
      <c r="J699">
        <v>49.802623748999999</v>
      </c>
      <c r="K699">
        <v>0</v>
      </c>
      <c r="L699">
        <v>1200</v>
      </c>
      <c r="M699">
        <v>1200</v>
      </c>
      <c r="N699">
        <v>0</v>
      </c>
    </row>
    <row r="700" spans="1:14" x14ac:dyDescent="0.25">
      <c r="A700">
        <v>589.05163500000003</v>
      </c>
      <c r="B700" s="1">
        <f>DATE(2011,12,11) + TIME(1,14,21)</f>
        <v>40888.051631944443</v>
      </c>
      <c r="C700">
        <v>1302.9018555</v>
      </c>
      <c r="D700">
        <v>1289.5316161999999</v>
      </c>
      <c r="E700">
        <v>1344.1270752</v>
      </c>
      <c r="F700">
        <v>1340.3071289</v>
      </c>
      <c r="G700">
        <v>80</v>
      </c>
      <c r="H700">
        <v>72.900573730000005</v>
      </c>
      <c r="I700">
        <v>50</v>
      </c>
      <c r="J700">
        <v>49.804508208999998</v>
      </c>
      <c r="K700">
        <v>0</v>
      </c>
      <c r="L700">
        <v>1200</v>
      </c>
      <c r="M700">
        <v>1200</v>
      </c>
      <c r="N700">
        <v>0</v>
      </c>
    </row>
    <row r="701" spans="1:14" x14ac:dyDescent="0.25">
      <c r="A701">
        <v>591.20848599999999</v>
      </c>
      <c r="B701" s="1">
        <f>DATE(2011,12,13) + TIME(5,0,13)</f>
        <v>40890.208483796298</v>
      </c>
      <c r="C701">
        <v>1302.7806396000001</v>
      </c>
      <c r="D701">
        <v>1289.3724365</v>
      </c>
      <c r="E701">
        <v>1344.0925293</v>
      </c>
      <c r="F701">
        <v>1340.2750243999999</v>
      </c>
      <c r="G701">
        <v>80</v>
      </c>
      <c r="H701">
        <v>72.635612488000007</v>
      </c>
      <c r="I701">
        <v>50</v>
      </c>
      <c r="J701">
        <v>49.806179047000001</v>
      </c>
      <c r="K701">
        <v>0</v>
      </c>
      <c r="L701">
        <v>1200</v>
      </c>
      <c r="M701">
        <v>1200</v>
      </c>
      <c r="N701">
        <v>0</v>
      </c>
    </row>
    <row r="702" spans="1:14" x14ac:dyDescent="0.25">
      <c r="A702">
        <v>593.38284599999997</v>
      </c>
      <c r="B702" s="1">
        <f>DATE(2011,12,15) + TIME(9,11,17)</f>
        <v>40892.382835648146</v>
      </c>
      <c r="C702">
        <v>1302.6538086</v>
      </c>
      <c r="D702">
        <v>1289.2048339999999</v>
      </c>
      <c r="E702">
        <v>1344.0593262</v>
      </c>
      <c r="F702">
        <v>1340.2442627</v>
      </c>
      <c r="G702">
        <v>80</v>
      </c>
      <c r="H702">
        <v>72.372772217000005</v>
      </c>
      <c r="I702">
        <v>50</v>
      </c>
      <c r="J702">
        <v>49.807666779000002</v>
      </c>
      <c r="K702">
        <v>0</v>
      </c>
      <c r="L702">
        <v>1200</v>
      </c>
      <c r="M702">
        <v>1200</v>
      </c>
      <c r="N702">
        <v>0</v>
      </c>
    </row>
    <row r="703" spans="1:14" x14ac:dyDescent="0.25">
      <c r="A703">
        <v>595.57986600000004</v>
      </c>
      <c r="B703" s="1">
        <f>DATE(2011,12,17) + TIME(13,55,0)</f>
        <v>40894.579861111109</v>
      </c>
      <c r="C703">
        <v>1302.5220947</v>
      </c>
      <c r="D703">
        <v>1289.0294189000001</v>
      </c>
      <c r="E703">
        <v>1344.0277100000001</v>
      </c>
      <c r="F703">
        <v>1340.2148437999999</v>
      </c>
      <c r="G703">
        <v>80</v>
      </c>
      <c r="H703">
        <v>72.112136840999995</v>
      </c>
      <c r="I703">
        <v>50</v>
      </c>
      <c r="J703">
        <v>49.809013366999999</v>
      </c>
      <c r="K703">
        <v>0</v>
      </c>
      <c r="L703">
        <v>1200</v>
      </c>
      <c r="M703">
        <v>1200</v>
      </c>
      <c r="N703">
        <v>0</v>
      </c>
    </row>
    <row r="704" spans="1:14" x14ac:dyDescent="0.25">
      <c r="A704">
        <v>597.80445699999996</v>
      </c>
      <c r="B704" s="1">
        <f>DATE(2011,12,19) + TIME(19,18,25)</f>
        <v>40896.804456018515</v>
      </c>
      <c r="C704">
        <v>1302.3850098</v>
      </c>
      <c r="D704">
        <v>1288.8457031</v>
      </c>
      <c r="E704">
        <v>1343.9973144999999</v>
      </c>
      <c r="F704">
        <v>1340.1868896000001</v>
      </c>
      <c r="G704">
        <v>80</v>
      </c>
      <c r="H704">
        <v>71.853355407999999</v>
      </c>
      <c r="I704">
        <v>50</v>
      </c>
      <c r="J704">
        <v>49.810249329000001</v>
      </c>
      <c r="K704">
        <v>0</v>
      </c>
      <c r="L704">
        <v>1200</v>
      </c>
      <c r="M704">
        <v>1200</v>
      </c>
      <c r="N704">
        <v>0</v>
      </c>
    </row>
    <row r="705" spans="1:14" x14ac:dyDescent="0.25">
      <c r="A705">
        <v>600.06102599999997</v>
      </c>
      <c r="B705" s="1">
        <f>DATE(2011,12,22) + TIME(1,27,52)</f>
        <v>40899.061018518521</v>
      </c>
      <c r="C705">
        <v>1302.2423096</v>
      </c>
      <c r="D705">
        <v>1288.6529541</v>
      </c>
      <c r="E705">
        <v>1343.9681396000001</v>
      </c>
      <c r="F705">
        <v>1340.1599120999999</v>
      </c>
      <c r="G705">
        <v>80</v>
      </c>
      <c r="H705">
        <v>71.595870972</v>
      </c>
      <c r="I705">
        <v>50</v>
      </c>
      <c r="J705">
        <v>49.811401367000002</v>
      </c>
      <c r="K705">
        <v>0</v>
      </c>
      <c r="L705">
        <v>1200</v>
      </c>
      <c r="M705">
        <v>1200</v>
      </c>
      <c r="N705">
        <v>0</v>
      </c>
    </row>
    <row r="706" spans="1:14" x14ac:dyDescent="0.25">
      <c r="A706">
        <v>602.35392300000001</v>
      </c>
      <c r="B706" s="1">
        <f>DATE(2011,12,24) + TIME(8,29,38)</f>
        <v>40901.353912037041</v>
      </c>
      <c r="C706">
        <v>1302.0932617000001</v>
      </c>
      <c r="D706">
        <v>1288.4505615</v>
      </c>
      <c r="E706">
        <v>1343.9400635</v>
      </c>
      <c r="F706">
        <v>1340.1340332</v>
      </c>
      <c r="G706">
        <v>80</v>
      </c>
      <c r="H706">
        <v>71.339012146000002</v>
      </c>
      <c r="I706">
        <v>50</v>
      </c>
      <c r="J706">
        <v>49.812488555999998</v>
      </c>
      <c r="K706">
        <v>0</v>
      </c>
      <c r="L706">
        <v>1200</v>
      </c>
      <c r="M706">
        <v>1200</v>
      </c>
      <c r="N706">
        <v>0</v>
      </c>
    </row>
    <row r="707" spans="1:14" x14ac:dyDescent="0.25">
      <c r="A707">
        <v>604.68760899999995</v>
      </c>
      <c r="B707" s="1">
        <f>DATE(2011,12,26) + TIME(16,30,9)</f>
        <v>40903.687604166669</v>
      </c>
      <c r="C707">
        <v>1301.9376221</v>
      </c>
      <c r="D707">
        <v>1288.2376709</v>
      </c>
      <c r="E707">
        <v>1343.9128418</v>
      </c>
      <c r="F707">
        <v>1340.1090088000001</v>
      </c>
      <c r="G707">
        <v>80</v>
      </c>
      <c r="H707">
        <v>71.08203125</v>
      </c>
      <c r="I707">
        <v>50</v>
      </c>
      <c r="J707">
        <v>49.813522339000002</v>
      </c>
      <c r="K707">
        <v>0</v>
      </c>
      <c r="L707">
        <v>1200</v>
      </c>
      <c r="M707">
        <v>1200</v>
      </c>
      <c r="N707">
        <v>0</v>
      </c>
    </row>
    <row r="708" spans="1:14" x14ac:dyDescent="0.25">
      <c r="A708">
        <v>607.06396700000005</v>
      </c>
      <c r="B708" s="1">
        <f>DATE(2011,12,29) + TIME(1,32,6)</f>
        <v>40906.063958333332</v>
      </c>
      <c r="C708">
        <v>1301.7746582</v>
      </c>
      <c r="D708">
        <v>1288.0135498</v>
      </c>
      <c r="E708">
        <v>1343.8863524999999</v>
      </c>
      <c r="F708">
        <v>1340.0847168</v>
      </c>
      <c r="G708">
        <v>80</v>
      </c>
      <c r="H708">
        <v>70.824287415000001</v>
      </c>
      <c r="I708">
        <v>50</v>
      </c>
      <c r="J708">
        <v>49.814521790000001</v>
      </c>
      <c r="K708">
        <v>0</v>
      </c>
      <c r="L708">
        <v>1200</v>
      </c>
      <c r="M708">
        <v>1200</v>
      </c>
      <c r="N708">
        <v>0</v>
      </c>
    </row>
    <row r="709" spans="1:14" x14ac:dyDescent="0.25">
      <c r="A709">
        <v>609.46806900000001</v>
      </c>
      <c r="B709" s="1">
        <f>DATE(2011,12,31) + TIME(11,14,1)</f>
        <v>40908.46806712963</v>
      </c>
      <c r="C709">
        <v>1301.6042480000001</v>
      </c>
      <c r="D709">
        <v>1287.7777100000001</v>
      </c>
      <c r="E709">
        <v>1343.8607178</v>
      </c>
      <c r="F709">
        <v>1340.0612793</v>
      </c>
      <c r="G709">
        <v>80</v>
      </c>
      <c r="H709">
        <v>70.566123962000006</v>
      </c>
      <c r="I709">
        <v>50</v>
      </c>
      <c r="J709">
        <v>49.815483092999997</v>
      </c>
      <c r="K709">
        <v>0</v>
      </c>
      <c r="L709">
        <v>1200</v>
      </c>
      <c r="M709">
        <v>1200</v>
      </c>
      <c r="N709">
        <v>0</v>
      </c>
    </row>
    <row r="710" spans="1:14" x14ac:dyDescent="0.25">
      <c r="A710">
        <v>610</v>
      </c>
      <c r="B710" s="1">
        <f>DATE(2012,1,1) + TIME(0,0,0)</f>
        <v>40909</v>
      </c>
      <c r="C710">
        <v>1301.4335937999999</v>
      </c>
      <c r="D710">
        <v>1287.5716553</v>
      </c>
      <c r="E710">
        <v>1343.833374</v>
      </c>
      <c r="F710">
        <v>1340.0361327999999</v>
      </c>
      <c r="G710">
        <v>80</v>
      </c>
      <c r="H710">
        <v>70.477005004999995</v>
      </c>
      <c r="I710">
        <v>50</v>
      </c>
      <c r="J710">
        <v>49.815673828000001</v>
      </c>
      <c r="K710">
        <v>0</v>
      </c>
      <c r="L710">
        <v>1200</v>
      </c>
      <c r="M710">
        <v>1200</v>
      </c>
      <c r="N710">
        <v>0</v>
      </c>
    </row>
    <row r="711" spans="1:14" x14ac:dyDescent="0.25">
      <c r="A711">
        <v>612.43577700000003</v>
      </c>
      <c r="B711" s="1">
        <f>DATE(2012,1,3) + TIME(10,27,31)</f>
        <v>40911.43577546296</v>
      </c>
      <c r="C711">
        <v>1301.3834228999999</v>
      </c>
      <c r="D711">
        <v>1287.4654541</v>
      </c>
      <c r="E711">
        <v>1343.8309326000001</v>
      </c>
      <c r="F711">
        <v>1340.0340576000001</v>
      </c>
      <c r="G711">
        <v>80</v>
      </c>
      <c r="H711">
        <v>70.233238220000004</v>
      </c>
      <c r="I711">
        <v>50</v>
      </c>
      <c r="J711">
        <v>49.816608428999999</v>
      </c>
      <c r="K711">
        <v>0</v>
      </c>
      <c r="L711">
        <v>1200</v>
      </c>
      <c r="M711">
        <v>1200</v>
      </c>
      <c r="N711">
        <v>0</v>
      </c>
    </row>
    <row r="712" spans="1:14" x14ac:dyDescent="0.25">
      <c r="A712">
        <v>614.90430500000002</v>
      </c>
      <c r="B712" s="1">
        <f>DATE(2012,1,5) + TIME(21,42,11)</f>
        <v>40913.904293981483</v>
      </c>
      <c r="C712">
        <v>1301.199707</v>
      </c>
      <c r="D712">
        <v>1287.2098389</v>
      </c>
      <c r="E712">
        <v>1343.807251</v>
      </c>
      <c r="F712">
        <v>1340.0125731999999</v>
      </c>
      <c r="G712">
        <v>80</v>
      </c>
      <c r="H712">
        <v>69.981269835999996</v>
      </c>
      <c r="I712">
        <v>50</v>
      </c>
      <c r="J712">
        <v>49.817512512</v>
      </c>
      <c r="K712">
        <v>0</v>
      </c>
      <c r="L712">
        <v>1200</v>
      </c>
      <c r="M712">
        <v>1200</v>
      </c>
      <c r="N712">
        <v>0</v>
      </c>
    </row>
    <row r="713" spans="1:14" x14ac:dyDescent="0.25">
      <c r="A713">
        <v>617.40435400000001</v>
      </c>
      <c r="B713" s="1">
        <f>DATE(2012,1,8) + TIME(9,42,16)</f>
        <v>40916.404351851852</v>
      </c>
      <c r="C713">
        <v>1301.0076904</v>
      </c>
      <c r="D713">
        <v>1286.9400635</v>
      </c>
      <c r="E713">
        <v>1343.7843018000001</v>
      </c>
      <c r="F713">
        <v>1339.9916992000001</v>
      </c>
      <c r="G713">
        <v>80</v>
      </c>
      <c r="H713">
        <v>69.723556518999999</v>
      </c>
      <c r="I713">
        <v>50</v>
      </c>
      <c r="J713">
        <v>49.818401336999997</v>
      </c>
      <c r="K713">
        <v>0</v>
      </c>
      <c r="L713">
        <v>1200</v>
      </c>
      <c r="M713">
        <v>1200</v>
      </c>
      <c r="N713">
        <v>0</v>
      </c>
    </row>
    <row r="714" spans="1:14" x14ac:dyDescent="0.25">
      <c r="A714">
        <v>619.93932500000005</v>
      </c>
      <c r="B714" s="1">
        <f>DATE(2012,1,10) + TIME(22,32,37)</f>
        <v>40918.939317129632</v>
      </c>
      <c r="C714">
        <v>1300.8079834</v>
      </c>
      <c r="D714">
        <v>1286.6569824000001</v>
      </c>
      <c r="E714">
        <v>1343.762207</v>
      </c>
      <c r="F714">
        <v>1339.9715576000001</v>
      </c>
      <c r="G714">
        <v>80</v>
      </c>
      <c r="H714">
        <v>69.461288452000005</v>
      </c>
      <c r="I714">
        <v>50</v>
      </c>
      <c r="J714">
        <v>49.819271088000001</v>
      </c>
      <c r="K714">
        <v>0</v>
      </c>
      <c r="L714">
        <v>1200</v>
      </c>
      <c r="M714">
        <v>1200</v>
      </c>
      <c r="N714">
        <v>0</v>
      </c>
    </row>
    <row r="715" spans="1:14" x14ac:dyDescent="0.25">
      <c r="A715">
        <v>622.50714700000003</v>
      </c>
      <c r="B715" s="1">
        <f>DATE(2012,1,13) + TIME(12,10,17)</f>
        <v>40921.507141203707</v>
      </c>
      <c r="C715">
        <v>1300.6003418</v>
      </c>
      <c r="D715">
        <v>1286.3608397999999</v>
      </c>
      <c r="E715">
        <v>1343.7407227000001</v>
      </c>
      <c r="F715">
        <v>1339.9521483999999</v>
      </c>
      <c r="G715">
        <v>80</v>
      </c>
      <c r="H715">
        <v>69.194869995000005</v>
      </c>
      <c r="I715">
        <v>50</v>
      </c>
      <c r="J715">
        <v>49.820133208999998</v>
      </c>
      <c r="K715">
        <v>0</v>
      </c>
      <c r="L715">
        <v>1200</v>
      </c>
      <c r="M715">
        <v>1200</v>
      </c>
      <c r="N715">
        <v>0</v>
      </c>
    </row>
    <row r="716" spans="1:14" x14ac:dyDescent="0.25">
      <c r="A716">
        <v>625.11146499999995</v>
      </c>
      <c r="B716" s="1">
        <f>DATE(2012,1,16) + TIME(2,40,30)</f>
        <v>40924.111458333333</v>
      </c>
      <c r="C716">
        <v>1300.3848877</v>
      </c>
      <c r="D716">
        <v>1286.0516356999999</v>
      </c>
      <c r="E716">
        <v>1343.7198486</v>
      </c>
      <c r="F716">
        <v>1339.9334716999999</v>
      </c>
      <c r="G716">
        <v>80</v>
      </c>
      <c r="H716">
        <v>68.924011230000005</v>
      </c>
      <c r="I716">
        <v>50</v>
      </c>
      <c r="J716">
        <v>49.820983886999997</v>
      </c>
      <c r="K716">
        <v>0</v>
      </c>
      <c r="L716">
        <v>1200</v>
      </c>
      <c r="M716">
        <v>1200</v>
      </c>
      <c r="N716">
        <v>0</v>
      </c>
    </row>
    <row r="717" spans="1:14" x14ac:dyDescent="0.25">
      <c r="A717">
        <v>627.74453500000004</v>
      </c>
      <c r="B717" s="1">
        <f>DATE(2012,1,18) + TIME(17,52,7)</f>
        <v>40926.744525462964</v>
      </c>
      <c r="C717">
        <v>1300.1613769999999</v>
      </c>
      <c r="D717">
        <v>1285.7292480000001</v>
      </c>
      <c r="E717">
        <v>1343.699707</v>
      </c>
      <c r="F717">
        <v>1339.9152832</v>
      </c>
      <c r="G717">
        <v>80</v>
      </c>
      <c r="H717">
        <v>68.648689270000006</v>
      </c>
      <c r="I717">
        <v>50</v>
      </c>
      <c r="J717">
        <v>49.821823119999998</v>
      </c>
      <c r="K717">
        <v>0</v>
      </c>
      <c r="L717">
        <v>1200</v>
      </c>
      <c r="M717">
        <v>1200</v>
      </c>
      <c r="N717">
        <v>0</v>
      </c>
    </row>
    <row r="718" spans="1:14" x14ac:dyDescent="0.25">
      <c r="A718">
        <v>630.41019300000005</v>
      </c>
      <c r="B718" s="1">
        <f>DATE(2012,1,21) + TIME(9,50,40)</f>
        <v>40929.410185185188</v>
      </c>
      <c r="C718">
        <v>1299.9304199000001</v>
      </c>
      <c r="D718">
        <v>1285.3939209</v>
      </c>
      <c r="E718">
        <v>1343.6801757999999</v>
      </c>
      <c r="F718">
        <v>1339.8978271000001</v>
      </c>
      <c r="G718">
        <v>80</v>
      </c>
      <c r="H718">
        <v>68.368362426999994</v>
      </c>
      <c r="I718">
        <v>50</v>
      </c>
      <c r="J718">
        <v>49.822658539000003</v>
      </c>
      <c r="K718">
        <v>0</v>
      </c>
      <c r="L718">
        <v>1200</v>
      </c>
      <c r="M718">
        <v>1200</v>
      </c>
      <c r="N718">
        <v>0</v>
      </c>
    </row>
    <row r="719" spans="1:14" x14ac:dyDescent="0.25">
      <c r="A719">
        <v>633.094021</v>
      </c>
      <c r="B719" s="1">
        <f>DATE(2012,1,24) + TIME(2,15,23)</f>
        <v>40932.0940162037</v>
      </c>
      <c r="C719">
        <v>1299.6916504000001</v>
      </c>
      <c r="D719">
        <v>1285.0457764</v>
      </c>
      <c r="E719">
        <v>1343.6612548999999</v>
      </c>
      <c r="F719">
        <v>1339.8808594</v>
      </c>
      <c r="G719">
        <v>80</v>
      </c>
      <c r="H719">
        <v>68.083190918</v>
      </c>
      <c r="I719">
        <v>50</v>
      </c>
      <c r="J719">
        <v>49.823478698999999</v>
      </c>
      <c r="K719">
        <v>0</v>
      </c>
      <c r="L719">
        <v>1200</v>
      </c>
      <c r="M719">
        <v>1200</v>
      </c>
      <c r="N719">
        <v>0</v>
      </c>
    </row>
    <row r="720" spans="1:14" x14ac:dyDescent="0.25">
      <c r="A720">
        <v>635.80222900000001</v>
      </c>
      <c r="B720" s="1">
        <f>DATE(2012,1,26) + TIME(19,15,12)</f>
        <v>40934.802222222221</v>
      </c>
      <c r="C720">
        <v>1299.4462891000001</v>
      </c>
      <c r="D720">
        <v>1284.6859131000001</v>
      </c>
      <c r="E720">
        <v>1343.6430664</v>
      </c>
      <c r="F720">
        <v>1339.8645019999999</v>
      </c>
      <c r="G720">
        <v>80</v>
      </c>
      <c r="H720">
        <v>67.792594910000005</v>
      </c>
      <c r="I720">
        <v>50</v>
      </c>
      <c r="J720">
        <v>49.824291229000004</v>
      </c>
      <c r="K720">
        <v>0</v>
      </c>
      <c r="L720">
        <v>1200</v>
      </c>
      <c r="M720">
        <v>1200</v>
      </c>
      <c r="N720">
        <v>0</v>
      </c>
    </row>
    <row r="721" spans="1:14" x14ac:dyDescent="0.25">
      <c r="A721">
        <v>638.53983400000004</v>
      </c>
      <c r="B721" s="1">
        <f>DATE(2012,1,29) + TIME(12,57,21)</f>
        <v>40937.539826388886</v>
      </c>
      <c r="C721">
        <v>1299.1939697</v>
      </c>
      <c r="D721">
        <v>1284.3137207</v>
      </c>
      <c r="E721">
        <v>1343.6253661999999</v>
      </c>
      <c r="F721">
        <v>1339.8488769999999</v>
      </c>
      <c r="G721">
        <v>80</v>
      </c>
      <c r="H721">
        <v>67.495681762999993</v>
      </c>
      <c r="I721">
        <v>50</v>
      </c>
      <c r="J721">
        <v>49.825096129999999</v>
      </c>
      <c r="K721">
        <v>0</v>
      </c>
      <c r="L721">
        <v>1200</v>
      </c>
      <c r="M721">
        <v>1200</v>
      </c>
      <c r="N721">
        <v>0</v>
      </c>
    </row>
    <row r="722" spans="1:14" x14ac:dyDescent="0.25">
      <c r="A722">
        <v>641</v>
      </c>
      <c r="B722" s="1">
        <f>DATE(2012,2,1) + TIME(0,0,0)</f>
        <v>40940</v>
      </c>
      <c r="C722">
        <v>1298.9356689000001</v>
      </c>
      <c r="D722">
        <v>1283.9353027</v>
      </c>
      <c r="E722">
        <v>1343.6079102000001</v>
      </c>
      <c r="F722">
        <v>1339.833374</v>
      </c>
      <c r="G722">
        <v>80</v>
      </c>
      <c r="H722">
        <v>67.209327697999996</v>
      </c>
      <c r="I722">
        <v>50</v>
      </c>
      <c r="J722">
        <v>49.825805664000001</v>
      </c>
      <c r="K722">
        <v>0</v>
      </c>
      <c r="L722">
        <v>1200</v>
      </c>
      <c r="M722">
        <v>1200</v>
      </c>
      <c r="N722">
        <v>0</v>
      </c>
    </row>
    <row r="723" spans="1:14" x14ac:dyDescent="0.25">
      <c r="A723">
        <v>643.77188799999999</v>
      </c>
      <c r="B723" s="1">
        <f>DATE(2012,2,3) + TIME(18,31,31)</f>
        <v>40942.771886574075</v>
      </c>
      <c r="C723">
        <v>1298.6945800999999</v>
      </c>
      <c r="D723">
        <v>1283.5692139</v>
      </c>
      <c r="E723">
        <v>1343.5935059000001</v>
      </c>
      <c r="F723">
        <v>1339.8206786999999</v>
      </c>
      <c r="G723">
        <v>80</v>
      </c>
      <c r="H723">
        <v>66.907577515</v>
      </c>
      <c r="I723">
        <v>50</v>
      </c>
      <c r="J723">
        <v>49.826595306000002</v>
      </c>
      <c r="K723">
        <v>0</v>
      </c>
      <c r="L723">
        <v>1200</v>
      </c>
      <c r="M723">
        <v>1200</v>
      </c>
      <c r="N723">
        <v>0</v>
      </c>
    </row>
    <row r="724" spans="1:14" x14ac:dyDescent="0.25">
      <c r="A724">
        <v>646.62171799999999</v>
      </c>
      <c r="B724" s="1">
        <f>DATE(2012,2,6) + TIME(14,55,16)</f>
        <v>40945.621712962966</v>
      </c>
      <c r="C724">
        <v>1298.4240723</v>
      </c>
      <c r="D724">
        <v>1283.1650391000001</v>
      </c>
      <c r="E724">
        <v>1343.5775146000001</v>
      </c>
      <c r="F724">
        <v>1339.8066406</v>
      </c>
      <c r="G724">
        <v>80</v>
      </c>
      <c r="H724">
        <v>66.591293335000003</v>
      </c>
      <c r="I724">
        <v>50</v>
      </c>
      <c r="J724">
        <v>49.827396393000001</v>
      </c>
      <c r="K724">
        <v>0</v>
      </c>
      <c r="L724">
        <v>1200</v>
      </c>
      <c r="M724">
        <v>1200</v>
      </c>
      <c r="N724">
        <v>0</v>
      </c>
    </row>
    <row r="725" spans="1:14" x14ac:dyDescent="0.25">
      <c r="A725">
        <v>649.49920599999996</v>
      </c>
      <c r="B725" s="1">
        <f>DATE(2012,2,9) + TIME(11,58,51)</f>
        <v>40948.499201388891</v>
      </c>
      <c r="C725">
        <v>1298.1417236</v>
      </c>
      <c r="D725">
        <v>1282.7414550999999</v>
      </c>
      <c r="E725">
        <v>1343.5616454999999</v>
      </c>
      <c r="F725">
        <v>1339.7927245999999</v>
      </c>
      <c r="G725">
        <v>80</v>
      </c>
      <c r="H725">
        <v>66.262657165999997</v>
      </c>
      <c r="I725">
        <v>50</v>
      </c>
      <c r="J725">
        <v>49.828186035000002</v>
      </c>
      <c r="K725">
        <v>0</v>
      </c>
      <c r="L725">
        <v>1200</v>
      </c>
      <c r="M725">
        <v>1200</v>
      </c>
      <c r="N725">
        <v>0</v>
      </c>
    </row>
    <row r="726" spans="1:14" x14ac:dyDescent="0.25">
      <c r="A726">
        <v>652.40275099999997</v>
      </c>
      <c r="B726" s="1">
        <f>DATE(2012,2,12) + TIME(9,39,57)</f>
        <v>40951.402743055558</v>
      </c>
      <c r="C726">
        <v>1297.8518065999999</v>
      </c>
      <c r="D726">
        <v>1282.3037108999999</v>
      </c>
      <c r="E726">
        <v>1343.5462646000001</v>
      </c>
      <c r="F726">
        <v>1339.7792969</v>
      </c>
      <c r="G726">
        <v>80</v>
      </c>
      <c r="H726">
        <v>65.922729492000002</v>
      </c>
      <c r="I726">
        <v>50</v>
      </c>
      <c r="J726">
        <v>49.828971863</v>
      </c>
      <c r="K726">
        <v>0</v>
      </c>
      <c r="L726">
        <v>1200</v>
      </c>
      <c r="M726">
        <v>1200</v>
      </c>
      <c r="N726">
        <v>0</v>
      </c>
    </row>
    <row r="727" spans="1:14" x14ac:dyDescent="0.25">
      <c r="A727">
        <v>655.33768799999996</v>
      </c>
      <c r="B727" s="1">
        <f>DATE(2012,2,15) + TIME(8,6,16)</f>
        <v>40954.337685185186</v>
      </c>
      <c r="C727">
        <v>1297.5548096</v>
      </c>
      <c r="D727">
        <v>1281.8529053</v>
      </c>
      <c r="E727">
        <v>1343.5313721</v>
      </c>
      <c r="F727">
        <v>1339.7662353999999</v>
      </c>
      <c r="G727">
        <v>80</v>
      </c>
      <c r="H727">
        <v>65.571418761999993</v>
      </c>
      <c r="I727">
        <v>50</v>
      </c>
      <c r="J727">
        <v>49.829753875999998</v>
      </c>
      <c r="K727">
        <v>0</v>
      </c>
      <c r="L727">
        <v>1200</v>
      </c>
      <c r="M727">
        <v>1200</v>
      </c>
      <c r="N727">
        <v>0</v>
      </c>
    </row>
    <row r="728" spans="1:14" x14ac:dyDescent="0.25">
      <c r="A728">
        <v>658.30912799999999</v>
      </c>
      <c r="B728" s="1">
        <f>DATE(2012,2,18) + TIME(7,25,8)</f>
        <v>40957.309120370373</v>
      </c>
      <c r="C728">
        <v>1297.2507324000001</v>
      </c>
      <c r="D728">
        <v>1281.3884277</v>
      </c>
      <c r="E728">
        <v>1343.5169678</v>
      </c>
      <c r="F728">
        <v>1339.7537841999999</v>
      </c>
      <c r="G728">
        <v>80</v>
      </c>
      <c r="H728">
        <v>65.208007812000005</v>
      </c>
      <c r="I728">
        <v>50</v>
      </c>
      <c r="J728">
        <v>49.830528258999998</v>
      </c>
      <c r="K728">
        <v>0</v>
      </c>
      <c r="L728">
        <v>1200</v>
      </c>
      <c r="M728">
        <v>1200</v>
      </c>
      <c r="N728">
        <v>0</v>
      </c>
    </row>
    <row r="729" spans="1:14" x14ac:dyDescent="0.25">
      <c r="A729">
        <v>661.32202299999994</v>
      </c>
      <c r="B729" s="1">
        <f>DATE(2012,2,21) + TIME(7,43,42)</f>
        <v>40960.322013888886</v>
      </c>
      <c r="C729">
        <v>1296.9389647999999</v>
      </c>
      <c r="D729">
        <v>1280.9100341999999</v>
      </c>
      <c r="E729">
        <v>1343.5029297000001</v>
      </c>
      <c r="F729">
        <v>1339.7416992000001</v>
      </c>
      <c r="G729">
        <v>80</v>
      </c>
      <c r="H729">
        <v>64.831527710000003</v>
      </c>
      <c r="I729">
        <v>50</v>
      </c>
      <c r="J729">
        <v>49.831302643000001</v>
      </c>
      <c r="K729">
        <v>0</v>
      </c>
      <c r="L729">
        <v>1200</v>
      </c>
      <c r="M729">
        <v>1200</v>
      </c>
      <c r="N729">
        <v>0</v>
      </c>
    </row>
    <row r="730" spans="1:14" x14ac:dyDescent="0.25">
      <c r="A730">
        <v>664.37710800000002</v>
      </c>
      <c r="B730" s="1">
        <f>DATE(2012,2,24) + TIME(9,3,2)</f>
        <v>40963.377106481479</v>
      </c>
      <c r="C730">
        <v>1296.6193848</v>
      </c>
      <c r="D730">
        <v>1280.4171143000001</v>
      </c>
      <c r="E730">
        <v>1343.4892577999999</v>
      </c>
      <c r="F730">
        <v>1339.7298584</v>
      </c>
      <c r="G730">
        <v>80</v>
      </c>
      <c r="H730">
        <v>64.441154479999994</v>
      </c>
      <c r="I730">
        <v>50</v>
      </c>
      <c r="J730">
        <v>49.832077026</v>
      </c>
      <c r="K730">
        <v>0</v>
      </c>
      <c r="L730">
        <v>1200</v>
      </c>
      <c r="M730">
        <v>1200</v>
      </c>
      <c r="N730">
        <v>0</v>
      </c>
    </row>
    <row r="731" spans="1:14" x14ac:dyDescent="0.25">
      <c r="A731">
        <v>667.45837800000004</v>
      </c>
      <c r="B731" s="1">
        <f>DATE(2012,2,27) + TIME(11,0,3)</f>
        <v>40966.458368055559</v>
      </c>
      <c r="C731">
        <v>1296.2919922000001</v>
      </c>
      <c r="D731">
        <v>1279.9100341999999</v>
      </c>
      <c r="E731">
        <v>1343.4758300999999</v>
      </c>
      <c r="F731">
        <v>1339.7183838000001</v>
      </c>
      <c r="G731">
        <v>80</v>
      </c>
      <c r="H731">
        <v>64.037033081000004</v>
      </c>
      <c r="I731">
        <v>50</v>
      </c>
      <c r="J731">
        <v>49.832839966000002</v>
      </c>
      <c r="K731">
        <v>0</v>
      </c>
      <c r="L731">
        <v>1200</v>
      </c>
      <c r="M731">
        <v>1200</v>
      </c>
      <c r="N731">
        <v>0</v>
      </c>
    </row>
    <row r="732" spans="1:14" x14ac:dyDescent="0.25">
      <c r="A732">
        <v>670</v>
      </c>
      <c r="B732" s="1">
        <f>DATE(2012,3,1) + TIME(0,0,0)</f>
        <v>40969</v>
      </c>
      <c r="C732">
        <v>1295.9615478999999</v>
      </c>
      <c r="D732">
        <v>1279.4064940999999</v>
      </c>
      <c r="E732">
        <v>1343.4621582</v>
      </c>
      <c r="F732">
        <v>1339.7066649999999</v>
      </c>
      <c r="G732">
        <v>80</v>
      </c>
      <c r="H732">
        <v>63.657535553000002</v>
      </c>
      <c r="I732">
        <v>50</v>
      </c>
      <c r="J732">
        <v>49.833454132</v>
      </c>
      <c r="K732">
        <v>0</v>
      </c>
      <c r="L732">
        <v>1200</v>
      </c>
      <c r="M732">
        <v>1200</v>
      </c>
      <c r="N732">
        <v>0</v>
      </c>
    </row>
    <row r="733" spans="1:14" x14ac:dyDescent="0.25">
      <c r="A733">
        <v>673.112976</v>
      </c>
      <c r="B733" s="1">
        <f>DATE(2012,3,4) + TIME(2,42,41)</f>
        <v>40972.112974537034</v>
      </c>
      <c r="C733">
        <v>1295.6760254000001</v>
      </c>
      <c r="D733">
        <v>1278.9422606999999</v>
      </c>
      <c r="E733">
        <v>1343.4526367000001</v>
      </c>
      <c r="F733">
        <v>1339.6987305</v>
      </c>
      <c r="G733">
        <v>80</v>
      </c>
      <c r="H733">
        <v>63.249889373999999</v>
      </c>
      <c r="I733">
        <v>50</v>
      </c>
      <c r="J733">
        <v>49.834209442000002</v>
      </c>
      <c r="K733">
        <v>0</v>
      </c>
      <c r="L733">
        <v>1200</v>
      </c>
      <c r="M733">
        <v>1200</v>
      </c>
      <c r="N733">
        <v>0</v>
      </c>
    </row>
    <row r="734" spans="1:14" x14ac:dyDescent="0.25">
      <c r="A734">
        <v>676.29716900000005</v>
      </c>
      <c r="B734" s="1">
        <f>DATE(2012,3,7) + TIME(7,7,55)</f>
        <v>40975.297164351854</v>
      </c>
      <c r="C734">
        <v>1295.3364257999999</v>
      </c>
      <c r="D734">
        <v>1278.4107666</v>
      </c>
      <c r="E734">
        <v>1343.4403076000001</v>
      </c>
      <c r="F734">
        <v>1339.6883545000001</v>
      </c>
      <c r="G734">
        <v>80</v>
      </c>
      <c r="H734">
        <v>62.814857482999997</v>
      </c>
      <c r="I734">
        <v>50</v>
      </c>
      <c r="J734">
        <v>49.834968566999997</v>
      </c>
      <c r="K734">
        <v>0</v>
      </c>
      <c r="L734">
        <v>1200</v>
      </c>
      <c r="M734">
        <v>1200</v>
      </c>
      <c r="N734">
        <v>0</v>
      </c>
    </row>
    <row r="735" spans="1:14" x14ac:dyDescent="0.25">
      <c r="A735">
        <v>679.52705600000002</v>
      </c>
      <c r="B735" s="1">
        <f>DATE(2012,3,10) + TIME(12,38,57)</f>
        <v>40978.527048611111</v>
      </c>
      <c r="C735">
        <v>1294.9855957</v>
      </c>
      <c r="D735">
        <v>1277.8579102000001</v>
      </c>
      <c r="E735">
        <v>1343.4282227000001</v>
      </c>
      <c r="F735">
        <v>1339.6782227000001</v>
      </c>
      <c r="G735">
        <v>80</v>
      </c>
      <c r="H735">
        <v>62.357315063000001</v>
      </c>
      <c r="I735">
        <v>50</v>
      </c>
      <c r="J735">
        <v>49.835720062</v>
      </c>
      <c r="K735">
        <v>0</v>
      </c>
      <c r="L735">
        <v>1200</v>
      </c>
      <c r="M735">
        <v>1200</v>
      </c>
      <c r="N735">
        <v>0</v>
      </c>
    </row>
    <row r="736" spans="1:14" x14ac:dyDescent="0.25">
      <c r="A736">
        <v>682.80085199999996</v>
      </c>
      <c r="B736" s="1">
        <f>DATE(2012,3,13) + TIME(19,13,13)</f>
        <v>40981.800844907404</v>
      </c>
      <c r="C736">
        <v>1294.6268310999999</v>
      </c>
      <c r="D736">
        <v>1277.2883300999999</v>
      </c>
      <c r="E736">
        <v>1343.4163818</v>
      </c>
      <c r="F736">
        <v>1339.6683350000001</v>
      </c>
      <c r="G736">
        <v>80</v>
      </c>
      <c r="H736">
        <v>61.879905700999998</v>
      </c>
      <c r="I736">
        <v>50</v>
      </c>
      <c r="J736">
        <v>49.836471558</v>
      </c>
      <c r="K736">
        <v>0</v>
      </c>
      <c r="L736">
        <v>1200</v>
      </c>
      <c r="M736">
        <v>1200</v>
      </c>
      <c r="N736">
        <v>0</v>
      </c>
    </row>
    <row r="737" spans="1:14" x14ac:dyDescent="0.25">
      <c r="A737">
        <v>686.10837400000003</v>
      </c>
      <c r="B737" s="1">
        <f>DATE(2012,3,17) + TIME(2,36,3)</f>
        <v>40985.108368055553</v>
      </c>
      <c r="C737">
        <v>1294.2607422000001</v>
      </c>
      <c r="D737">
        <v>1276.7039795000001</v>
      </c>
      <c r="E737">
        <v>1343.4047852000001</v>
      </c>
      <c r="F737">
        <v>1339.6586914</v>
      </c>
      <c r="G737">
        <v>80</v>
      </c>
      <c r="H737">
        <v>61.384410858000003</v>
      </c>
      <c r="I737">
        <v>50</v>
      </c>
      <c r="J737">
        <v>49.837215424</v>
      </c>
      <c r="K737">
        <v>0</v>
      </c>
      <c r="L737">
        <v>1200</v>
      </c>
      <c r="M737">
        <v>1200</v>
      </c>
      <c r="N737">
        <v>0</v>
      </c>
    </row>
    <row r="738" spans="1:14" x14ac:dyDescent="0.25">
      <c r="A738">
        <v>689.45514500000002</v>
      </c>
      <c r="B738" s="1">
        <f>DATE(2012,3,20) + TIME(10,55,24)</f>
        <v>40988.455138888887</v>
      </c>
      <c r="C738">
        <v>1293.8890381000001</v>
      </c>
      <c r="D738">
        <v>1276.1068115</v>
      </c>
      <c r="E738">
        <v>1343.3935547000001</v>
      </c>
      <c r="F738">
        <v>1339.6494141000001</v>
      </c>
      <c r="G738">
        <v>80</v>
      </c>
      <c r="H738">
        <v>60.871475220000001</v>
      </c>
      <c r="I738">
        <v>50</v>
      </c>
      <c r="J738">
        <v>49.837955475000001</v>
      </c>
      <c r="K738">
        <v>0</v>
      </c>
      <c r="L738">
        <v>1200</v>
      </c>
      <c r="M738">
        <v>1200</v>
      </c>
      <c r="N738">
        <v>0</v>
      </c>
    </row>
    <row r="739" spans="1:14" x14ac:dyDescent="0.25">
      <c r="A739">
        <v>692.846496</v>
      </c>
      <c r="B739" s="1">
        <f>DATE(2012,3,23) + TIME(20,18,57)</f>
        <v>40991.846493055556</v>
      </c>
      <c r="C739">
        <v>1293.5114745999999</v>
      </c>
      <c r="D739">
        <v>1275.4967041</v>
      </c>
      <c r="E739">
        <v>1343.3825684000001</v>
      </c>
      <c r="F739">
        <v>1339.6403809000001</v>
      </c>
      <c r="G739">
        <v>80</v>
      </c>
      <c r="H739">
        <v>60.340950012</v>
      </c>
      <c r="I739">
        <v>50</v>
      </c>
      <c r="J739">
        <v>49.838695526000002</v>
      </c>
      <c r="K739">
        <v>0</v>
      </c>
      <c r="L739">
        <v>1200</v>
      </c>
      <c r="M739">
        <v>1200</v>
      </c>
      <c r="N739">
        <v>0</v>
      </c>
    </row>
    <row r="740" spans="1:14" x14ac:dyDescent="0.25">
      <c r="A740">
        <v>696.28745400000003</v>
      </c>
      <c r="B740" s="1">
        <f>DATE(2012,3,27) + TIME(6,53,56)</f>
        <v>40995.287453703706</v>
      </c>
      <c r="C740">
        <v>1293.1278076000001</v>
      </c>
      <c r="D740">
        <v>1274.8731689000001</v>
      </c>
      <c r="E740">
        <v>1343.3717041</v>
      </c>
      <c r="F740">
        <v>1339.6315918</v>
      </c>
      <c r="G740">
        <v>80</v>
      </c>
      <c r="H740">
        <v>59.792335510000001</v>
      </c>
      <c r="I740">
        <v>50</v>
      </c>
      <c r="J740">
        <v>49.839431763</v>
      </c>
      <c r="K740">
        <v>0</v>
      </c>
      <c r="L740">
        <v>1200</v>
      </c>
      <c r="M740">
        <v>1200</v>
      </c>
      <c r="N740">
        <v>0</v>
      </c>
    </row>
    <row r="741" spans="1:14" x14ac:dyDescent="0.25">
      <c r="A741">
        <v>699.760355</v>
      </c>
      <c r="B741" s="1">
        <f>DATE(2012,3,30) + TIME(18,14,54)</f>
        <v>40998.760347222225</v>
      </c>
      <c r="C741">
        <v>1292.7380370999999</v>
      </c>
      <c r="D741">
        <v>1274.2364502</v>
      </c>
      <c r="E741">
        <v>1343.3610839999999</v>
      </c>
      <c r="F741">
        <v>1339.6230469</v>
      </c>
      <c r="G741">
        <v>80</v>
      </c>
      <c r="H741">
        <v>59.225944519000002</v>
      </c>
      <c r="I741">
        <v>50</v>
      </c>
      <c r="J741">
        <v>49.84016037</v>
      </c>
      <c r="K741">
        <v>0</v>
      </c>
      <c r="L741">
        <v>1200</v>
      </c>
      <c r="M741">
        <v>1200</v>
      </c>
      <c r="N741">
        <v>0</v>
      </c>
    </row>
    <row r="742" spans="1:14" x14ac:dyDescent="0.25">
      <c r="A742">
        <v>701</v>
      </c>
      <c r="B742" s="1">
        <f>DATE(2012,4,1) + TIME(0,0,0)</f>
        <v>41000</v>
      </c>
      <c r="C742">
        <v>1292.3583983999999</v>
      </c>
      <c r="D742">
        <v>1273.6934814000001</v>
      </c>
      <c r="E742">
        <v>1343.3482666</v>
      </c>
      <c r="F742">
        <v>1339.6121826000001</v>
      </c>
      <c r="G742">
        <v>80</v>
      </c>
      <c r="H742">
        <v>58.893249511999997</v>
      </c>
      <c r="I742">
        <v>50</v>
      </c>
      <c r="J742">
        <v>49.840396880999997</v>
      </c>
      <c r="K742">
        <v>0</v>
      </c>
      <c r="L742">
        <v>1200</v>
      </c>
      <c r="M742">
        <v>1200</v>
      </c>
      <c r="N742">
        <v>0</v>
      </c>
    </row>
    <row r="743" spans="1:14" x14ac:dyDescent="0.25">
      <c r="A743">
        <v>704.51068299999997</v>
      </c>
      <c r="B743" s="1">
        <f>DATE(2012,4,4) + TIME(12,15,22)</f>
        <v>41003.510671296295</v>
      </c>
      <c r="C743">
        <v>1292.1917725000001</v>
      </c>
      <c r="D743">
        <v>1273.3167725000001</v>
      </c>
      <c r="E743">
        <v>1343.3475341999999</v>
      </c>
      <c r="F743">
        <v>1339.6121826000001</v>
      </c>
      <c r="G743">
        <v>80</v>
      </c>
      <c r="H743">
        <v>58.379558563000003</v>
      </c>
      <c r="I743">
        <v>50</v>
      </c>
      <c r="J743">
        <v>49.841133118000002</v>
      </c>
      <c r="K743">
        <v>0</v>
      </c>
      <c r="L743">
        <v>1200</v>
      </c>
      <c r="M743">
        <v>1200</v>
      </c>
      <c r="N743">
        <v>0</v>
      </c>
    </row>
    <row r="744" spans="1:14" x14ac:dyDescent="0.25">
      <c r="A744">
        <v>708.06831899999997</v>
      </c>
      <c r="B744" s="1">
        <f>DATE(2012,4,8) + TIME(1,38,22)</f>
        <v>41007.068310185183</v>
      </c>
      <c r="C744">
        <v>1291.8007812000001</v>
      </c>
      <c r="D744">
        <v>1272.6804199000001</v>
      </c>
      <c r="E744">
        <v>1343.3374022999999</v>
      </c>
      <c r="F744">
        <v>1339.6040039</v>
      </c>
      <c r="G744">
        <v>80</v>
      </c>
      <c r="H744">
        <v>57.805877686000002</v>
      </c>
      <c r="I744">
        <v>50</v>
      </c>
      <c r="J744">
        <v>49.841854095000002</v>
      </c>
      <c r="K744">
        <v>0</v>
      </c>
      <c r="L744">
        <v>1200</v>
      </c>
      <c r="M744">
        <v>1200</v>
      </c>
      <c r="N744">
        <v>0</v>
      </c>
    </row>
    <row r="745" spans="1:14" x14ac:dyDescent="0.25">
      <c r="A745">
        <v>711.649135</v>
      </c>
      <c r="B745" s="1">
        <f>DATE(2012,4,11) + TIME(15,34,45)</f>
        <v>41010.649131944447</v>
      </c>
      <c r="C745">
        <v>1291.4013672000001</v>
      </c>
      <c r="D745">
        <v>1272.0194091999999</v>
      </c>
      <c r="E745">
        <v>1343.3275146000001</v>
      </c>
      <c r="F745">
        <v>1339.5961914</v>
      </c>
      <c r="G745">
        <v>80</v>
      </c>
      <c r="H745">
        <v>57.199138640999998</v>
      </c>
      <c r="I745">
        <v>50</v>
      </c>
      <c r="J745">
        <v>49.842567443999997</v>
      </c>
      <c r="K745">
        <v>0</v>
      </c>
      <c r="L745">
        <v>1200</v>
      </c>
      <c r="M745">
        <v>1200</v>
      </c>
      <c r="N745">
        <v>0</v>
      </c>
    </row>
    <row r="746" spans="1:14" x14ac:dyDescent="0.25">
      <c r="A746">
        <v>715.25917300000003</v>
      </c>
      <c r="B746" s="1">
        <f>DATE(2012,4,15) + TIME(6,13,12)</f>
        <v>41014.259166666663</v>
      </c>
      <c r="C746">
        <v>1290.9982910000001</v>
      </c>
      <c r="D746">
        <v>1271.3450928</v>
      </c>
      <c r="E746">
        <v>1343.3178711</v>
      </c>
      <c r="F746">
        <v>1339.5886230000001</v>
      </c>
      <c r="G746">
        <v>80</v>
      </c>
      <c r="H746">
        <v>56.571403502999999</v>
      </c>
      <c r="I746">
        <v>50</v>
      </c>
      <c r="J746">
        <v>49.843269348</v>
      </c>
      <c r="K746">
        <v>0</v>
      </c>
      <c r="L746">
        <v>1200</v>
      </c>
      <c r="M746">
        <v>1200</v>
      </c>
      <c r="N746">
        <v>0</v>
      </c>
    </row>
    <row r="747" spans="1:14" x14ac:dyDescent="0.25">
      <c r="A747">
        <v>718.90440799999999</v>
      </c>
      <c r="B747" s="1">
        <f>DATE(2012,4,18) + TIME(21,42,20)</f>
        <v>41017.904398148145</v>
      </c>
      <c r="C747">
        <v>1290.5925293</v>
      </c>
      <c r="D747">
        <v>1270.6606445</v>
      </c>
      <c r="E747">
        <v>1343.3084716999999</v>
      </c>
      <c r="F747">
        <v>1339.5812988</v>
      </c>
      <c r="G747">
        <v>80</v>
      </c>
      <c r="H747">
        <v>55.927455901999998</v>
      </c>
      <c r="I747">
        <v>50</v>
      </c>
      <c r="J747">
        <v>49.843967438</v>
      </c>
      <c r="K747">
        <v>0</v>
      </c>
      <c r="L747">
        <v>1200</v>
      </c>
      <c r="M747">
        <v>1200</v>
      </c>
      <c r="N747">
        <v>0</v>
      </c>
    </row>
    <row r="748" spans="1:14" x14ac:dyDescent="0.25">
      <c r="A748">
        <v>722.58137099999999</v>
      </c>
      <c r="B748" s="1">
        <f>DATE(2012,4,22) + TIME(13,57,10)</f>
        <v>41021.581365740742</v>
      </c>
      <c r="C748">
        <v>1290.1843262</v>
      </c>
      <c r="D748">
        <v>1269.9672852000001</v>
      </c>
      <c r="E748">
        <v>1343.2993164</v>
      </c>
      <c r="F748">
        <v>1339.5742187999999</v>
      </c>
      <c r="G748">
        <v>80</v>
      </c>
      <c r="H748">
        <v>55.269809723000002</v>
      </c>
      <c r="I748">
        <v>50</v>
      </c>
      <c r="J748">
        <v>49.844661713000001</v>
      </c>
      <c r="K748">
        <v>0</v>
      </c>
      <c r="L748">
        <v>1200</v>
      </c>
      <c r="M748">
        <v>1200</v>
      </c>
      <c r="N748">
        <v>0</v>
      </c>
    </row>
    <row r="749" spans="1:14" x14ac:dyDescent="0.25">
      <c r="A749">
        <v>726.28365499999995</v>
      </c>
      <c r="B749" s="1">
        <f>DATE(2012,4,26) + TIME(6,48,27)</f>
        <v>41025.283645833333</v>
      </c>
      <c r="C749">
        <v>1289.7747803</v>
      </c>
      <c r="D749">
        <v>1269.2669678</v>
      </c>
      <c r="E749">
        <v>1343.2902832</v>
      </c>
      <c r="F749">
        <v>1339.5672606999999</v>
      </c>
      <c r="G749">
        <v>80</v>
      </c>
      <c r="H749">
        <v>54.600669861</v>
      </c>
      <c r="I749">
        <v>50</v>
      </c>
      <c r="J749">
        <v>49.845344543000003</v>
      </c>
      <c r="K749">
        <v>0</v>
      </c>
      <c r="L749">
        <v>1200</v>
      </c>
      <c r="M749">
        <v>1200</v>
      </c>
      <c r="N749">
        <v>0</v>
      </c>
    </row>
    <row r="750" spans="1:14" x14ac:dyDescent="0.25">
      <c r="A750">
        <v>730.01781400000004</v>
      </c>
      <c r="B750" s="1">
        <f>DATE(2012,4,30) + TIME(0,25,39)</f>
        <v>41029.017812500002</v>
      </c>
      <c r="C750">
        <v>1289.3648682</v>
      </c>
      <c r="D750">
        <v>1268.5611572</v>
      </c>
      <c r="E750">
        <v>1343.2814940999999</v>
      </c>
      <c r="F750">
        <v>1339.5605469</v>
      </c>
      <c r="G750">
        <v>80</v>
      </c>
      <c r="H750">
        <v>53.921352386000002</v>
      </c>
      <c r="I750">
        <v>50</v>
      </c>
      <c r="J750">
        <v>49.846023559999999</v>
      </c>
      <c r="K750">
        <v>0</v>
      </c>
      <c r="L750">
        <v>1200</v>
      </c>
      <c r="M750">
        <v>1200</v>
      </c>
      <c r="N750">
        <v>0</v>
      </c>
    </row>
    <row r="751" spans="1:14" x14ac:dyDescent="0.25">
      <c r="A751">
        <v>731</v>
      </c>
      <c r="B751" s="1">
        <f>DATE(2012,5,1) + TIME(0,0,0)</f>
        <v>41030</v>
      </c>
      <c r="C751">
        <v>1288.9660644999999</v>
      </c>
      <c r="D751">
        <v>1268.0026855000001</v>
      </c>
      <c r="E751">
        <v>1343.2701416</v>
      </c>
      <c r="F751">
        <v>1339.5512695</v>
      </c>
      <c r="G751">
        <v>80</v>
      </c>
      <c r="H751">
        <v>53.592746734999999</v>
      </c>
      <c r="I751">
        <v>50</v>
      </c>
      <c r="J751">
        <v>49.846183777</v>
      </c>
      <c r="K751">
        <v>0</v>
      </c>
      <c r="L751">
        <v>1200</v>
      </c>
      <c r="M751">
        <v>1200</v>
      </c>
      <c r="N751">
        <v>0</v>
      </c>
    </row>
    <row r="752" spans="1:14" x14ac:dyDescent="0.25">
      <c r="A752">
        <v>731.000001</v>
      </c>
      <c r="B752" s="1">
        <f>DATE(2012,5,1) + TIME(0,0,0)</f>
        <v>41030</v>
      </c>
      <c r="C752">
        <v>1311.0875243999999</v>
      </c>
      <c r="D752">
        <v>1289.2878418</v>
      </c>
      <c r="E752">
        <v>1339.2702637</v>
      </c>
      <c r="F752">
        <v>1336.3096923999999</v>
      </c>
      <c r="G752">
        <v>80</v>
      </c>
      <c r="H752">
        <v>53.592800140000001</v>
      </c>
      <c r="I752">
        <v>50</v>
      </c>
      <c r="J752">
        <v>49.846145630000002</v>
      </c>
      <c r="K752">
        <v>1200</v>
      </c>
      <c r="L752">
        <v>0</v>
      </c>
      <c r="M752">
        <v>0</v>
      </c>
      <c r="N752">
        <v>1200</v>
      </c>
    </row>
    <row r="753" spans="1:14" x14ac:dyDescent="0.25">
      <c r="A753">
        <v>731.00000399999999</v>
      </c>
      <c r="B753" s="1">
        <f>DATE(2012,5,1) + TIME(0,0,0)</f>
        <v>41030</v>
      </c>
      <c r="C753">
        <v>1311.9202881000001</v>
      </c>
      <c r="D753">
        <v>1290.2003173999999</v>
      </c>
      <c r="E753">
        <v>1338.5091553</v>
      </c>
      <c r="F753">
        <v>1335.5476074000001</v>
      </c>
      <c r="G753">
        <v>80</v>
      </c>
      <c r="H753">
        <v>53.592948913999997</v>
      </c>
      <c r="I753">
        <v>50</v>
      </c>
      <c r="J753">
        <v>49.846050261999999</v>
      </c>
      <c r="K753">
        <v>1200</v>
      </c>
      <c r="L753">
        <v>0</v>
      </c>
      <c r="M753">
        <v>0</v>
      </c>
      <c r="N753">
        <v>1200</v>
      </c>
    </row>
    <row r="754" spans="1:14" x14ac:dyDescent="0.25">
      <c r="A754">
        <v>731.00001299999997</v>
      </c>
      <c r="B754" s="1">
        <f>DATE(2012,5,1) + TIME(0,0,1)</f>
        <v>41030.000011574077</v>
      </c>
      <c r="C754">
        <v>1314.1007079999999</v>
      </c>
      <c r="D754">
        <v>1292.5568848</v>
      </c>
      <c r="E754">
        <v>1336.7565918</v>
      </c>
      <c r="F754">
        <v>1333.7935791</v>
      </c>
      <c r="G754">
        <v>80</v>
      </c>
      <c r="H754">
        <v>53.593353270999998</v>
      </c>
      <c r="I754">
        <v>50</v>
      </c>
      <c r="J754">
        <v>49.845829010000003</v>
      </c>
      <c r="K754">
        <v>1200</v>
      </c>
      <c r="L754">
        <v>0</v>
      </c>
      <c r="M754">
        <v>0</v>
      </c>
      <c r="N754">
        <v>1200</v>
      </c>
    </row>
    <row r="755" spans="1:14" x14ac:dyDescent="0.25">
      <c r="A755">
        <v>731.00004000000001</v>
      </c>
      <c r="B755" s="1">
        <f>DATE(2012,5,1) + TIME(0,0,3)</f>
        <v>41030.000034722223</v>
      </c>
      <c r="C755">
        <v>1318.8800048999999</v>
      </c>
      <c r="D755">
        <v>1297.5882568</v>
      </c>
      <c r="E755">
        <v>1333.7845459</v>
      </c>
      <c r="F755">
        <v>1330.8218993999999</v>
      </c>
      <c r="G755">
        <v>80</v>
      </c>
      <c r="H755">
        <v>53.594299315999997</v>
      </c>
      <c r="I755">
        <v>50</v>
      </c>
      <c r="J755">
        <v>49.845455170000001</v>
      </c>
      <c r="K755">
        <v>1200</v>
      </c>
      <c r="L755">
        <v>0</v>
      </c>
      <c r="M755">
        <v>0</v>
      </c>
      <c r="N755">
        <v>1200</v>
      </c>
    </row>
    <row r="756" spans="1:14" x14ac:dyDescent="0.25">
      <c r="A756">
        <v>731.00012100000004</v>
      </c>
      <c r="B756" s="1">
        <f>DATE(2012,5,1) + TIME(0,0,10)</f>
        <v>41030.000115740739</v>
      </c>
      <c r="C756">
        <v>1326.8854980000001</v>
      </c>
      <c r="D756">
        <v>1305.7526855000001</v>
      </c>
      <c r="E756">
        <v>1330.3316649999999</v>
      </c>
      <c r="F756">
        <v>1327.3774414</v>
      </c>
      <c r="G756">
        <v>80</v>
      </c>
      <c r="H756">
        <v>53.596256255999997</v>
      </c>
      <c r="I756">
        <v>50</v>
      </c>
      <c r="J756">
        <v>49.845001220999997</v>
      </c>
      <c r="K756">
        <v>1200</v>
      </c>
      <c r="L756">
        <v>0</v>
      </c>
      <c r="M756">
        <v>0</v>
      </c>
      <c r="N756">
        <v>1200</v>
      </c>
    </row>
    <row r="757" spans="1:14" x14ac:dyDescent="0.25">
      <c r="A757">
        <v>731.00036399999999</v>
      </c>
      <c r="B757" s="1">
        <f>DATE(2012,5,1) + TIME(0,0,31)</f>
        <v>41030.000358796293</v>
      </c>
      <c r="C757">
        <v>1337.2734375</v>
      </c>
      <c r="D757">
        <v>1316.1292725000001</v>
      </c>
      <c r="E757">
        <v>1327.1436768000001</v>
      </c>
      <c r="F757">
        <v>1324.1940918</v>
      </c>
      <c r="G757">
        <v>80</v>
      </c>
      <c r="H757">
        <v>53.600315094000003</v>
      </c>
      <c r="I757">
        <v>50</v>
      </c>
      <c r="J757">
        <v>49.844539642000001</v>
      </c>
      <c r="K757">
        <v>1200</v>
      </c>
      <c r="L757">
        <v>0</v>
      </c>
      <c r="M757">
        <v>0</v>
      </c>
      <c r="N757">
        <v>1200</v>
      </c>
    </row>
    <row r="758" spans="1:14" x14ac:dyDescent="0.25">
      <c r="A758">
        <v>731.00109299999997</v>
      </c>
      <c r="B758" s="1">
        <f>DATE(2012,5,1) + TIME(0,1,34)</f>
        <v>41030.001087962963</v>
      </c>
      <c r="C758">
        <v>1349.020874</v>
      </c>
      <c r="D758">
        <v>1327.7744141000001</v>
      </c>
      <c r="E758">
        <v>1324.0400391000001</v>
      </c>
      <c r="F758">
        <v>1321.0814209</v>
      </c>
      <c r="G758">
        <v>80</v>
      </c>
      <c r="H758">
        <v>53.610042571999998</v>
      </c>
      <c r="I758">
        <v>50</v>
      </c>
      <c r="J758">
        <v>49.843955993999998</v>
      </c>
      <c r="K758">
        <v>1200</v>
      </c>
      <c r="L758">
        <v>0</v>
      </c>
      <c r="M758">
        <v>0</v>
      </c>
      <c r="N758">
        <v>1200</v>
      </c>
    </row>
    <row r="759" spans="1:14" x14ac:dyDescent="0.25">
      <c r="A759">
        <v>731.00328000000002</v>
      </c>
      <c r="B759" s="1">
        <f>DATE(2012,5,1) + TIME(0,4,43)</f>
        <v>41030.003275462965</v>
      </c>
      <c r="C759">
        <v>1361.8482666</v>
      </c>
      <c r="D759">
        <v>1340.4556885</v>
      </c>
      <c r="E759">
        <v>1320.7260742000001</v>
      </c>
      <c r="F759">
        <v>1317.7434082</v>
      </c>
      <c r="G759">
        <v>80</v>
      </c>
      <c r="H759">
        <v>53.636524199999997</v>
      </c>
      <c r="I759">
        <v>50</v>
      </c>
      <c r="J759">
        <v>49.842952728</v>
      </c>
      <c r="K759">
        <v>1200</v>
      </c>
      <c r="L759">
        <v>0</v>
      </c>
      <c r="M759">
        <v>0</v>
      </c>
      <c r="N759">
        <v>1200</v>
      </c>
    </row>
    <row r="760" spans="1:14" x14ac:dyDescent="0.25">
      <c r="A760">
        <v>731.00984100000005</v>
      </c>
      <c r="B760" s="1">
        <f>DATE(2012,5,1) + TIME(0,14,10)</f>
        <v>41030.009837962964</v>
      </c>
      <c r="C760">
        <v>1374.7185059000001</v>
      </c>
      <c r="D760">
        <v>1353.1623535000001</v>
      </c>
      <c r="E760">
        <v>1318.145874</v>
      </c>
      <c r="F760">
        <v>1315.1309814000001</v>
      </c>
      <c r="G760">
        <v>80</v>
      </c>
      <c r="H760">
        <v>53.713165283000002</v>
      </c>
      <c r="I760">
        <v>50</v>
      </c>
      <c r="J760">
        <v>49.840839385999999</v>
      </c>
      <c r="K760">
        <v>1200</v>
      </c>
      <c r="L760">
        <v>0</v>
      </c>
      <c r="M760">
        <v>0</v>
      </c>
      <c r="N760">
        <v>1200</v>
      </c>
    </row>
    <row r="761" spans="1:14" x14ac:dyDescent="0.25">
      <c r="A761">
        <v>731.02952400000004</v>
      </c>
      <c r="B761" s="1">
        <f>DATE(2012,5,1) + TIME(0,42,30)</f>
        <v>41030.029513888891</v>
      </c>
      <c r="C761">
        <v>1384.7216797000001</v>
      </c>
      <c r="D761">
        <v>1363.0992432</v>
      </c>
      <c r="E761">
        <v>1318.1024170000001</v>
      </c>
      <c r="F761">
        <v>1315.0688477000001</v>
      </c>
      <c r="G761">
        <v>80</v>
      </c>
      <c r="H761">
        <v>53.939022064</v>
      </c>
      <c r="I761">
        <v>50</v>
      </c>
      <c r="J761">
        <v>49.835491179999998</v>
      </c>
      <c r="K761">
        <v>1200</v>
      </c>
      <c r="L761">
        <v>0</v>
      </c>
      <c r="M761">
        <v>0</v>
      </c>
      <c r="N761">
        <v>1200</v>
      </c>
    </row>
    <row r="762" spans="1:14" x14ac:dyDescent="0.25">
      <c r="A762">
        <v>731.088573</v>
      </c>
      <c r="B762" s="1">
        <f>DATE(2012,5,1) + TIME(2,7,32)</f>
        <v>41030.088564814818</v>
      </c>
      <c r="C762">
        <v>1390.3112793</v>
      </c>
      <c r="D762">
        <v>1368.8585204999999</v>
      </c>
      <c r="E762">
        <v>1320.0439452999999</v>
      </c>
      <c r="F762">
        <v>1317.0068358999999</v>
      </c>
      <c r="G762">
        <v>80</v>
      </c>
      <c r="H762">
        <v>54.598045349000003</v>
      </c>
      <c r="I762">
        <v>50</v>
      </c>
      <c r="J762">
        <v>49.819984435999999</v>
      </c>
      <c r="K762">
        <v>1200</v>
      </c>
      <c r="L762">
        <v>0</v>
      </c>
      <c r="M762">
        <v>0</v>
      </c>
      <c r="N762">
        <v>1200</v>
      </c>
    </row>
    <row r="763" spans="1:14" x14ac:dyDescent="0.25">
      <c r="A763">
        <v>731.16400899999996</v>
      </c>
      <c r="B763" s="1">
        <f>DATE(2012,5,1) + TIME(3,56,10)</f>
        <v>41030.164004629631</v>
      </c>
      <c r="C763">
        <v>1392.1385498</v>
      </c>
      <c r="D763">
        <v>1370.9312743999999</v>
      </c>
      <c r="E763">
        <v>1321.3988036999999</v>
      </c>
      <c r="F763">
        <v>1318.3612060999999</v>
      </c>
      <c r="G763">
        <v>80</v>
      </c>
      <c r="H763">
        <v>55.413337708</v>
      </c>
      <c r="I763">
        <v>50</v>
      </c>
      <c r="J763">
        <v>49.800342559999997</v>
      </c>
      <c r="K763">
        <v>1200</v>
      </c>
      <c r="L763">
        <v>0</v>
      </c>
      <c r="M763">
        <v>0</v>
      </c>
      <c r="N763">
        <v>1200</v>
      </c>
    </row>
    <row r="764" spans="1:14" x14ac:dyDescent="0.25">
      <c r="A764">
        <v>731.24105399999996</v>
      </c>
      <c r="B764" s="1">
        <f>DATE(2012,5,1) + TIME(5,47,7)</f>
        <v>41030.241053240738</v>
      </c>
      <c r="C764">
        <v>1392.7662353999999</v>
      </c>
      <c r="D764">
        <v>1371.7960204999999</v>
      </c>
      <c r="E764">
        <v>1322.1390381000001</v>
      </c>
      <c r="F764">
        <v>1319.1011963000001</v>
      </c>
      <c r="G764">
        <v>80</v>
      </c>
      <c r="H764">
        <v>56.219669342000003</v>
      </c>
      <c r="I764">
        <v>50</v>
      </c>
      <c r="J764">
        <v>49.780441283999998</v>
      </c>
      <c r="K764">
        <v>1200</v>
      </c>
      <c r="L764">
        <v>0</v>
      </c>
      <c r="M764">
        <v>0</v>
      </c>
      <c r="N764">
        <v>1200</v>
      </c>
    </row>
    <row r="765" spans="1:14" x14ac:dyDescent="0.25">
      <c r="A765">
        <v>731.31972499999995</v>
      </c>
      <c r="B765" s="1">
        <f>DATE(2012,5,1) + TIME(7,40,24)</f>
        <v>41030.319722222222</v>
      </c>
      <c r="C765">
        <v>1392.9521483999999</v>
      </c>
      <c r="D765">
        <v>1372.2117920000001</v>
      </c>
      <c r="E765">
        <v>1322.559082</v>
      </c>
      <c r="F765">
        <v>1319.520874</v>
      </c>
      <c r="G765">
        <v>80</v>
      </c>
      <c r="H765">
        <v>57.016410827999998</v>
      </c>
      <c r="I765">
        <v>50</v>
      </c>
      <c r="J765">
        <v>49.760311127000001</v>
      </c>
      <c r="K765">
        <v>1200</v>
      </c>
      <c r="L765">
        <v>0</v>
      </c>
      <c r="M765">
        <v>0</v>
      </c>
      <c r="N765">
        <v>1200</v>
      </c>
    </row>
    <row r="766" spans="1:14" x14ac:dyDescent="0.25">
      <c r="A766">
        <v>731.40008899999998</v>
      </c>
      <c r="B766" s="1">
        <f>DATE(2012,5,1) + TIME(9,36,7)</f>
        <v>41030.400081018517</v>
      </c>
      <c r="C766">
        <v>1392.9281006000001</v>
      </c>
      <c r="D766">
        <v>1372.4097899999999</v>
      </c>
      <c r="E766">
        <v>1322.8012695</v>
      </c>
      <c r="F766">
        <v>1319.7624512</v>
      </c>
      <c r="G766">
        <v>80</v>
      </c>
      <c r="H766">
        <v>57.803394318000002</v>
      </c>
      <c r="I766">
        <v>50</v>
      </c>
      <c r="J766">
        <v>49.739967346</v>
      </c>
      <c r="K766">
        <v>1200</v>
      </c>
      <c r="L766">
        <v>0</v>
      </c>
      <c r="M766">
        <v>0</v>
      </c>
      <c r="N766">
        <v>1200</v>
      </c>
    </row>
    <row r="767" spans="1:14" x14ac:dyDescent="0.25">
      <c r="A767">
        <v>731.48223099999996</v>
      </c>
      <c r="B767" s="1">
        <f>DATE(2012,5,1) + TIME(11,34,24)</f>
        <v>41030.482222222221</v>
      </c>
      <c r="C767">
        <v>1392.793457</v>
      </c>
      <c r="D767">
        <v>1372.4891356999999</v>
      </c>
      <c r="E767">
        <v>1322.940918</v>
      </c>
      <c r="F767">
        <v>1319.9016113</v>
      </c>
      <c r="G767">
        <v>80</v>
      </c>
      <c r="H767">
        <v>58.580574036000002</v>
      </c>
      <c r="I767">
        <v>50</v>
      </c>
      <c r="J767">
        <v>49.719402313000003</v>
      </c>
      <c r="K767">
        <v>1200</v>
      </c>
      <c r="L767">
        <v>0</v>
      </c>
      <c r="M767">
        <v>0</v>
      </c>
      <c r="N767">
        <v>1200</v>
      </c>
    </row>
    <row r="768" spans="1:14" x14ac:dyDescent="0.25">
      <c r="A768">
        <v>731.56624299999999</v>
      </c>
      <c r="B768" s="1">
        <f>DATE(2012,5,1) + TIME(13,35,23)</f>
        <v>41030.566238425927</v>
      </c>
      <c r="C768">
        <v>1392.5993652</v>
      </c>
      <c r="D768">
        <v>1372.5015868999999</v>
      </c>
      <c r="E768">
        <v>1323.0211182</v>
      </c>
      <c r="F768">
        <v>1319.9812012</v>
      </c>
      <c r="G768">
        <v>80</v>
      </c>
      <c r="H768">
        <v>59.347900391000003</v>
      </c>
      <c r="I768">
        <v>50</v>
      </c>
      <c r="J768">
        <v>49.698608397999998</v>
      </c>
      <c r="K768">
        <v>1200</v>
      </c>
      <c r="L768">
        <v>0</v>
      </c>
      <c r="M768">
        <v>0</v>
      </c>
      <c r="N768">
        <v>1200</v>
      </c>
    </row>
    <row r="769" spans="1:14" x14ac:dyDescent="0.25">
      <c r="A769">
        <v>731.65221099999997</v>
      </c>
      <c r="B769" s="1">
        <f>DATE(2012,5,1) + TIME(15,39,10)</f>
        <v>41030.652199074073</v>
      </c>
      <c r="C769">
        <v>1392.375</v>
      </c>
      <c r="D769">
        <v>1372.4763184000001</v>
      </c>
      <c r="E769">
        <v>1323.0666504000001</v>
      </c>
      <c r="F769">
        <v>1320.0262451000001</v>
      </c>
      <c r="G769">
        <v>80</v>
      </c>
      <c r="H769">
        <v>60.105133057000003</v>
      </c>
      <c r="I769">
        <v>50</v>
      </c>
      <c r="J769">
        <v>49.677574157999999</v>
      </c>
      <c r="K769">
        <v>1200</v>
      </c>
      <c r="L769">
        <v>0</v>
      </c>
      <c r="M769">
        <v>0</v>
      </c>
      <c r="N769">
        <v>1200</v>
      </c>
    </row>
    <row r="770" spans="1:14" x14ac:dyDescent="0.25">
      <c r="A770">
        <v>731.74025200000005</v>
      </c>
      <c r="B770" s="1">
        <f>DATE(2012,5,1) + TIME(17,45,57)</f>
        <v>41030.740243055552</v>
      </c>
      <c r="C770">
        <v>1392.1367187999999</v>
      </c>
      <c r="D770">
        <v>1372.4301757999999</v>
      </c>
      <c r="E770">
        <v>1323.0922852000001</v>
      </c>
      <c r="F770">
        <v>1320.0512695</v>
      </c>
      <c r="G770">
        <v>80</v>
      </c>
      <c r="H770">
        <v>60.851898192999997</v>
      </c>
      <c r="I770">
        <v>50</v>
      </c>
      <c r="J770">
        <v>49.656291961999997</v>
      </c>
      <c r="K770">
        <v>1200</v>
      </c>
      <c r="L770">
        <v>0</v>
      </c>
      <c r="M770">
        <v>0</v>
      </c>
      <c r="N770">
        <v>1200</v>
      </c>
    </row>
    <row r="771" spans="1:14" x14ac:dyDescent="0.25">
      <c r="A771">
        <v>731.83049000000005</v>
      </c>
      <c r="B771" s="1">
        <f>DATE(2012,5,1) + TIME(19,55,54)</f>
        <v>41030.83048611111</v>
      </c>
      <c r="C771">
        <v>1391.894043</v>
      </c>
      <c r="D771">
        <v>1372.3728027</v>
      </c>
      <c r="E771">
        <v>1323.1065673999999</v>
      </c>
      <c r="F771">
        <v>1320.0649414</v>
      </c>
      <c r="G771">
        <v>80</v>
      </c>
      <c r="H771">
        <v>61.588626861999998</v>
      </c>
      <c r="I771">
        <v>50</v>
      </c>
      <c r="J771">
        <v>49.634738921999997</v>
      </c>
      <c r="K771">
        <v>1200</v>
      </c>
      <c r="L771">
        <v>0</v>
      </c>
      <c r="M771">
        <v>0</v>
      </c>
      <c r="N771">
        <v>1200</v>
      </c>
    </row>
    <row r="772" spans="1:14" x14ac:dyDescent="0.25">
      <c r="A772">
        <v>731.92304999999999</v>
      </c>
      <c r="B772" s="1">
        <f>DATE(2012,5,1) + TIME(22,9,11)</f>
        <v>41030.923043981478</v>
      </c>
      <c r="C772">
        <v>1391.6520995999999</v>
      </c>
      <c r="D772">
        <v>1372.3098144999999</v>
      </c>
      <c r="E772">
        <v>1323.1142577999999</v>
      </c>
      <c r="F772">
        <v>1320.0720214999999</v>
      </c>
      <c r="G772">
        <v>80</v>
      </c>
      <c r="H772">
        <v>62.315235137999998</v>
      </c>
      <c r="I772">
        <v>50</v>
      </c>
      <c r="J772">
        <v>49.612895966000004</v>
      </c>
      <c r="K772">
        <v>1200</v>
      </c>
      <c r="L772">
        <v>0</v>
      </c>
      <c r="M772">
        <v>0</v>
      </c>
      <c r="N772">
        <v>1200</v>
      </c>
    </row>
    <row r="773" spans="1:14" x14ac:dyDescent="0.25">
      <c r="A773">
        <v>732.01806899999997</v>
      </c>
      <c r="B773" s="1">
        <f>DATE(2012,5,2) + TIME(0,26,1)</f>
        <v>41031.018067129633</v>
      </c>
      <c r="C773">
        <v>1391.4139404</v>
      </c>
      <c r="D773">
        <v>1372.2442627</v>
      </c>
      <c r="E773">
        <v>1323.1182861</v>
      </c>
      <c r="F773">
        <v>1320.0754394999999</v>
      </c>
      <c r="G773">
        <v>80</v>
      </c>
      <c r="H773">
        <v>63.031639099000003</v>
      </c>
      <c r="I773">
        <v>50</v>
      </c>
      <c r="J773">
        <v>49.590747833000002</v>
      </c>
      <c r="K773">
        <v>1200</v>
      </c>
      <c r="L773">
        <v>0</v>
      </c>
      <c r="M773">
        <v>0</v>
      </c>
      <c r="N773">
        <v>1200</v>
      </c>
    </row>
    <row r="774" spans="1:14" x14ac:dyDescent="0.25">
      <c r="A774">
        <v>732.11569499999996</v>
      </c>
      <c r="B774" s="1">
        <f>DATE(2012,5,2) + TIME(2,46,36)</f>
        <v>41031.115694444445</v>
      </c>
      <c r="C774">
        <v>1391.1807861</v>
      </c>
      <c r="D774">
        <v>1372.1778564000001</v>
      </c>
      <c r="E774">
        <v>1323.1201172000001</v>
      </c>
      <c r="F774">
        <v>1320.0766602000001</v>
      </c>
      <c r="G774">
        <v>80</v>
      </c>
      <c r="H774">
        <v>63.737720490000001</v>
      </c>
      <c r="I774">
        <v>50</v>
      </c>
      <c r="J774">
        <v>49.568275452000002</v>
      </c>
      <c r="K774">
        <v>1200</v>
      </c>
      <c r="L774">
        <v>0</v>
      </c>
      <c r="M774">
        <v>0</v>
      </c>
      <c r="N774">
        <v>1200</v>
      </c>
    </row>
    <row r="775" spans="1:14" x14ac:dyDescent="0.25">
      <c r="A775">
        <v>732.21608900000001</v>
      </c>
      <c r="B775" s="1">
        <f>DATE(2012,5,2) + TIME(5,11,10)</f>
        <v>41031.216087962966</v>
      </c>
      <c r="C775">
        <v>1390.9534911999999</v>
      </c>
      <c r="D775">
        <v>1372.1114502</v>
      </c>
      <c r="E775">
        <v>1323.1208495999999</v>
      </c>
      <c r="F775">
        <v>1320.0767822</v>
      </c>
      <c r="G775">
        <v>80</v>
      </c>
      <c r="H775">
        <v>64.433357239000003</v>
      </c>
      <c r="I775">
        <v>50</v>
      </c>
      <c r="J775">
        <v>49.545452118</v>
      </c>
      <c r="K775">
        <v>1200</v>
      </c>
      <c r="L775">
        <v>0</v>
      </c>
      <c r="M775">
        <v>0</v>
      </c>
      <c r="N775">
        <v>1200</v>
      </c>
    </row>
    <row r="776" spans="1:14" x14ac:dyDescent="0.25">
      <c r="A776">
        <v>732.31942600000002</v>
      </c>
      <c r="B776" s="1">
        <f>DATE(2012,5,2) + TIME(7,39,58)</f>
        <v>41031.319421296299</v>
      </c>
      <c r="C776">
        <v>1390.7321777</v>
      </c>
      <c r="D776">
        <v>1372.0454102000001</v>
      </c>
      <c r="E776">
        <v>1323.1209716999999</v>
      </c>
      <c r="F776">
        <v>1320.0760498</v>
      </c>
      <c r="G776">
        <v>80</v>
      </c>
      <c r="H776">
        <v>65.118446349999999</v>
      </c>
      <c r="I776">
        <v>50</v>
      </c>
      <c r="J776">
        <v>49.522254943999997</v>
      </c>
      <c r="K776">
        <v>1200</v>
      </c>
      <c r="L776">
        <v>0</v>
      </c>
      <c r="M776">
        <v>0</v>
      </c>
      <c r="N776">
        <v>1200</v>
      </c>
    </row>
    <row r="777" spans="1:14" x14ac:dyDescent="0.25">
      <c r="A777">
        <v>732.42589599999997</v>
      </c>
      <c r="B777" s="1">
        <f>DATE(2012,5,2) + TIME(10,13,17)</f>
        <v>41031.425891203704</v>
      </c>
      <c r="C777">
        <v>1390.5167236</v>
      </c>
      <c r="D777">
        <v>1371.9801024999999</v>
      </c>
      <c r="E777">
        <v>1323.1204834</v>
      </c>
      <c r="F777">
        <v>1320.0750731999999</v>
      </c>
      <c r="G777">
        <v>80</v>
      </c>
      <c r="H777">
        <v>65.792938231999997</v>
      </c>
      <c r="I777">
        <v>50</v>
      </c>
      <c r="J777">
        <v>49.498661040999998</v>
      </c>
      <c r="K777">
        <v>1200</v>
      </c>
      <c r="L777">
        <v>0</v>
      </c>
      <c r="M777">
        <v>0</v>
      </c>
      <c r="N777">
        <v>1200</v>
      </c>
    </row>
    <row r="778" spans="1:14" x14ac:dyDescent="0.25">
      <c r="A778">
        <v>732.535707</v>
      </c>
      <c r="B778" s="1">
        <f>DATE(2012,5,2) + TIME(12,51,25)</f>
        <v>41031.53570601852</v>
      </c>
      <c r="C778">
        <v>1390.307251</v>
      </c>
      <c r="D778">
        <v>1371.9155272999999</v>
      </c>
      <c r="E778">
        <v>1323.1198730000001</v>
      </c>
      <c r="F778">
        <v>1320.0736084</v>
      </c>
      <c r="G778">
        <v>80</v>
      </c>
      <c r="H778">
        <v>66.456535338999998</v>
      </c>
      <c r="I778">
        <v>50</v>
      </c>
      <c r="J778">
        <v>49.474643706999998</v>
      </c>
      <c r="K778">
        <v>1200</v>
      </c>
      <c r="L778">
        <v>0</v>
      </c>
      <c r="M778">
        <v>0</v>
      </c>
      <c r="N778">
        <v>1200</v>
      </c>
    </row>
    <row r="779" spans="1:14" x14ac:dyDescent="0.25">
      <c r="A779">
        <v>732.64911300000006</v>
      </c>
      <c r="B779" s="1">
        <f>DATE(2012,5,2) + TIME(15,34,43)</f>
        <v>41031.649108796293</v>
      </c>
      <c r="C779">
        <v>1390.1031493999999</v>
      </c>
      <c r="D779">
        <v>1371.8514404</v>
      </c>
      <c r="E779">
        <v>1323.1190185999999</v>
      </c>
      <c r="F779">
        <v>1320.0721435999999</v>
      </c>
      <c r="G779">
        <v>80</v>
      </c>
      <c r="H779">
        <v>67.109176636000001</v>
      </c>
      <c r="I779">
        <v>50</v>
      </c>
      <c r="J779">
        <v>49.450157165999997</v>
      </c>
      <c r="K779">
        <v>1200</v>
      </c>
      <c r="L779">
        <v>0</v>
      </c>
      <c r="M779">
        <v>0</v>
      </c>
      <c r="N779">
        <v>1200</v>
      </c>
    </row>
    <row r="780" spans="1:14" x14ac:dyDescent="0.25">
      <c r="A780">
        <v>732.76637000000005</v>
      </c>
      <c r="B780" s="1">
        <f>DATE(2012,5,2) + TIME(18,23,34)</f>
        <v>41031.766365740739</v>
      </c>
      <c r="C780">
        <v>1389.9044189000001</v>
      </c>
      <c r="D780">
        <v>1371.7879639</v>
      </c>
      <c r="E780">
        <v>1323.1179199000001</v>
      </c>
      <c r="F780">
        <v>1320.0703125</v>
      </c>
      <c r="G780">
        <v>80</v>
      </c>
      <c r="H780">
        <v>67.750686646000005</v>
      </c>
      <c r="I780">
        <v>50</v>
      </c>
      <c r="J780">
        <v>49.425178528000004</v>
      </c>
      <c r="K780">
        <v>1200</v>
      </c>
      <c r="L780">
        <v>0</v>
      </c>
      <c r="M780">
        <v>0</v>
      </c>
      <c r="N780">
        <v>1200</v>
      </c>
    </row>
    <row r="781" spans="1:14" x14ac:dyDescent="0.25">
      <c r="A781">
        <v>732.88773100000003</v>
      </c>
      <c r="B781" s="1">
        <f>DATE(2012,5,2) + TIME(21,18,19)</f>
        <v>41031.887719907405</v>
      </c>
      <c r="C781">
        <v>1389.7105713000001</v>
      </c>
      <c r="D781">
        <v>1371.7247314000001</v>
      </c>
      <c r="E781">
        <v>1323.1168213000001</v>
      </c>
      <c r="F781">
        <v>1320.0684814000001</v>
      </c>
      <c r="G781">
        <v>80</v>
      </c>
      <c r="H781">
        <v>68.380676269999995</v>
      </c>
      <c r="I781">
        <v>50</v>
      </c>
      <c r="J781">
        <v>49.399669647000003</v>
      </c>
      <c r="K781">
        <v>1200</v>
      </c>
      <c r="L781">
        <v>0</v>
      </c>
      <c r="M781">
        <v>0</v>
      </c>
      <c r="N781">
        <v>1200</v>
      </c>
    </row>
    <row r="782" spans="1:14" x14ac:dyDescent="0.25">
      <c r="A782">
        <v>733.01350000000002</v>
      </c>
      <c r="B782" s="1">
        <f>DATE(2012,5,3) + TIME(0,19,26)</f>
        <v>41032.013495370367</v>
      </c>
      <c r="C782">
        <v>1389.5216064000001</v>
      </c>
      <c r="D782">
        <v>1371.6618652</v>
      </c>
      <c r="E782">
        <v>1323.1154785000001</v>
      </c>
      <c r="F782">
        <v>1320.0664062000001</v>
      </c>
      <c r="G782">
        <v>80</v>
      </c>
      <c r="H782">
        <v>68.998916625999996</v>
      </c>
      <c r="I782">
        <v>50</v>
      </c>
      <c r="J782">
        <v>49.373592377000001</v>
      </c>
      <c r="K782">
        <v>1200</v>
      </c>
      <c r="L782">
        <v>0</v>
      </c>
      <c r="M782">
        <v>0</v>
      </c>
      <c r="N782">
        <v>1200</v>
      </c>
    </row>
    <row r="783" spans="1:14" x14ac:dyDescent="0.25">
      <c r="A783">
        <v>733.14401699999996</v>
      </c>
      <c r="B783" s="1">
        <f>DATE(2012,5,3) + TIME(3,27,23)</f>
        <v>41032.144016203703</v>
      </c>
      <c r="C783">
        <v>1389.3370361</v>
      </c>
      <c r="D783">
        <v>1371.5991211</v>
      </c>
      <c r="E783">
        <v>1323.1141356999999</v>
      </c>
      <c r="F783">
        <v>1320.0642089999999</v>
      </c>
      <c r="G783">
        <v>80</v>
      </c>
      <c r="H783">
        <v>69.605140685999999</v>
      </c>
      <c r="I783">
        <v>50</v>
      </c>
      <c r="J783">
        <v>49.346904754999997</v>
      </c>
      <c r="K783">
        <v>1200</v>
      </c>
      <c r="L783">
        <v>0</v>
      </c>
      <c r="M783">
        <v>0</v>
      </c>
      <c r="N783">
        <v>1200</v>
      </c>
    </row>
    <row r="784" spans="1:14" x14ac:dyDescent="0.25">
      <c r="A784">
        <v>733.27966200000003</v>
      </c>
      <c r="B784" s="1">
        <f>DATE(2012,5,3) + TIME(6,42,42)</f>
        <v>41032.279652777775</v>
      </c>
      <c r="C784">
        <v>1389.1566161999999</v>
      </c>
      <c r="D784">
        <v>1371.5363769999999</v>
      </c>
      <c r="E784">
        <v>1323.1125488</v>
      </c>
      <c r="F784">
        <v>1320.0620117000001</v>
      </c>
      <c r="G784">
        <v>80</v>
      </c>
      <c r="H784">
        <v>70.198913574000002</v>
      </c>
      <c r="I784">
        <v>50</v>
      </c>
      <c r="J784">
        <v>49.319553374999998</v>
      </c>
      <c r="K784">
        <v>1200</v>
      </c>
      <c r="L784">
        <v>0</v>
      </c>
      <c r="M784">
        <v>0</v>
      </c>
      <c r="N784">
        <v>1200</v>
      </c>
    </row>
    <row r="785" spans="1:14" x14ac:dyDescent="0.25">
      <c r="A785">
        <v>733.42085599999996</v>
      </c>
      <c r="B785" s="1">
        <f>DATE(2012,5,3) + TIME(10,6,1)</f>
        <v>41032.420844907407</v>
      </c>
      <c r="C785">
        <v>1388.9801024999999</v>
      </c>
      <c r="D785">
        <v>1371.4733887</v>
      </c>
      <c r="E785">
        <v>1323.1109618999999</v>
      </c>
      <c r="F785">
        <v>1320.0595702999999</v>
      </c>
      <c r="G785">
        <v>80</v>
      </c>
      <c r="H785">
        <v>70.779792786000002</v>
      </c>
      <c r="I785">
        <v>50</v>
      </c>
      <c r="J785">
        <v>49.291484832999998</v>
      </c>
      <c r="K785">
        <v>1200</v>
      </c>
      <c r="L785">
        <v>0</v>
      </c>
      <c r="M785">
        <v>0</v>
      </c>
      <c r="N785">
        <v>1200</v>
      </c>
    </row>
    <row r="786" spans="1:14" x14ac:dyDescent="0.25">
      <c r="A786">
        <v>733.56807700000002</v>
      </c>
      <c r="B786" s="1">
        <f>DATE(2012,5,3) + TIME(13,38,1)</f>
        <v>41032.568067129629</v>
      </c>
      <c r="C786">
        <v>1388.8071289</v>
      </c>
      <c r="D786">
        <v>1371.4101562000001</v>
      </c>
      <c r="E786">
        <v>1323.1092529</v>
      </c>
      <c r="F786">
        <v>1320.0568848</v>
      </c>
      <c r="G786">
        <v>80</v>
      </c>
      <c r="H786">
        <v>71.347732543999996</v>
      </c>
      <c r="I786">
        <v>50</v>
      </c>
      <c r="J786">
        <v>49.262641907000003</v>
      </c>
      <c r="K786">
        <v>1200</v>
      </c>
      <c r="L786">
        <v>0</v>
      </c>
      <c r="M786">
        <v>0</v>
      </c>
      <c r="N786">
        <v>1200</v>
      </c>
    </row>
    <row r="787" spans="1:14" x14ac:dyDescent="0.25">
      <c r="A787">
        <v>733.72186199999999</v>
      </c>
      <c r="B787" s="1">
        <f>DATE(2012,5,3) + TIME(17,19,28)</f>
        <v>41032.721851851849</v>
      </c>
      <c r="C787">
        <v>1388.6374512</v>
      </c>
      <c r="D787">
        <v>1371.3463135</v>
      </c>
      <c r="E787">
        <v>1323.1072998</v>
      </c>
      <c r="F787">
        <v>1320.0541992000001</v>
      </c>
      <c r="G787">
        <v>80</v>
      </c>
      <c r="H787">
        <v>71.902389525999993</v>
      </c>
      <c r="I787">
        <v>50</v>
      </c>
      <c r="J787">
        <v>49.232948303000001</v>
      </c>
      <c r="K787">
        <v>1200</v>
      </c>
      <c r="L787">
        <v>0</v>
      </c>
      <c r="M787">
        <v>0</v>
      </c>
      <c r="N787">
        <v>1200</v>
      </c>
    </row>
    <row r="788" spans="1:14" x14ac:dyDescent="0.25">
      <c r="A788">
        <v>733.88281700000005</v>
      </c>
      <c r="B788" s="1">
        <f>DATE(2012,5,3) + TIME(21,11,15)</f>
        <v>41032.8828125</v>
      </c>
      <c r="C788">
        <v>1388.4709473</v>
      </c>
      <c r="D788">
        <v>1371.2819824000001</v>
      </c>
      <c r="E788">
        <v>1323.1053466999999</v>
      </c>
      <c r="F788">
        <v>1320.0512695</v>
      </c>
      <c r="G788">
        <v>80</v>
      </c>
      <c r="H788">
        <v>72.443389893000003</v>
      </c>
      <c r="I788">
        <v>50</v>
      </c>
      <c r="J788">
        <v>49.202335357999999</v>
      </c>
      <c r="K788">
        <v>1200</v>
      </c>
      <c r="L788">
        <v>0</v>
      </c>
      <c r="M788">
        <v>0</v>
      </c>
      <c r="N788">
        <v>1200</v>
      </c>
    </row>
    <row r="789" spans="1:14" x14ac:dyDescent="0.25">
      <c r="A789">
        <v>734.051647</v>
      </c>
      <c r="B789" s="1">
        <f>DATE(2012,5,4) + TIME(1,14,22)</f>
        <v>41033.05164351852</v>
      </c>
      <c r="C789">
        <v>1388.3070068</v>
      </c>
      <c r="D789">
        <v>1371.2166748</v>
      </c>
      <c r="E789">
        <v>1323.1031493999999</v>
      </c>
      <c r="F789">
        <v>1320.0482178</v>
      </c>
      <c r="G789">
        <v>80</v>
      </c>
      <c r="H789">
        <v>72.970359802000004</v>
      </c>
      <c r="I789">
        <v>50</v>
      </c>
      <c r="J789">
        <v>49.170711517000001</v>
      </c>
      <c r="K789">
        <v>1200</v>
      </c>
      <c r="L789">
        <v>0</v>
      </c>
      <c r="M789">
        <v>0</v>
      </c>
      <c r="N789">
        <v>1200</v>
      </c>
    </row>
    <row r="790" spans="1:14" x14ac:dyDescent="0.25">
      <c r="A790">
        <v>734.22926399999994</v>
      </c>
      <c r="B790" s="1">
        <f>DATE(2012,5,4) + TIME(5,30,8)</f>
        <v>41033.229259259257</v>
      </c>
      <c r="C790">
        <v>1388.1455077999999</v>
      </c>
      <c r="D790">
        <v>1371.1503906</v>
      </c>
      <c r="E790">
        <v>1323.1009521000001</v>
      </c>
      <c r="F790">
        <v>1320.0449219</v>
      </c>
      <c r="G790">
        <v>80</v>
      </c>
      <c r="H790">
        <v>73.483200073000006</v>
      </c>
      <c r="I790">
        <v>50</v>
      </c>
      <c r="J790">
        <v>49.137958527000002</v>
      </c>
      <c r="K790">
        <v>1200</v>
      </c>
      <c r="L790">
        <v>0</v>
      </c>
      <c r="M790">
        <v>0</v>
      </c>
      <c r="N790">
        <v>1200</v>
      </c>
    </row>
    <row r="791" spans="1:14" x14ac:dyDescent="0.25">
      <c r="A791">
        <v>734.41648599999996</v>
      </c>
      <c r="B791" s="1">
        <f>DATE(2012,5,4) + TIME(9,59,44)</f>
        <v>41033.416481481479</v>
      </c>
      <c r="C791">
        <v>1387.9860839999999</v>
      </c>
      <c r="D791">
        <v>1371.0827637</v>
      </c>
      <c r="E791">
        <v>1323.0985106999999</v>
      </c>
      <c r="F791">
        <v>1320.0415039</v>
      </c>
      <c r="G791">
        <v>80</v>
      </c>
      <c r="H791">
        <v>73.981117248999993</v>
      </c>
      <c r="I791">
        <v>50</v>
      </c>
      <c r="J791">
        <v>49.103977202999999</v>
      </c>
      <c r="K791">
        <v>1200</v>
      </c>
      <c r="L791">
        <v>0</v>
      </c>
      <c r="M791">
        <v>0</v>
      </c>
      <c r="N791">
        <v>1200</v>
      </c>
    </row>
    <row r="792" spans="1:14" x14ac:dyDescent="0.25">
      <c r="A792">
        <v>734.61438599999997</v>
      </c>
      <c r="B792" s="1">
        <f>DATE(2012,5,4) + TIME(14,44,42)</f>
        <v>41033.614374999997</v>
      </c>
      <c r="C792">
        <v>1387.8283690999999</v>
      </c>
      <c r="D792">
        <v>1371.0136719</v>
      </c>
      <c r="E792">
        <v>1323.0958252</v>
      </c>
      <c r="F792">
        <v>1320.0378418</v>
      </c>
      <c r="G792">
        <v>80</v>
      </c>
      <c r="H792">
        <v>74.463653563999998</v>
      </c>
      <c r="I792">
        <v>50</v>
      </c>
      <c r="J792">
        <v>49.068637848000002</v>
      </c>
      <c r="K792">
        <v>1200</v>
      </c>
      <c r="L792">
        <v>0</v>
      </c>
      <c r="M792">
        <v>0</v>
      </c>
      <c r="N792">
        <v>1200</v>
      </c>
    </row>
    <row r="793" spans="1:14" x14ac:dyDescent="0.25">
      <c r="A793">
        <v>734.82422199999996</v>
      </c>
      <c r="B793" s="1">
        <f>DATE(2012,5,4) + TIME(19,46,52)</f>
        <v>41033.824212962965</v>
      </c>
      <c r="C793">
        <v>1387.6722411999999</v>
      </c>
      <c r="D793">
        <v>1370.9428711</v>
      </c>
      <c r="E793">
        <v>1323.0930175999999</v>
      </c>
      <c r="F793">
        <v>1320.0339355000001</v>
      </c>
      <c r="G793">
        <v>80</v>
      </c>
      <c r="H793">
        <v>74.930290221999996</v>
      </c>
      <c r="I793">
        <v>50</v>
      </c>
      <c r="J793">
        <v>49.031784058</v>
      </c>
      <c r="K793">
        <v>1200</v>
      </c>
      <c r="L793">
        <v>0</v>
      </c>
      <c r="M793">
        <v>0</v>
      </c>
      <c r="N793">
        <v>1200</v>
      </c>
    </row>
    <row r="794" spans="1:14" x14ac:dyDescent="0.25">
      <c r="A794">
        <v>735.04747999999995</v>
      </c>
      <c r="B794" s="1">
        <f>DATE(2012,5,5) + TIME(1,8,22)</f>
        <v>41034.047476851854</v>
      </c>
      <c r="C794">
        <v>1387.5170897999999</v>
      </c>
      <c r="D794">
        <v>1370.8701172000001</v>
      </c>
      <c r="E794">
        <v>1323.0900879000001</v>
      </c>
      <c r="F794">
        <v>1320.0297852000001</v>
      </c>
      <c r="G794">
        <v>80</v>
      </c>
      <c r="H794">
        <v>75.380187988000003</v>
      </c>
      <c r="I794">
        <v>50</v>
      </c>
      <c r="J794">
        <v>48.993244171000001</v>
      </c>
      <c r="K794">
        <v>1200</v>
      </c>
      <c r="L794">
        <v>0</v>
      </c>
      <c r="M794">
        <v>0</v>
      </c>
      <c r="N794">
        <v>1200</v>
      </c>
    </row>
    <row r="795" spans="1:14" x14ac:dyDescent="0.25">
      <c r="A795">
        <v>735.285889</v>
      </c>
      <c r="B795" s="1">
        <f>DATE(2012,5,5) + TIME(6,51,40)</f>
        <v>41034.285879629628</v>
      </c>
      <c r="C795">
        <v>1387.3625488</v>
      </c>
      <c r="D795">
        <v>1370.7949219</v>
      </c>
      <c r="E795">
        <v>1323.0867920000001</v>
      </c>
      <c r="F795">
        <v>1320.0253906</v>
      </c>
      <c r="G795">
        <v>80</v>
      </c>
      <c r="H795">
        <v>75.812934874999996</v>
      </c>
      <c r="I795">
        <v>50</v>
      </c>
      <c r="J795">
        <v>48.95280838</v>
      </c>
      <c r="K795">
        <v>1200</v>
      </c>
      <c r="L795">
        <v>0</v>
      </c>
      <c r="M795">
        <v>0</v>
      </c>
      <c r="N795">
        <v>1200</v>
      </c>
    </row>
    <row r="796" spans="1:14" x14ac:dyDescent="0.25">
      <c r="A796">
        <v>735.541605</v>
      </c>
      <c r="B796" s="1">
        <f>DATE(2012,5,5) + TIME(12,59,54)</f>
        <v>41034.541597222225</v>
      </c>
      <c r="C796">
        <v>1387.2082519999999</v>
      </c>
      <c r="D796">
        <v>1370.7171631000001</v>
      </c>
      <c r="E796">
        <v>1323.0832519999999</v>
      </c>
      <c r="F796">
        <v>1320.0206298999999</v>
      </c>
      <c r="G796">
        <v>80</v>
      </c>
      <c r="H796">
        <v>76.227996825999995</v>
      </c>
      <c r="I796">
        <v>50</v>
      </c>
      <c r="J796">
        <v>48.910221100000001</v>
      </c>
      <c r="K796">
        <v>1200</v>
      </c>
      <c r="L796">
        <v>0</v>
      </c>
      <c r="M796">
        <v>0</v>
      </c>
      <c r="N796">
        <v>1200</v>
      </c>
    </row>
    <row r="797" spans="1:14" x14ac:dyDescent="0.25">
      <c r="A797">
        <v>735.81724399999996</v>
      </c>
      <c r="B797" s="1">
        <f>DATE(2012,5,5) + TIME(19,36,49)</f>
        <v>41034.817233796297</v>
      </c>
      <c r="C797">
        <v>1387.0537108999999</v>
      </c>
      <c r="D797">
        <v>1370.6363524999999</v>
      </c>
      <c r="E797">
        <v>1323.0794678</v>
      </c>
      <c r="F797">
        <v>1320.0155029</v>
      </c>
      <c r="G797">
        <v>80</v>
      </c>
      <c r="H797">
        <v>76.624748229999994</v>
      </c>
      <c r="I797">
        <v>50</v>
      </c>
      <c r="J797">
        <v>48.865173339999998</v>
      </c>
      <c r="K797">
        <v>1200</v>
      </c>
      <c r="L797">
        <v>0</v>
      </c>
      <c r="M797">
        <v>0</v>
      </c>
      <c r="N797">
        <v>1200</v>
      </c>
    </row>
    <row r="798" spans="1:14" x14ac:dyDescent="0.25">
      <c r="A798">
        <v>736.09367899999995</v>
      </c>
      <c r="B798" s="1">
        <f>DATE(2012,5,6) + TIME(2,14,53)</f>
        <v>41035.093668981484</v>
      </c>
      <c r="C798">
        <v>1386.9075928</v>
      </c>
      <c r="D798">
        <v>1370.5551757999999</v>
      </c>
      <c r="E798">
        <v>1323.0753173999999</v>
      </c>
      <c r="F798">
        <v>1320.0100098</v>
      </c>
      <c r="G798">
        <v>80</v>
      </c>
      <c r="H798">
        <v>76.977462768999999</v>
      </c>
      <c r="I798">
        <v>50</v>
      </c>
      <c r="J798">
        <v>48.820560454999999</v>
      </c>
      <c r="K798">
        <v>1200</v>
      </c>
      <c r="L798">
        <v>0</v>
      </c>
      <c r="M798">
        <v>0</v>
      </c>
      <c r="N798">
        <v>1200</v>
      </c>
    </row>
    <row r="799" spans="1:14" x14ac:dyDescent="0.25">
      <c r="A799">
        <v>736.37200800000005</v>
      </c>
      <c r="B799" s="1">
        <f>DATE(2012,5,6) + TIME(8,55,41)</f>
        <v>41035.372002314813</v>
      </c>
      <c r="C799">
        <v>1386.7694091999999</v>
      </c>
      <c r="D799">
        <v>1370.4760742000001</v>
      </c>
      <c r="E799">
        <v>1323.0710449000001</v>
      </c>
      <c r="F799">
        <v>1320.0043945</v>
      </c>
      <c r="G799">
        <v>80</v>
      </c>
      <c r="H799">
        <v>77.291992187999995</v>
      </c>
      <c r="I799">
        <v>50</v>
      </c>
      <c r="J799">
        <v>48.776191711000003</v>
      </c>
      <c r="K799">
        <v>1200</v>
      </c>
      <c r="L799">
        <v>0</v>
      </c>
      <c r="M799">
        <v>0</v>
      </c>
      <c r="N799">
        <v>1200</v>
      </c>
    </row>
    <row r="800" spans="1:14" x14ac:dyDescent="0.25">
      <c r="A800">
        <v>736.65295000000003</v>
      </c>
      <c r="B800" s="1">
        <f>DATE(2012,5,6) + TIME(15,40,14)</f>
        <v>41035.652939814812</v>
      </c>
      <c r="C800">
        <v>1386.6379394999999</v>
      </c>
      <c r="D800">
        <v>1370.3984375</v>
      </c>
      <c r="E800">
        <v>1323.0666504000001</v>
      </c>
      <c r="F800">
        <v>1319.9986572</v>
      </c>
      <c r="G800">
        <v>80</v>
      </c>
      <c r="H800">
        <v>77.572845459000007</v>
      </c>
      <c r="I800">
        <v>50</v>
      </c>
      <c r="J800">
        <v>48.731945037999999</v>
      </c>
      <c r="K800">
        <v>1200</v>
      </c>
      <c r="L800">
        <v>0</v>
      </c>
      <c r="M800">
        <v>0</v>
      </c>
      <c r="N800">
        <v>1200</v>
      </c>
    </row>
    <row r="801" spans="1:14" x14ac:dyDescent="0.25">
      <c r="A801">
        <v>736.93728899999996</v>
      </c>
      <c r="B801" s="1">
        <f>DATE(2012,5,6) + TIME(22,29,41)</f>
        <v>41035.937280092592</v>
      </c>
      <c r="C801">
        <v>1386.5123291</v>
      </c>
      <c r="D801">
        <v>1370.3221435999999</v>
      </c>
      <c r="E801">
        <v>1323.0622559000001</v>
      </c>
      <c r="F801">
        <v>1319.9929199000001</v>
      </c>
      <c r="G801">
        <v>80</v>
      </c>
      <c r="H801">
        <v>77.823936462000006</v>
      </c>
      <c r="I801">
        <v>50</v>
      </c>
      <c r="J801">
        <v>48.687690734999997</v>
      </c>
      <c r="K801">
        <v>1200</v>
      </c>
      <c r="L801">
        <v>0</v>
      </c>
      <c r="M801">
        <v>0</v>
      </c>
      <c r="N801">
        <v>1200</v>
      </c>
    </row>
    <row r="802" spans="1:14" x14ac:dyDescent="0.25">
      <c r="A802">
        <v>737.22571600000003</v>
      </c>
      <c r="B802" s="1">
        <f>DATE(2012,5,7) + TIME(5,25,1)</f>
        <v>41036.225706018522</v>
      </c>
      <c r="C802">
        <v>1386.3917236</v>
      </c>
      <c r="D802">
        <v>1370.2469481999999</v>
      </c>
      <c r="E802">
        <v>1323.0577393000001</v>
      </c>
      <c r="F802">
        <v>1319.9870605000001</v>
      </c>
      <c r="G802">
        <v>80</v>
      </c>
      <c r="H802">
        <v>78.048553467000005</v>
      </c>
      <c r="I802">
        <v>50</v>
      </c>
      <c r="J802">
        <v>48.643318176000001</v>
      </c>
      <c r="K802">
        <v>1200</v>
      </c>
      <c r="L802">
        <v>0</v>
      </c>
      <c r="M802">
        <v>0</v>
      </c>
      <c r="N802">
        <v>1200</v>
      </c>
    </row>
    <row r="803" spans="1:14" x14ac:dyDescent="0.25">
      <c r="A803">
        <v>737.51888499999995</v>
      </c>
      <c r="B803" s="1">
        <f>DATE(2012,5,7) + TIME(12,27,11)</f>
        <v>41036.518877314818</v>
      </c>
      <c r="C803">
        <v>1386.2753906</v>
      </c>
      <c r="D803">
        <v>1370.1727295000001</v>
      </c>
      <c r="E803">
        <v>1323.0529785000001</v>
      </c>
      <c r="F803">
        <v>1319.980957</v>
      </c>
      <c r="G803">
        <v>80</v>
      </c>
      <c r="H803">
        <v>78.249511718999997</v>
      </c>
      <c r="I803">
        <v>50</v>
      </c>
      <c r="J803">
        <v>48.598728180000002</v>
      </c>
      <c r="K803">
        <v>1200</v>
      </c>
      <c r="L803">
        <v>0</v>
      </c>
      <c r="M803">
        <v>0</v>
      </c>
      <c r="N803">
        <v>1200</v>
      </c>
    </row>
    <row r="804" spans="1:14" x14ac:dyDescent="0.25">
      <c r="A804">
        <v>737.81752300000005</v>
      </c>
      <c r="B804" s="1">
        <f>DATE(2012,5,7) + TIME(19,37,13)</f>
        <v>41036.817511574074</v>
      </c>
      <c r="C804">
        <v>1386.1629639</v>
      </c>
      <c r="D804">
        <v>1370.0992432</v>
      </c>
      <c r="E804">
        <v>1323.0482178</v>
      </c>
      <c r="F804">
        <v>1319.9748535000001</v>
      </c>
      <c r="G804">
        <v>80</v>
      </c>
      <c r="H804">
        <v>78.429298400999997</v>
      </c>
      <c r="I804">
        <v>50</v>
      </c>
      <c r="J804">
        <v>48.553813933999997</v>
      </c>
      <c r="K804">
        <v>1200</v>
      </c>
      <c r="L804">
        <v>0</v>
      </c>
      <c r="M804">
        <v>0</v>
      </c>
      <c r="N804">
        <v>1200</v>
      </c>
    </row>
    <row r="805" spans="1:14" x14ac:dyDescent="0.25">
      <c r="A805">
        <v>738.12238600000001</v>
      </c>
      <c r="B805" s="1">
        <f>DATE(2012,5,8) + TIME(2,56,14)</f>
        <v>41037.122384259259</v>
      </c>
      <c r="C805">
        <v>1386.0537108999999</v>
      </c>
      <c r="D805">
        <v>1370.0263672000001</v>
      </c>
      <c r="E805">
        <v>1323.0433350000001</v>
      </c>
      <c r="F805">
        <v>1319.9685059000001</v>
      </c>
      <c r="G805">
        <v>80</v>
      </c>
      <c r="H805">
        <v>78.590095520000006</v>
      </c>
      <c r="I805">
        <v>50</v>
      </c>
      <c r="J805">
        <v>48.508468628000003</v>
      </c>
      <c r="K805">
        <v>1200</v>
      </c>
      <c r="L805">
        <v>0</v>
      </c>
      <c r="M805">
        <v>0</v>
      </c>
      <c r="N805">
        <v>1200</v>
      </c>
    </row>
    <row r="806" spans="1:14" x14ac:dyDescent="0.25">
      <c r="A806">
        <v>738.43426999999997</v>
      </c>
      <c r="B806" s="1">
        <f>DATE(2012,5,8) + TIME(10,25,20)</f>
        <v>41037.434259259258</v>
      </c>
      <c r="C806">
        <v>1385.9473877</v>
      </c>
      <c r="D806">
        <v>1369.9538574000001</v>
      </c>
      <c r="E806">
        <v>1323.0383300999999</v>
      </c>
      <c r="F806">
        <v>1319.9619141000001</v>
      </c>
      <c r="G806">
        <v>80</v>
      </c>
      <c r="H806">
        <v>78.733833313000005</v>
      </c>
      <c r="I806">
        <v>50</v>
      </c>
      <c r="J806">
        <v>48.462585449000002</v>
      </c>
      <c r="K806">
        <v>1200</v>
      </c>
      <c r="L806">
        <v>0</v>
      </c>
      <c r="M806">
        <v>0</v>
      </c>
      <c r="N806">
        <v>1200</v>
      </c>
    </row>
    <row r="807" spans="1:14" x14ac:dyDescent="0.25">
      <c r="A807">
        <v>738.75402899999995</v>
      </c>
      <c r="B807" s="1">
        <f>DATE(2012,5,8) + TIME(18,5,48)</f>
        <v>41037.754027777781</v>
      </c>
      <c r="C807">
        <v>1385.8433838000001</v>
      </c>
      <c r="D807">
        <v>1369.8817139</v>
      </c>
      <c r="E807">
        <v>1323.0330810999999</v>
      </c>
      <c r="F807">
        <v>1319.9552002</v>
      </c>
      <c r="G807">
        <v>80</v>
      </c>
      <c r="H807">
        <v>78.862197875999996</v>
      </c>
      <c r="I807">
        <v>50</v>
      </c>
      <c r="J807">
        <v>48.416053771999998</v>
      </c>
      <c r="K807">
        <v>1200</v>
      </c>
      <c r="L807">
        <v>0</v>
      </c>
      <c r="M807">
        <v>0</v>
      </c>
      <c r="N807">
        <v>1200</v>
      </c>
    </row>
    <row r="808" spans="1:14" x14ac:dyDescent="0.25">
      <c r="A808">
        <v>739.08258499999999</v>
      </c>
      <c r="B808" s="1">
        <f>DATE(2012,5,9) + TIME(1,58,55)</f>
        <v>41038.08258101852</v>
      </c>
      <c r="C808">
        <v>1385.7413329999999</v>
      </c>
      <c r="D808">
        <v>1369.8098144999999</v>
      </c>
      <c r="E808">
        <v>1323.0277100000001</v>
      </c>
      <c r="F808">
        <v>1319.9483643000001</v>
      </c>
      <c r="G808">
        <v>80</v>
      </c>
      <c r="H808">
        <v>78.976722717000001</v>
      </c>
      <c r="I808">
        <v>50</v>
      </c>
      <c r="J808">
        <v>48.368751525999997</v>
      </c>
      <c r="K808">
        <v>1200</v>
      </c>
      <c r="L808">
        <v>0</v>
      </c>
      <c r="M808">
        <v>0</v>
      </c>
      <c r="N808">
        <v>1200</v>
      </c>
    </row>
    <row r="809" spans="1:14" x14ac:dyDescent="0.25">
      <c r="A809">
        <v>739.42095200000006</v>
      </c>
      <c r="B809" s="1">
        <f>DATE(2012,5,9) + TIME(10,6,10)</f>
        <v>41038.420949074076</v>
      </c>
      <c r="C809">
        <v>1385.6409911999999</v>
      </c>
      <c r="D809">
        <v>1369.7379149999999</v>
      </c>
      <c r="E809">
        <v>1323.0220947</v>
      </c>
      <c r="F809">
        <v>1319.9411620999999</v>
      </c>
      <c r="G809">
        <v>80</v>
      </c>
      <c r="H809">
        <v>79.078742981000005</v>
      </c>
      <c r="I809">
        <v>50</v>
      </c>
      <c r="J809">
        <v>48.320564269999998</v>
      </c>
      <c r="K809">
        <v>1200</v>
      </c>
      <c r="L809">
        <v>0</v>
      </c>
      <c r="M809">
        <v>0</v>
      </c>
      <c r="N809">
        <v>1200</v>
      </c>
    </row>
    <row r="810" spans="1:14" x14ac:dyDescent="0.25">
      <c r="A810">
        <v>739.77024800000004</v>
      </c>
      <c r="B810" s="1">
        <f>DATE(2012,5,9) + TIME(18,29,9)</f>
        <v>41038.770243055558</v>
      </c>
      <c r="C810">
        <v>1385.5418701000001</v>
      </c>
      <c r="D810">
        <v>1369.6660156</v>
      </c>
      <c r="E810">
        <v>1323.0162353999999</v>
      </c>
      <c r="F810">
        <v>1319.9337158000001</v>
      </c>
      <c r="G810">
        <v>80</v>
      </c>
      <c r="H810">
        <v>79.169471740999995</v>
      </c>
      <c r="I810">
        <v>50</v>
      </c>
      <c r="J810">
        <v>48.271350861000002</v>
      </c>
      <c r="K810">
        <v>1200</v>
      </c>
      <c r="L810">
        <v>0</v>
      </c>
      <c r="M810">
        <v>0</v>
      </c>
      <c r="N810">
        <v>1200</v>
      </c>
    </row>
    <row r="811" spans="1:14" x14ac:dyDescent="0.25">
      <c r="A811">
        <v>740.131799</v>
      </c>
      <c r="B811" s="1">
        <f>DATE(2012,5,10) + TIME(3,9,47)</f>
        <v>41039.131793981483</v>
      </c>
      <c r="C811">
        <v>1385.4438477000001</v>
      </c>
      <c r="D811">
        <v>1369.59375</v>
      </c>
      <c r="E811">
        <v>1323.0102539</v>
      </c>
      <c r="F811">
        <v>1319.9259033000001</v>
      </c>
      <c r="G811">
        <v>80</v>
      </c>
      <c r="H811">
        <v>79.250015258999994</v>
      </c>
      <c r="I811">
        <v>50</v>
      </c>
      <c r="J811">
        <v>48.220958709999998</v>
      </c>
      <c r="K811">
        <v>1200</v>
      </c>
      <c r="L811">
        <v>0</v>
      </c>
      <c r="M811">
        <v>0</v>
      </c>
      <c r="N811">
        <v>1200</v>
      </c>
    </row>
    <row r="812" spans="1:14" x14ac:dyDescent="0.25">
      <c r="A812">
        <v>740.50711799999999</v>
      </c>
      <c r="B812" s="1">
        <f>DATE(2012,5,10) + TIME(12,10,14)</f>
        <v>41039.507106481484</v>
      </c>
      <c r="C812">
        <v>1385.3463135</v>
      </c>
      <c r="D812">
        <v>1369.5212402</v>
      </c>
      <c r="E812">
        <v>1323.0039062000001</v>
      </c>
      <c r="F812">
        <v>1319.9178466999999</v>
      </c>
      <c r="G812">
        <v>80</v>
      </c>
      <c r="H812">
        <v>79.321357727000006</v>
      </c>
      <c r="I812">
        <v>50</v>
      </c>
      <c r="J812">
        <v>48.169216155999997</v>
      </c>
      <c r="K812">
        <v>1200</v>
      </c>
      <c r="L812">
        <v>0</v>
      </c>
      <c r="M812">
        <v>0</v>
      </c>
      <c r="N812">
        <v>1200</v>
      </c>
    </row>
    <row r="813" spans="1:14" x14ac:dyDescent="0.25">
      <c r="A813">
        <v>740.89758200000006</v>
      </c>
      <c r="B813" s="1">
        <f>DATE(2012,5,10) + TIME(21,32,31)</f>
        <v>41039.897581018522</v>
      </c>
      <c r="C813">
        <v>1385.2492675999999</v>
      </c>
      <c r="D813">
        <v>1369.4481201000001</v>
      </c>
      <c r="E813">
        <v>1322.9973144999999</v>
      </c>
      <c r="F813">
        <v>1319.9094238</v>
      </c>
      <c r="G813">
        <v>80</v>
      </c>
      <c r="H813">
        <v>79.384361267000003</v>
      </c>
      <c r="I813">
        <v>50</v>
      </c>
      <c r="J813">
        <v>48.115966796999999</v>
      </c>
      <c r="K813">
        <v>1200</v>
      </c>
      <c r="L813">
        <v>0</v>
      </c>
      <c r="M813">
        <v>0</v>
      </c>
      <c r="N813">
        <v>1200</v>
      </c>
    </row>
    <row r="814" spans="1:14" x14ac:dyDescent="0.25">
      <c r="A814">
        <v>741.30378199999996</v>
      </c>
      <c r="B814" s="1">
        <f>DATE(2012,5,11) + TIME(7,17,26)</f>
        <v>41040.303773148145</v>
      </c>
      <c r="C814">
        <v>1385.1523437999999</v>
      </c>
      <c r="D814">
        <v>1369.3742675999999</v>
      </c>
      <c r="E814">
        <v>1322.9904785000001</v>
      </c>
      <c r="F814">
        <v>1319.9006348</v>
      </c>
      <c r="G814">
        <v>80</v>
      </c>
      <c r="H814">
        <v>79.439674377000003</v>
      </c>
      <c r="I814">
        <v>50</v>
      </c>
      <c r="J814">
        <v>48.061164855999998</v>
      </c>
      <c r="K814">
        <v>1200</v>
      </c>
      <c r="L814">
        <v>0</v>
      </c>
      <c r="M814">
        <v>0</v>
      </c>
      <c r="N814">
        <v>1200</v>
      </c>
    </row>
    <row r="815" spans="1:14" x14ac:dyDescent="0.25">
      <c r="A815">
        <v>741.72745799999996</v>
      </c>
      <c r="B815" s="1">
        <f>DATE(2012,5,11) + TIME(17,27,32)</f>
        <v>41040.727453703701</v>
      </c>
      <c r="C815">
        <v>1385.0554199000001</v>
      </c>
      <c r="D815">
        <v>1369.2999268000001</v>
      </c>
      <c r="E815">
        <v>1322.9831543</v>
      </c>
      <c r="F815">
        <v>1319.8913574000001</v>
      </c>
      <c r="G815">
        <v>80</v>
      </c>
      <c r="H815">
        <v>79.488067627000007</v>
      </c>
      <c r="I815">
        <v>50</v>
      </c>
      <c r="J815">
        <v>48.004619597999998</v>
      </c>
      <c r="K815">
        <v>1200</v>
      </c>
      <c r="L815">
        <v>0</v>
      </c>
      <c r="M815">
        <v>0</v>
      </c>
      <c r="N815">
        <v>1200</v>
      </c>
    </row>
    <row r="816" spans="1:14" x14ac:dyDescent="0.25">
      <c r="A816">
        <v>742.17069800000002</v>
      </c>
      <c r="B816" s="1">
        <f>DATE(2012,5,12) + TIME(4,5,48)</f>
        <v>41041.170694444445</v>
      </c>
      <c r="C816">
        <v>1384.9581298999999</v>
      </c>
      <c r="D816">
        <v>1369.2246094</v>
      </c>
      <c r="E816">
        <v>1322.9755858999999</v>
      </c>
      <c r="F816">
        <v>1319.8815918</v>
      </c>
      <c r="G816">
        <v>80</v>
      </c>
      <c r="H816">
        <v>79.530258179</v>
      </c>
      <c r="I816">
        <v>50</v>
      </c>
      <c r="J816">
        <v>47.946109772</v>
      </c>
      <c r="K816">
        <v>1200</v>
      </c>
      <c r="L816">
        <v>0</v>
      </c>
      <c r="M816">
        <v>0</v>
      </c>
      <c r="N816">
        <v>1200</v>
      </c>
    </row>
    <row r="817" spans="1:14" x14ac:dyDescent="0.25">
      <c r="A817">
        <v>742.40299000000005</v>
      </c>
      <c r="B817" s="1">
        <f>DATE(2012,5,12) + TIME(9,40,18)</f>
        <v>41041.402986111112</v>
      </c>
      <c r="C817">
        <v>1384.8687743999999</v>
      </c>
      <c r="D817">
        <v>1369.1518555</v>
      </c>
      <c r="E817">
        <v>1322.9669189000001</v>
      </c>
      <c r="F817">
        <v>1319.8719481999999</v>
      </c>
      <c r="G817">
        <v>80</v>
      </c>
      <c r="H817">
        <v>79.550254821999999</v>
      </c>
      <c r="I817">
        <v>50</v>
      </c>
      <c r="J817">
        <v>47.913513184000003</v>
      </c>
      <c r="K817">
        <v>1200</v>
      </c>
      <c r="L817">
        <v>0</v>
      </c>
      <c r="M817">
        <v>0</v>
      </c>
      <c r="N817">
        <v>1200</v>
      </c>
    </row>
    <row r="818" spans="1:14" x14ac:dyDescent="0.25">
      <c r="A818">
        <v>742.86757499999999</v>
      </c>
      <c r="B818" s="1">
        <f>DATE(2012,5,12) + TIME(20,49,18)</f>
        <v>41041.867569444446</v>
      </c>
      <c r="C818">
        <v>1384.8109131000001</v>
      </c>
      <c r="D818">
        <v>1369.1096190999999</v>
      </c>
      <c r="E818">
        <v>1322.9631348</v>
      </c>
      <c r="F818">
        <v>1319.8657227000001</v>
      </c>
      <c r="G818">
        <v>80</v>
      </c>
      <c r="H818">
        <v>79.583389281999999</v>
      </c>
      <c r="I818">
        <v>50</v>
      </c>
      <c r="J818">
        <v>47.853298187</v>
      </c>
      <c r="K818">
        <v>1200</v>
      </c>
      <c r="L818">
        <v>0</v>
      </c>
      <c r="M818">
        <v>0</v>
      </c>
      <c r="N818">
        <v>1200</v>
      </c>
    </row>
    <row r="819" spans="1:14" x14ac:dyDescent="0.25">
      <c r="A819">
        <v>743.33217100000002</v>
      </c>
      <c r="B819" s="1">
        <f>DATE(2012,5,13) + TIME(7,58,19)</f>
        <v>41042.33216435185</v>
      </c>
      <c r="C819">
        <v>1384.7150879000001</v>
      </c>
      <c r="D819">
        <v>1369.0340576000001</v>
      </c>
      <c r="E819">
        <v>1322.9545897999999</v>
      </c>
      <c r="F819">
        <v>1319.8549805</v>
      </c>
      <c r="G819">
        <v>80</v>
      </c>
      <c r="H819">
        <v>79.610839843999997</v>
      </c>
      <c r="I819">
        <v>50</v>
      </c>
      <c r="J819">
        <v>47.793296814000001</v>
      </c>
      <c r="K819">
        <v>1200</v>
      </c>
      <c r="L819">
        <v>0</v>
      </c>
      <c r="M819">
        <v>0</v>
      </c>
      <c r="N819">
        <v>1200</v>
      </c>
    </row>
    <row r="820" spans="1:14" x14ac:dyDescent="0.25">
      <c r="A820">
        <v>743.79860099999996</v>
      </c>
      <c r="B820" s="1">
        <f>DATE(2012,5,13) + TIME(19,9,59)</f>
        <v>41042.79859953704</v>
      </c>
      <c r="C820">
        <v>1384.6223144999999</v>
      </c>
      <c r="D820">
        <v>1368.9605713000001</v>
      </c>
      <c r="E820">
        <v>1322.9459228999999</v>
      </c>
      <c r="F820">
        <v>1319.8439940999999</v>
      </c>
      <c r="G820">
        <v>80</v>
      </c>
      <c r="H820">
        <v>79.633666992000002</v>
      </c>
      <c r="I820">
        <v>50</v>
      </c>
      <c r="J820">
        <v>47.733325958000002</v>
      </c>
      <c r="K820">
        <v>1200</v>
      </c>
      <c r="L820">
        <v>0</v>
      </c>
      <c r="M820">
        <v>0</v>
      </c>
      <c r="N820">
        <v>1200</v>
      </c>
    </row>
    <row r="821" spans="1:14" x14ac:dyDescent="0.25">
      <c r="A821">
        <v>744.26826200000005</v>
      </c>
      <c r="B821" s="1">
        <f>DATE(2012,5,14) + TIME(6,26,17)</f>
        <v>41043.268252314818</v>
      </c>
      <c r="C821">
        <v>1384.5322266000001</v>
      </c>
      <c r="D821">
        <v>1368.8890381000001</v>
      </c>
      <c r="E821">
        <v>1322.9371338000001</v>
      </c>
      <c r="F821">
        <v>1319.8328856999999</v>
      </c>
      <c r="G821">
        <v>80</v>
      </c>
      <c r="H821">
        <v>79.652709960999999</v>
      </c>
      <c r="I821">
        <v>50</v>
      </c>
      <c r="J821">
        <v>47.673248291</v>
      </c>
      <c r="K821">
        <v>1200</v>
      </c>
      <c r="L821">
        <v>0</v>
      </c>
      <c r="M821">
        <v>0</v>
      </c>
      <c r="N821">
        <v>1200</v>
      </c>
    </row>
    <row r="822" spans="1:14" x14ac:dyDescent="0.25">
      <c r="A822">
        <v>744.742301</v>
      </c>
      <c r="B822" s="1">
        <f>DATE(2012,5,14) + TIME(17,48,54)</f>
        <v>41043.742291666669</v>
      </c>
      <c r="C822">
        <v>1384.4445800999999</v>
      </c>
      <c r="D822">
        <v>1368.8192139</v>
      </c>
      <c r="E822">
        <v>1322.9282227000001</v>
      </c>
      <c r="F822">
        <v>1319.8215332</v>
      </c>
      <c r="G822">
        <v>80</v>
      </c>
      <c r="H822">
        <v>79.668624878000003</v>
      </c>
      <c r="I822">
        <v>50</v>
      </c>
      <c r="J822">
        <v>47.612949370999999</v>
      </c>
      <c r="K822">
        <v>1200</v>
      </c>
      <c r="L822">
        <v>0</v>
      </c>
      <c r="M822">
        <v>0</v>
      </c>
      <c r="N822">
        <v>1200</v>
      </c>
    </row>
    <row r="823" spans="1:14" x14ac:dyDescent="0.25">
      <c r="A823">
        <v>745.22197500000004</v>
      </c>
      <c r="B823" s="1">
        <f>DATE(2012,5,15) + TIME(5,19,38)</f>
        <v>41044.221967592595</v>
      </c>
      <c r="C823">
        <v>1384.3587646000001</v>
      </c>
      <c r="D823">
        <v>1368.7507324000001</v>
      </c>
      <c r="E823">
        <v>1322.9190673999999</v>
      </c>
      <c r="F823">
        <v>1319.8100586</v>
      </c>
      <c r="G823">
        <v>80</v>
      </c>
      <c r="H823">
        <v>79.681945800999998</v>
      </c>
      <c r="I823">
        <v>50</v>
      </c>
      <c r="J823">
        <v>47.552299499999997</v>
      </c>
      <c r="K823">
        <v>1200</v>
      </c>
      <c r="L823">
        <v>0</v>
      </c>
      <c r="M823">
        <v>0</v>
      </c>
      <c r="N823">
        <v>1200</v>
      </c>
    </row>
    <row r="824" spans="1:14" x14ac:dyDescent="0.25">
      <c r="A824">
        <v>745.70853699999998</v>
      </c>
      <c r="B824" s="1">
        <f>DATE(2012,5,15) + TIME(17,0,17)</f>
        <v>41044.70853009259</v>
      </c>
      <c r="C824">
        <v>1384.2746582</v>
      </c>
      <c r="D824">
        <v>1368.6834716999999</v>
      </c>
      <c r="E824">
        <v>1322.9097899999999</v>
      </c>
      <c r="F824">
        <v>1319.7983397999999</v>
      </c>
      <c r="G824">
        <v>80</v>
      </c>
      <c r="H824">
        <v>79.693107604999994</v>
      </c>
      <c r="I824">
        <v>50</v>
      </c>
      <c r="J824">
        <v>47.491168975999997</v>
      </c>
      <c r="K824">
        <v>1200</v>
      </c>
      <c r="L824">
        <v>0</v>
      </c>
      <c r="M824">
        <v>0</v>
      </c>
      <c r="N824">
        <v>1200</v>
      </c>
    </row>
    <row r="825" spans="1:14" x14ac:dyDescent="0.25">
      <c r="A825">
        <v>746.20327399999996</v>
      </c>
      <c r="B825" s="1">
        <f>DATE(2012,5,16) + TIME(4,52,42)</f>
        <v>41045.203263888892</v>
      </c>
      <c r="C825">
        <v>1384.1918945</v>
      </c>
      <c r="D825">
        <v>1368.6171875</v>
      </c>
      <c r="E825">
        <v>1322.9003906</v>
      </c>
      <c r="F825">
        <v>1319.7862548999999</v>
      </c>
      <c r="G825">
        <v>80</v>
      </c>
      <c r="H825">
        <v>79.702468871999997</v>
      </c>
      <c r="I825">
        <v>50</v>
      </c>
      <c r="J825">
        <v>47.429428100999999</v>
      </c>
      <c r="K825">
        <v>1200</v>
      </c>
      <c r="L825">
        <v>0</v>
      </c>
      <c r="M825">
        <v>0</v>
      </c>
      <c r="N825">
        <v>1200</v>
      </c>
    </row>
    <row r="826" spans="1:14" x14ac:dyDescent="0.25">
      <c r="A826">
        <v>746.707537</v>
      </c>
      <c r="B826" s="1">
        <f>DATE(2012,5,16) + TIME(16,58,51)</f>
        <v>41045.70753472222</v>
      </c>
      <c r="C826">
        <v>1384.1101074000001</v>
      </c>
      <c r="D826">
        <v>1368.5517577999999</v>
      </c>
      <c r="E826">
        <v>1322.8907471</v>
      </c>
      <c r="F826">
        <v>1319.7739257999999</v>
      </c>
      <c r="G826">
        <v>80</v>
      </c>
      <c r="H826">
        <v>79.710327148000005</v>
      </c>
      <c r="I826">
        <v>50</v>
      </c>
      <c r="J826">
        <v>47.366935730000002</v>
      </c>
      <c r="K826">
        <v>1200</v>
      </c>
      <c r="L826">
        <v>0</v>
      </c>
      <c r="M826">
        <v>0</v>
      </c>
      <c r="N826">
        <v>1200</v>
      </c>
    </row>
    <row r="827" spans="1:14" x14ac:dyDescent="0.25">
      <c r="A827">
        <v>747.22275200000001</v>
      </c>
      <c r="B827" s="1">
        <f>DATE(2012,5,17) + TIME(5,20,45)</f>
        <v>41046.222743055558</v>
      </c>
      <c r="C827">
        <v>1384.0292969</v>
      </c>
      <c r="D827">
        <v>1368.4868164</v>
      </c>
      <c r="E827">
        <v>1322.8807373</v>
      </c>
      <c r="F827">
        <v>1319.7612305</v>
      </c>
      <c r="G827">
        <v>80</v>
      </c>
      <c r="H827">
        <v>79.716926575000002</v>
      </c>
      <c r="I827">
        <v>50</v>
      </c>
      <c r="J827">
        <v>47.303546906000001</v>
      </c>
      <c r="K827">
        <v>1200</v>
      </c>
      <c r="L827">
        <v>0</v>
      </c>
      <c r="M827">
        <v>0</v>
      </c>
      <c r="N827">
        <v>1200</v>
      </c>
    </row>
    <row r="828" spans="1:14" x14ac:dyDescent="0.25">
      <c r="A828">
        <v>747.750452</v>
      </c>
      <c r="B828" s="1">
        <f>DATE(2012,5,17) + TIME(18,0,39)</f>
        <v>41046.750451388885</v>
      </c>
      <c r="C828">
        <v>1383.9488524999999</v>
      </c>
      <c r="D828">
        <v>1368.4223632999999</v>
      </c>
      <c r="E828">
        <v>1322.8704834</v>
      </c>
      <c r="F828">
        <v>1319.7482910000001</v>
      </c>
      <c r="G828">
        <v>80</v>
      </c>
      <c r="H828">
        <v>79.722457886000001</v>
      </c>
      <c r="I828">
        <v>50</v>
      </c>
      <c r="J828">
        <v>47.239105225000003</v>
      </c>
      <c r="K828">
        <v>1200</v>
      </c>
      <c r="L828">
        <v>0</v>
      </c>
      <c r="M828">
        <v>0</v>
      </c>
      <c r="N828">
        <v>1200</v>
      </c>
    </row>
    <row r="829" spans="1:14" x14ac:dyDescent="0.25">
      <c r="A829">
        <v>748.29231100000004</v>
      </c>
      <c r="B829" s="1">
        <f>DATE(2012,5,18) + TIME(7,0,55)</f>
        <v>41047.292303240742</v>
      </c>
      <c r="C829">
        <v>1383.8688964999999</v>
      </c>
      <c r="D829">
        <v>1368.3581543</v>
      </c>
      <c r="E829">
        <v>1322.8599853999999</v>
      </c>
      <c r="F829">
        <v>1319.7347411999999</v>
      </c>
      <c r="G829">
        <v>80</v>
      </c>
      <c r="H829">
        <v>79.727111816000004</v>
      </c>
      <c r="I829">
        <v>50</v>
      </c>
      <c r="J829">
        <v>47.173446654999999</v>
      </c>
      <c r="K829">
        <v>1200</v>
      </c>
      <c r="L829">
        <v>0</v>
      </c>
      <c r="M829">
        <v>0</v>
      </c>
      <c r="N829">
        <v>1200</v>
      </c>
    </row>
    <row r="830" spans="1:14" x14ac:dyDescent="0.25">
      <c r="A830">
        <v>748.850233</v>
      </c>
      <c r="B830" s="1">
        <f>DATE(2012,5,18) + TIME(20,24,20)</f>
        <v>41047.850231481483</v>
      </c>
      <c r="C830">
        <v>1383.7889404</v>
      </c>
      <c r="D830">
        <v>1368.2939452999999</v>
      </c>
      <c r="E830">
        <v>1322.848999</v>
      </c>
      <c r="F830">
        <v>1319.7208252</v>
      </c>
      <c r="G830">
        <v>80</v>
      </c>
      <c r="H830">
        <v>79.731010436999995</v>
      </c>
      <c r="I830">
        <v>50</v>
      </c>
      <c r="J830">
        <v>47.106376648000001</v>
      </c>
      <c r="K830">
        <v>1200</v>
      </c>
      <c r="L830">
        <v>0</v>
      </c>
      <c r="M830">
        <v>0</v>
      </c>
      <c r="N830">
        <v>1200</v>
      </c>
    </row>
    <row r="831" spans="1:14" x14ac:dyDescent="0.25">
      <c r="A831">
        <v>749.42653499999994</v>
      </c>
      <c r="B831" s="1">
        <f>DATE(2012,5,19) + TIME(10,14,12)</f>
        <v>41048.426527777781</v>
      </c>
      <c r="C831">
        <v>1383.7088623</v>
      </c>
      <c r="D831">
        <v>1368.2296143000001</v>
      </c>
      <c r="E831">
        <v>1322.8376464999999</v>
      </c>
      <c r="F831">
        <v>1319.7064209</v>
      </c>
      <c r="G831">
        <v>80</v>
      </c>
      <c r="H831">
        <v>79.734283446999996</v>
      </c>
      <c r="I831">
        <v>50</v>
      </c>
      <c r="J831">
        <v>47.037673949999999</v>
      </c>
      <c r="K831">
        <v>1200</v>
      </c>
      <c r="L831">
        <v>0</v>
      </c>
      <c r="M831">
        <v>0</v>
      </c>
      <c r="N831">
        <v>1200</v>
      </c>
    </row>
    <row r="832" spans="1:14" x14ac:dyDescent="0.25">
      <c r="A832">
        <v>750.02323899999999</v>
      </c>
      <c r="B832" s="1">
        <f>DATE(2012,5,20) + TIME(0,33,27)</f>
        <v>41049.023229166669</v>
      </c>
      <c r="C832">
        <v>1383.628418</v>
      </c>
      <c r="D832">
        <v>1368.1650391000001</v>
      </c>
      <c r="E832">
        <v>1322.8259277</v>
      </c>
      <c r="F832">
        <v>1319.6912841999999</v>
      </c>
      <c r="G832">
        <v>80</v>
      </c>
      <c r="H832">
        <v>79.737030028999996</v>
      </c>
      <c r="I832">
        <v>50</v>
      </c>
      <c r="J832">
        <v>46.967136383000003</v>
      </c>
      <c r="K832">
        <v>1200</v>
      </c>
      <c r="L832">
        <v>0</v>
      </c>
      <c r="M832">
        <v>0</v>
      </c>
      <c r="N832">
        <v>1200</v>
      </c>
    </row>
    <row r="833" spans="1:14" x14ac:dyDescent="0.25">
      <c r="A833">
        <v>750.64297299999998</v>
      </c>
      <c r="B833" s="1">
        <f>DATE(2012,5,20) + TIME(15,25,52)</f>
        <v>41049.642962962964</v>
      </c>
      <c r="C833">
        <v>1383.5473632999999</v>
      </c>
      <c r="D833">
        <v>1368.0998535000001</v>
      </c>
      <c r="E833">
        <v>1322.8135986</v>
      </c>
      <c r="F833">
        <v>1319.6755370999999</v>
      </c>
      <c r="G833">
        <v>80</v>
      </c>
      <c r="H833">
        <v>79.739326477000006</v>
      </c>
      <c r="I833">
        <v>50</v>
      </c>
      <c r="J833">
        <v>46.894515990999999</v>
      </c>
      <c r="K833">
        <v>1200</v>
      </c>
      <c r="L833">
        <v>0</v>
      </c>
      <c r="M833">
        <v>0</v>
      </c>
      <c r="N833">
        <v>1200</v>
      </c>
    </row>
    <row r="834" spans="1:14" x14ac:dyDescent="0.25">
      <c r="A834">
        <v>751.288769</v>
      </c>
      <c r="B834" s="1">
        <f>DATE(2012,5,21) + TIME(6,55,49)</f>
        <v>41050.288761574076</v>
      </c>
      <c r="C834">
        <v>1383.465332</v>
      </c>
      <c r="D834">
        <v>1368.0340576000001</v>
      </c>
      <c r="E834">
        <v>1322.8007812000001</v>
      </c>
      <c r="F834">
        <v>1319.6591797000001</v>
      </c>
      <c r="G834">
        <v>80</v>
      </c>
      <c r="H834">
        <v>79.741249084000003</v>
      </c>
      <c r="I834">
        <v>50</v>
      </c>
      <c r="J834">
        <v>46.819526672000002</v>
      </c>
      <c r="K834">
        <v>1200</v>
      </c>
      <c r="L834">
        <v>0</v>
      </c>
      <c r="M834">
        <v>0</v>
      </c>
      <c r="N834">
        <v>1200</v>
      </c>
    </row>
    <row r="835" spans="1:14" x14ac:dyDescent="0.25">
      <c r="A835">
        <v>751.96415100000002</v>
      </c>
      <c r="B835" s="1">
        <f>DATE(2012,5,21) + TIME(23,8,22)</f>
        <v>41050.964143518519</v>
      </c>
      <c r="C835">
        <v>1383.3823242000001</v>
      </c>
      <c r="D835">
        <v>1367.9674072</v>
      </c>
      <c r="E835">
        <v>1322.7872314000001</v>
      </c>
      <c r="F835">
        <v>1319.6418457</v>
      </c>
      <c r="G835">
        <v>80</v>
      </c>
      <c r="H835">
        <v>79.742866516000007</v>
      </c>
      <c r="I835">
        <v>50</v>
      </c>
      <c r="J835">
        <v>46.741832733000003</v>
      </c>
      <c r="K835">
        <v>1200</v>
      </c>
      <c r="L835">
        <v>0</v>
      </c>
      <c r="M835">
        <v>0</v>
      </c>
      <c r="N835">
        <v>1200</v>
      </c>
    </row>
    <row r="836" spans="1:14" x14ac:dyDescent="0.25">
      <c r="A836">
        <v>752.65906900000004</v>
      </c>
      <c r="B836" s="1">
        <f>DATE(2012,5,22) + TIME(15,49,3)</f>
        <v>41051.659062500003</v>
      </c>
      <c r="C836">
        <v>1383.2977295000001</v>
      </c>
      <c r="D836">
        <v>1367.8995361</v>
      </c>
      <c r="E836">
        <v>1322.7730713000001</v>
      </c>
      <c r="F836">
        <v>1319.6236572</v>
      </c>
      <c r="G836">
        <v>80</v>
      </c>
      <c r="H836">
        <v>79.744194031000006</v>
      </c>
      <c r="I836">
        <v>50</v>
      </c>
      <c r="J836">
        <v>46.662361144999998</v>
      </c>
      <c r="K836">
        <v>1200</v>
      </c>
      <c r="L836">
        <v>0</v>
      </c>
      <c r="M836">
        <v>0</v>
      </c>
      <c r="N836">
        <v>1200</v>
      </c>
    </row>
    <row r="837" spans="1:14" x14ac:dyDescent="0.25">
      <c r="A837">
        <v>753.35413200000005</v>
      </c>
      <c r="B837" s="1">
        <f>DATE(2012,5,23) + TIME(8,29,57)</f>
        <v>41052.354131944441</v>
      </c>
      <c r="C837">
        <v>1383.2131348</v>
      </c>
      <c r="D837">
        <v>1367.8316649999999</v>
      </c>
      <c r="E837">
        <v>1322.7581786999999</v>
      </c>
      <c r="F837">
        <v>1319.6048584</v>
      </c>
      <c r="G837">
        <v>80</v>
      </c>
      <c r="H837">
        <v>79.745254517000006</v>
      </c>
      <c r="I837">
        <v>50</v>
      </c>
      <c r="J837">
        <v>46.582904816000003</v>
      </c>
      <c r="K837">
        <v>1200</v>
      </c>
      <c r="L837">
        <v>0</v>
      </c>
      <c r="M837">
        <v>0</v>
      </c>
      <c r="N837">
        <v>1200</v>
      </c>
    </row>
    <row r="838" spans="1:14" x14ac:dyDescent="0.25">
      <c r="A838">
        <v>754.05157499999996</v>
      </c>
      <c r="B838" s="1">
        <f>DATE(2012,5,24) + TIME(1,14,16)</f>
        <v>41053.051574074074</v>
      </c>
      <c r="C838">
        <v>1383.1306152</v>
      </c>
      <c r="D838">
        <v>1367.765625</v>
      </c>
      <c r="E838">
        <v>1322.7432861</v>
      </c>
      <c r="F838">
        <v>1319.5858154</v>
      </c>
      <c r="G838">
        <v>80</v>
      </c>
      <c r="H838">
        <v>79.746124268000003</v>
      </c>
      <c r="I838">
        <v>50</v>
      </c>
      <c r="J838">
        <v>46.503341675000001</v>
      </c>
      <c r="K838">
        <v>1200</v>
      </c>
      <c r="L838">
        <v>0</v>
      </c>
      <c r="M838">
        <v>0</v>
      </c>
      <c r="N838">
        <v>1200</v>
      </c>
    </row>
    <row r="839" spans="1:14" x14ac:dyDescent="0.25">
      <c r="A839">
        <v>754.75329199999999</v>
      </c>
      <c r="B839" s="1">
        <f>DATE(2012,5,24) + TIME(18,4,44)</f>
        <v>41053.753287037034</v>
      </c>
      <c r="C839">
        <v>1383.0500488</v>
      </c>
      <c r="D839">
        <v>1367.7010498</v>
      </c>
      <c r="E839">
        <v>1322.7281493999999</v>
      </c>
      <c r="F839">
        <v>1319.5664062000001</v>
      </c>
      <c r="G839">
        <v>80</v>
      </c>
      <c r="H839">
        <v>79.746833800999994</v>
      </c>
      <c r="I839">
        <v>50</v>
      </c>
      <c r="J839">
        <v>46.423545836999999</v>
      </c>
      <c r="K839">
        <v>1200</v>
      </c>
      <c r="L839">
        <v>0</v>
      </c>
      <c r="M839">
        <v>0</v>
      </c>
      <c r="N839">
        <v>1200</v>
      </c>
    </row>
    <row r="840" spans="1:14" x14ac:dyDescent="0.25">
      <c r="A840">
        <v>755.46112200000005</v>
      </c>
      <c r="B840" s="1">
        <f>DATE(2012,5,25) + TIME(11,4,0)</f>
        <v>41054.461111111108</v>
      </c>
      <c r="C840">
        <v>1382.9710693</v>
      </c>
      <c r="D840">
        <v>1367.6378173999999</v>
      </c>
      <c r="E840">
        <v>1322.7127685999999</v>
      </c>
      <c r="F840">
        <v>1319.5467529</v>
      </c>
      <c r="G840">
        <v>80</v>
      </c>
      <c r="H840">
        <v>79.747421265</v>
      </c>
      <c r="I840">
        <v>50</v>
      </c>
      <c r="J840">
        <v>46.343379974000001</v>
      </c>
      <c r="K840">
        <v>1200</v>
      </c>
      <c r="L840">
        <v>0</v>
      </c>
      <c r="M840">
        <v>0</v>
      </c>
      <c r="N840">
        <v>1200</v>
      </c>
    </row>
    <row r="841" spans="1:14" x14ac:dyDescent="0.25">
      <c r="A841">
        <v>756.17697399999997</v>
      </c>
      <c r="B841" s="1">
        <f>DATE(2012,5,26) + TIME(4,14,50)</f>
        <v>41055.17696759259</v>
      </c>
      <c r="C841">
        <v>1382.8933105000001</v>
      </c>
      <c r="D841">
        <v>1367.5755615</v>
      </c>
      <c r="E841">
        <v>1322.6971435999999</v>
      </c>
      <c r="F841">
        <v>1319.5268555</v>
      </c>
      <c r="G841">
        <v>80</v>
      </c>
      <c r="H841">
        <v>79.747917174999998</v>
      </c>
      <c r="I841">
        <v>50</v>
      </c>
      <c r="J841">
        <v>46.262695311999998</v>
      </c>
      <c r="K841">
        <v>1200</v>
      </c>
      <c r="L841">
        <v>0</v>
      </c>
      <c r="M841">
        <v>0</v>
      </c>
      <c r="N841">
        <v>1200</v>
      </c>
    </row>
    <row r="842" spans="1:14" x14ac:dyDescent="0.25">
      <c r="A842">
        <v>756.90278499999999</v>
      </c>
      <c r="B842" s="1">
        <f>DATE(2012,5,26) + TIME(21,40,0)</f>
        <v>41055.902777777781</v>
      </c>
      <c r="C842">
        <v>1382.8165283000001</v>
      </c>
      <c r="D842">
        <v>1367.5141602000001</v>
      </c>
      <c r="E842">
        <v>1322.6812743999999</v>
      </c>
      <c r="F842">
        <v>1319.5064697</v>
      </c>
      <c r="G842">
        <v>80</v>
      </c>
      <c r="H842">
        <v>79.748329162999994</v>
      </c>
      <c r="I842">
        <v>50</v>
      </c>
      <c r="J842">
        <v>46.181320190000001</v>
      </c>
      <c r="K842">
        <v>1200</v>
      </c>
      <c r="L842">
        <v>0</v>
      </c>
      <c r="M842">
        <v>0</v>
      </c>
      <c r="N842">
        <v>1200</v>
      </c>
    </row>
    <row r="843" spans="1:14" x14ac:dyDescent="0.25">
      <c r="A843">
        <v>757.640533</v>
      </c>
      <c r="B843" s="1">
        <f>DATE(2012,5,27) + TIME(15,22,22)</f>
        <v>41056.640532407408</v>
      </c>
      <c r="C843">
        <v>1382.7406006000001</v>
      </c>
      <c r="D843">
        <v>1367.4534911999999</v>
      </c>
      <c r="E843">
        <v>1322.6650391000001</v>
      </c>
      <c r="F843">
        <v>1319.4855957</v>
      </c>
      <c r="G843">
        <v>80</v>
      </c>
      <c r="H843">
        <v>79.748687743999994</v>
      </c>
      <c r="I843">
        <v>50</v>
      </c>
      <c r="J843">
        <v>46.099086761000002</v>
      </c>
      <c r="K843">
        <v>1200</v>
      </c>
      <c r="L843">
        <v>0</v>
      </c>
      <c r="M843">
        <v>0</v>
      </c>
      <c r="N843">
        <v>1200</v>
      </c>
    </row>
    <row r="844" spans="1:14" x14ac:dyDescent="0.25">
      <c r="A844">
        <v>758.39230899999995</v>
      </c>
      <c r="B844" s="1">
        <f>DATE(2012,5,28) + TIME(9,24,55)</f>
        <v>41057.39230324074</v>
      </c>
      <c r="C844">
        <v>1382.6651611</v>
      </c>
      <c r="D844">
        <v>1367.3931885</v>
      </c>
      <c r="E844">
        <v>1322.6484375</v>
      </c>
      <c r="F844">
        <v>1319.4642334</v>
      </c>
      <c r="G844">
        <v>80</v>
      </c>
      <c r="H844">
        <v>79.749000549000002</v>
      </c>
      <c r="I844">
        <v>50</v>
      </c>
      <c r="J844">
        <v>46.015800476000003</v>
      </c>
      <c r="K844">
        <v>1200</v>
      </c>
      <c r="L844">
        <v>0</v>
      </c>
      <c r="M844">
        <v>0</v>
      </c>
      <c r="N844">
        <v>1200</v>
      </c>
    </row>
    <row r="845" spans="1:14" x14ac:dyDescent="0.25">
      <c r="A845">
        <v>759.16033900000002</v>
      </c>
      <c r="B845" s="1">
        <f>DATE(2012,5,29) + TIME(3,50,53)</f>
        <v>41058.16033564815</v>
      </c>
      <c r="C845">
        <v>1382.5900879000001</v>
      </c>
      <c r="D845">
        <v>1367.3331298999999</v>
      </c>
      <c r="E845">
        <v>1322.6313477000001</v>
      </c>
      <c r="F845">
        <v>1319.4422606999999</v>
      </c>
      <c r="G845">
        <v>80</v>
      </c>
      <c r="H845">
        <v>79.749282836999996</v>
      </c>
      <c r="I845">
        <v>50</v>
      </c>
      <c r="J845">
        <v>45.931255341000004</v>
      </c>
      <c r="K845">
        <v>1200</v>
      </c>
      <c r="L845">
        <v>0</v>
      </c>
      <c r="M845">
        <v>0</v>
      </c>
      <c r="N845">
        <v>1200</v>
      </c>
    </row>
    <row r="846" spans="1:14" x14ac:dyDescent="0.25">
      <c r="A846">
        <v>759.94701599999996</v>
      </c>
      <c r="B846" s="1">
        <f>DATE(2012,5,29) + TIME(22,43,42)</f>
        <v>41058.947013888886</v>
      </c>
      <c r="C846">
        <v>1382.5151367000001</v>
      </c>
      <c r="D846">
        <v>1367.2733154</v>
      </c>
      <c r="E846">
        <v>1322.6137695</v>
      </c>
      <c r="F846">
        <v>1319.4196777</v>
      </c>
      <c r="G846">
        <v>80</v>
      </c>
      <c r="H846">
        <v>79.749534607000001</v>
      </c>
      <c r="I846">
        <v>50</v>
      </c>
      <c r="J846">
        <v>45.845230102999999</v>
      </c>
      <c r="K846">
        <v>1200</v>
      </c>
      <c r="L846">
        <v>0</v>
      </c>
      <c r="M846">
        <v>0</v>
      </c>
      <c r="N846">
        <v>1200</v>
      </c>
    </row>
    <row r="847" spans="1:14" x14ac:dyDescent="0.25">
      <c r="A847">
        <v>760.754955</v>
      </c>
      <c r="B847" s="1">
        <f>DATE(2012,5,30) + TIME(18,7,8)</f>
        <v>41059.754953703705</v>
      </c>
      <c r="C847">
        <v>1382.4400635</v>
      </c>
      <c r="D847">
        <v>1367.2133789</v>
      </c>
      <c r="E847">
        <v>1322.5957031</v>
      </c>
      <c r="F847">
        <v>1319.3963623</v>
      </c>
      <c r="G847">
        <v>80</v>
      </c>
      <c r="H847">
        <v>79.749763489000003</v>
      </c>
      <c r="I847">
        <v>50</v>
      </c>
      <c r="J847">
        <v>45.757484435999999</v>
      </c>
      <c r="K847">
        <v>1200</v>
      </c>
      <c r="L847">
        <v>0</v>
      </c>
      <c r="M847">
        <v>0</v>
      </c>
      <c r="N847">
        <v>1200</v>
      </c>
    </row>
    <row r="848" spans="1:14" x14ac:dyDescent="0.25">
      <c r="A848">
        <v>761.58733900000004</v>
      </c>
      <c r="B848" s="1">
        <f>DATE(2012,5,31) + TIME(14,5,46)</f>
        <v>41060.587337962963</v>
      </c>
      <c r="C848">
        <v>1382.3647461</v>
      </c>
      <c r="D848">
        <v>1367.1531981999999</v>
      </c>
      <c r="E848">
        <v>1322.5770264</v>
      </c>
      <c r="F848">
        <v>1319.3721923999999</v>
      </c>
      <c r="G848">
        <v>80</v>
      </c>
      <c r="H848">
        <v>79.749977111999996</v>
      </c>
      <c r="I848">
        <v>50</v>
      </c>
      <c r="J848">
        <v>45.667724608999997</v>
      </c>
      <c r="K848">
        <v>1200</v>
      </c>
      <c r="L848">
        <v>0</v>
      </c>
      <c r="M848">
        <v>0</v>
      </c>
      <c r="N848">
        <v>1200</v>
      </c>
    </row>
    <row r="849" spans="1:14" x14ac:dyDescent="0.25">
      <c r="A849">
        <v>762</v>
      </c>
      <c r="B849" s="1">
        <f>DATE(2012,6,1) + TIME(0,0,0)</f>
        <v>41061</v>
      </c>
      <c r="C849">
        <v>1382.2884521000001</v>
      </c>
      <c r="D849">
        <v>1367.0922852000001</v>
      </c>
      <c r="E849">
        <v>1322.5573730000001</v>
      </c>
      <c r="F849">
        <v>1319.3488769999999</v>
      </c>
      <c r="G849">
        <v>80</v>
      </c>
      <c r="H849">
        <v>79.750053406000006</v>
      </c>
      <c r="I849">
        <v>50</v>
      </c>
      <c r="J849">
        <v>45.617588042999998</v>
      </c>
      <c r="K849">
        <v>1200</v>
      </c>
      <c r="L849">
        <v>0</v>
      </c>
      <c r="M849">
        <v>0</v>
      </c>
      <c r="N849">
        <v>1200</v>
      </c>
    </row>
    <row r="850" spans="1:14" x14ac:dyDescent="0.25">
      <c r="A850">
        <v>762.86011299999996</v>
      </c>
      <c r="B850" s="1">
        <f>DATE(2012,6,1) + TIME(20,38,33)</f>
        <v>41061.86010416667</v>
      </c>
      <c r="C850">
        <v>1382.2517089999999</v>
      </c>
      <c r="D850">
        <v>1367.0629882999999</v>
      </c>
      <c r="E850">
        <v>1322.5474853999999</v>
      </c>
      <c r="F850">
        <v>1319.3338623</v>
      </c>
      <c r="G850">
        <v>80</v>
      </c>
      <c r="H850">
        <v>79.750259399000001</v>
      </c>
      <c r="I850">
        <v>50</v>
      </c>
      <c r="J850">
        <v>45.526824951000002</v>
      </c>
      <c r="K850">
        <v>1200</v>
      </c>
      <c r="L850">
        <v>0</v>
      </c>
      <c r="M850">
        <v>0</v>
      </c>
      <c r="N850">
        <v>1200</v>
      </c>
    </row>
    <row r="851" spans="1:14" x14ac:dyDescent="0.25">
      <c r="A851">
        <v>763.76795900000002</v>
      </c>
      <c r="B851" s="1">
        <f>DATE(2012,6,2) + TIME(18,25,51)</f>
        <v>41062.767951388887</v>
      </c>
      <c r="C851">
        <v>1382.1761475000001</v>
      </c>
      <c r="D851">
        <v>1367.0028076000001</v>
      </c>
      <c r="E851">
        <v>1322.5274658000001</v>
      </c>
      <c r="F851">
        <v>1319.3078613</v>
      </c>
      <c r="G851">
        <v>80</v>
      </c>
      <c r="H851">
        <v>79.750457764000004</v>
      </c>
      <c r="I851">
        <v>50</v>
      </c>
      <c r="J851">
        <v>45.431869507000002</v>
      </c>
      <c r="K851">
        <v>1200</v>
      </c>
      <c r="L851">
        <v>0</v>
      </c>
      <c r="M851">
        <v>0</v>
      </c>
      <c r="N851">
        <v>1200</v>
      </c>
    </row>
    <row r="852" spans="1:14" x14ac:dyDescent="0.25">
      <c r="A852">
        <v>764.68739400000004</v>
      </c>
      <c r="B852" s="1">
        <f>DATE(2012,6,3) + TIME(16,29,50)</f>
        <v>41063.687384259261</v>
      </c>
      <c r="C852">
        <v>1382.0980225000001</v>
      </c>
      <c r="D852">
        <v>1366.9404297000001</v>
      </c>
      <c r="E852">
        <v>1322.5061035000001</v>
      </c>
      <c r="F852">
        <v>1319.2802733999999</v>
      </c>
      <c r="G852">
        <v>80</v>
      </c>
      <c r="H852">
        <v>79.750656128000003</v>
      </c>
      <c r="I852">
        <v>50</v>
      </c>
      <c r="J852">
        <v>45.335506439</v>
      </c>
      <c r="K852">
        <v>1200</v>
      </c>
      <c r="L852">
        <v>0</v>
      </c>
      <c r="M852">
        <v>0</v>
      </c>
      <c r="N852">
        <v>1200</v>
      </c>
    </row>
    <row r="853" spans="1:14" x14ac:dyDescent="0.25">
      <c r="A853">
        <v>765.60753</v>
      </c>
      <c r="B853" s="1">
        <f>DATE(2012,6,4) + TIME(14,34,50)</f>
        <v>41064.607523148145</v>
      </c>
      <c r="C853">
        <v>1382.0205077999999</v>
      </c>
      <c r="D853">
        <v>1366.8786620999999</v>
      </c>
      <c r="E853">
        <v>1322.4841309000001</v>
      </c>
      <c r="F853">
        <v>1319.2520752</v>
      </c>
      <c r="G853">
        <v>80</v>
      </c>
      <c r="H853">
        <v>79.750831603999998</v>
      </c>
      <c r="I853">
        <v>50</v>
      </c>
      <c r="J853">
        <v>45.238735198999997</v>
      </c>
      <c r="K853">
        <v>1200</v>
      </c>
      <c r="L853">
        <v>0</v>
      </c>
      <c r="M853">
        <v>0</v>
      </c>
      <c r="N853">
        <v>1200</v>
      </c>
    </row>
    <row r="854" spans="1:14" x14ac:dyDescent="0.25">
      <c r="A854">
        <v>766.53128100000004</v>
      </c>
      <c r="B854" s="1">
        <f>DATE(2012,6,5) + TIME(12,45,2)</f>
        <v>41065.531273148146</v>
      </c>
      <c r="C854">
        <v>1381.9448242000001</v>
      </c>
      <c r="D854">
        <v>1366.8182373</v>
      </c>
      <c r="E854">
        <v>1322.4620361</v>
      </c>
      <c r="F854">
        <v>1319.2233887</v>
      </c>
      <c r="G854">
        <v>80</v>
      </c>
      <c r="H854">
        <v>79.751014709000003</v>
      </c>
      <c r="I854">
        <v>50</v>
      </c>
      <c r="J854">
        <v>45.141490935999997</v>
      </c>
      <c r="K854">
        <v>1200</v>
      </c>
      <c r="L854">
        <v>0</v>
      </c>
      <c r="M854">
        <v>0</v>
      </c>
      <c r="N854">
        <v>1200</v>
      </c>
    </row>
    <row r="855" spans="1:14" x14ac:dyDescent="0.25">
      <c r="A855">
        <v>767.46093800000006</v>
      </c>
      <c r="B855" s="1">
        <f>DATE(2012,6,6) + TIME(11,3,45)</f>
        <v>41066.4609375</v>
      </c>
      <c r="C855">
        <v>1381.8703613</v>
      </c>
      <c r="D855">
        <v>1366.7589111</v>
      </c>
      <c r="E855">
        <v>1322.4395752</v>
      </c>
      <c r="F855">
        <v>1319.1944579999999</v>
      </c>
      <c r="G855">
        <v>80</v>
      </c>
      <c r="H855">
        <v>79.751182556000003</v>
      </c>
      <c r="I855">
        <v>50</v>
      </c>
      <c r="J855">
        <v>45.043693542</v>
      </c>
      <c r="K855">
        <v>1200</v>
      </c>
      <c r="L855">
        <v>0</v>
      </c>
      <c r="M855">
        <v>0</v>
      </c>
      <c r="N855">
        <v>1200</v>
      </c>
    </row>
    <row r="856" spans="1:14" x14ac:dyDescent="0.25">
      <c r="A856">
        <v>768.39892299999997</v>
      </c>
      <c r="B856" s="1">
        <f>DATE(2012,6,7) + TIME(9,34,26)</f>
        <v>41067.398912037039</v>
      </c>
      <c r="C856">
        <v>1381.7971190999999</v>
      </c>
      <c r="D856">
        <v>1366.7005615</v>
      </c>
      <c r="E856">
        <v>1322.4168701000001</v>
      </c>
      <c r="F856">
        <v>1319.1650391000001</v>
      </c>
      <c r="G856">
        <v>80</v>
      </c>
      <c r="H856">
        <v>79.751358031999999</v>
      </c>
      <c r="I856">
        <v>50</v>
      </c>
      <c r="J856">
        <v>44.945217133</v>
      </c>
      <c r="K856">
        <v>1200</v>
      </c>
      <c r="L856">
        <v>0</v>
      </c>
      <c r="M856">
        <v>0</v>
      </c>
      <c r="N856">
        <v>1200</v>
      </c>
    </row>
    <row r="857" spans="1:14" x14ac:dyDescent="0.25">
      <c r="A857">
        <v>769.34772499999997</v>
      </c>
      <c r="B857" s="1">
        <f>DATE(2012,6,8) + TIME(8,20,43)</f>
        <v>41068.347719907404</v>
      </c>
      <c r="C857">
        <v>1381.7248535000001</v>
      </c>
      <c r="D857">
        <v>1366.6428223</v>
      </c>
      <c r="E857">
        <v>1322.3937988</v>
      </c>
      <c r="F857">
        <v>1319.1350098</v>
      </c>
      <c r="G857">
        <v>80</v>
      </c>
      <c r="H857">
        <v>79.751533507999994</v>
      </c>
      <c r="I857">
        <v>50</v>
      </c>
      <c r="J857">
        <v>44.845893859999997</v>
      </c>
      <c r="K857">
        <v>1200</v>
      </c>
      <c r="L857">
        <v>0</v>
      </c>
      <c r="M857">
        <v>0</v>
      </c>
      <c r="N857">
        <v>1200</v>
      </c>
    </row>
    <row r="858" spans="1:14" x14ac:dyDescent="0.25">
      <c r="A858">
        <v>770.309889</v>
      </c>
      <c r="B858" s="1">
        <f>DATE(2012,6,9) + TIME(7,26,14)</f>
        <v>41069.309884259259</v>
      </c>
      <c r="C858">
        <v>1381.6531981999999</v>
      </c>
      <c r="D858">
        <v>1366.5856934000001</v>
      </c>
      <c r="E858">
        <v>1322.3702393000001</v>
      </c>
      <c r="F858">
        <v>1319.1044922000001</v>
      </c>
      <c r="G858">
        <v>80</v>
      </c>
      <c r="H858">
        <v>79.751708984000004</v>
      </c>
      <c r="I858">
        <v>50</v>
      </c>
      <c r="J858">
        <v>44.745532990000001</v>
      </c>
      <c r="K858">
        <v>1200</v>
      </c>
      <c r="L858">
        <v>0</v>
      </c>
      <c r="M858">
        <v>0</v>
      </c>
      <c r="N858">
        <v>1200</v>
      </c>
    </row>
    <row r="859" spans="1:14" x14ac:dyDescent="0.25">
      <c r="A859">
        <v>771.28806699999996</v>
      </c>
      <c r="B859" s="1">
        <f>DATE(2012,6,10) + TIME(6,54,49)</f>
        <v>41070.28806712963</v>
      </c>
      <c r="C859">
        <v>1381.5820312000001</v>
      </c>
      <c r="D859">
        <v>1366.5289307</v>
      </c>
      <c r="E859">
        <v>1322.3463135</v>
      </c>
      <c r="F859">
        <v>1319.0732422000001</v>
      </c>
      <c r="G859">
        <v>80</v>
      </c>
      <c r="H859">
        <v>79.751892089999998</v>
      </c>
      <c r="I859">
        <v>50</v>
      </c>
      <c r="J859">
        <v>44.643913269000002</v>
      </c>
      <c r="K859">
        <v>1200</v>
      </c>
      <c r="L859">
        <v>0</v>
      </c>
      <c r="M859">
        <v>0</v>
      </c>
      <c r="N859">
        <v>1200</v>
      </c>
    </row>
    <row r="860" spans="1:14" x14ac:dyDescent="0.25">
      <c r="A860">
        <v>772.28506100000004</v>
      </c>
      <c r="B860" s="1">
        <f>DATE(2012,6,11) + TIME(6,50,29)</f>
        <v>41071.285057870373</v>
      </c>
      <c r="C860">
        <v>1381.5111084</v>
      </c>
      <c r="D860">
        <v>1366.4724120999999</v>
      </c>
      <c r="E860">
        <v>1322.3217772999999</v>
      </c>
      <c r="F860">
        <v>1319.0412598</v>
      </c>
      <c r="G860">
        <v>80</v>
      </c>
      <c r="H860">
        <v>79.752075195000003</v>
      </c>
      <c r="I860">
        <v>50</v>
      </c>
      <c r="J860">
        <v>44.540802002</v>
      </c>
      <c r="K860">
        <v>1200</v>
      </c>
      <c r="L860">
        <v>0</v>
      </c>
      <c r="M860">
        <v>0</v>
      </c>
      <c r="N860">
        <v>1200</v>
      </c>
    </row>
    <row r="861" spans="1:14" x14ac:dyDescent="0.25">
      <c r="A861">
        <v>773.30386099999998</v>
      </c>
      <c r="B861" s="1">
        <f>DATE(2012,6,12) + TIME(7,17,33)</f>
        <v>41072.303854166668</v>
      </c>
      <c r="C861">
        <v>1381.4403076000001</v>
      </c>
      <c r="D861">
        <v>1366.4160156</v>
      </c>
      <c r="E861">
        <v>1322.2966309000001</v>
      </c>
      <c r="F861">
        <v>1319.0085449000001</v>
      </c>
      <c r="G861">
        <v>80</v>
      </c>
      <c r="H861">
        <v>79.752265929999993</v>
      </c>
      <c r="I861">
        <v>50</v>
      </c>
      <c r="J861">
        <v>44.435932158999996</v>
      </c>
      <c r="K861">
        <v>1200</v>
      </c>
      <c r="L861">
        <v>0</v>
      </c>
      <c r="M861">
        <v>0</v>
      </c>
      <c r="N861">
        <v>1200</v>
      </c>
    </row>
    <row r="862" spans="1:14" x14ac:dyDescent="0.25">
      <c r="A862">
        <v>774.34770500000002</v>
      </c>
      <c r="B862" s="1">
        <f>DATE(2012,6,13) + TIME(8,20,41)</f>
        <v>41073.347696759258</v>
      </c>
      <c r="C862">
        <v>1381.3695068</v>
      </c>
      <c r="D862">
        <v>1366.359375</v>
      </c>
      <c r="E862">
        <v>1322.270874</v>
      </c>
      <c r="F862">
        <v>1318.9748535000001</v>
      </c>
      <c r="G862">
        <v>80</v>
      </c>
      <c r="H862">
        <v>79.752471924000005</v>
      </c>
      <c r="I862">
        <v>50</v>
      </c>
      <c r="J862">
        <v>44.329013824</v>
      </c>
      <c r="K862">
        <v>1200</v>
      </c>
      <c r="L862">
        <v>0</v>
      </c>
      <c r="M862">
        <v>0</v>
      </c>
      <c r="N862">
        <v>1200</v>
      </c>
    </row>
    <row r="863" spans="1:14" x14ac:dyDescent="0.25">
      <c r="A863">
        <v>775.42018599999994</v>
      </c>
      <c r="B863" s="1">
        <f>DATE(2012,6,14) + TIME(10,5,4)</f>
        <v>41074.420185185183</v>
      </c>
      <c r="C863">
        <v>1381.2983397999999</v>
      </c>
      <c r="D863">
        <v>1366.3026123</v>
      </c>
      <c r="E863">
        <v>1322.2442627</v>
      </c>
      <c r="F863">
        <v>1318.9400635</v>
      </c>
      <c r="G863">
        <v>80</v>
      </c>
      <c r="H863">
        <v>79.752677917</v>
      </c>
      <c r="I863">
        <v>50</v>
      </c>
      <c r="J863">
        <v>44.219718933000003</v>
      </c>
      <c r="K863">
        <v>1200</v>
      </c>
      <c r="L863">
        <v>0</v>
      </c>
      <c r="M863">
        <v>0</v>
      </c>
      <c r="N863">
        <v>1200</v>
      </c>
    </row>
    <row r="864" spans="1:14" x14ac:dyDescent="0.25">
      <c r="A864">
        <v>776.525801</v>
      </c>
      <c r="B864" s="1">
        <f>DATE(2012,6,15) + TIME(12,37,9)</f>
        <v>41075.52579861111</v>
      </c>
      <c r="C864">
        <v>1381.2266846</v>
      </c>
      <c r="D864">
        <v>1366.2454834</v>
      </c>
      <c r="E864">
        <v>1322.2167969</v>
      </c>
      <c r="F864">
        <v>1318.9040527</v>
      </c>
      <c r="G864">
        <v>80</v>
      </c>
      <c r="H864">
        <v>79.752891540999997</v>
      </c>
      <c r="I864">
        <v>50</v>
      </c>
      <c r="J864">
        <v>44.107654572000001</v>
      </c>
      <c r="K864">
        <v>1200</v>
      </c>
      <c r="L864">
        <v>0</v>
      </c>
      <c r="M864">
        <v>0</v>
      </c>
      <c r="N864">
        <v>1200</v>
      </c>
    </row>
    <row r="865" spans="1:14" x14ac:dyDescent="0.25">
      <c r="A865">
        <v>777.66886899999997</v>
      </c>
      <c r="B865" s="1">
        <f>DATE(2012,6,16) + TIME(16,3,10)</f>
        <v>41076.668865740743</v>
      </c>
      <c r="C865">
        <v>1381.1542969</v>
      </c>
      <c r="D865">
        <v>1366.1876221</v>
      </c>
      <c r="E865">
        <v>1322.1883545000001</v>
      </c>
      <c r="F865">
        <v>1318.8666992000001</v>
      </c>
      <c r="G865">
        <v>80</v>
      </c>
      <c r="H865">
        <v>79.753112793</v>
      </c>
      <c r="I865">
        <v>50</v>
      </c>
      <c r="J865">
        <v>43.992427825999997</v>
      </c>
      <c r="K865">
        <v>1200</v>
      </c>
      <c r="L865">
        <v>0</v>
      </c>
      <c r="M865">
        <v>0</v>
      </c>
      <c r="N865">
        <v>1200</v>
      </c>
    </row>
    <row r="866" spans="1:14" x14ac:dyDescent="0.25">
      <c r="A866">
        <v>778.84883600000001</v>
      </c>
      <c r="B866" s="1">
        <f>DATE(2012,6,17) + TIME(20,22,19)</f>
        <v>41077.84883101852</v>
      </c>
      <c r="C866">
        <v>1381.0810547000001</v>
      </c>
      <c r="D866">
        <v>1366.1291504000001</v>
      </c>
      <c r="E866">
        <v>1322.1588135</v>
      </c>
      <c r="F866">
        <v>1318.8280029</v>
      </c>
      <c r="G866">
        <v>80</v>
      </c>
      <c r="H866">
        <v>79.753349303999997</v>
      </c>
      <c r="I866">
        <v>50</v>
      </c>
      <c r="J866">
        <v>43.873977660999998</v>
      </c>
      <c r="K866">
        <v>1200</v>
      </c>
      <c r="L866">
        <v>0</v>
      </c>
      <c r="M866">
        <v>0</v>
      </c>
      <c r="N866">
        <v>1200</v>
      </c>
    </row>
    <row r="867" spans="1:14" x14ac:dyDescent="0.25">
      <c r="A867">
        <v>780.03691800000001</v>
      </c>
      <c r="B867" s="1">
        <f>DATE(2012,6,19) + TIME(0,53,9)</f>
        <v>41079.036909722221</v>
      </c>
      <c r="C867">
        <v>1381.0068358999999</v>
      </c>
      <c r="D867">
        <v>1366.0698242000001</v>
      </c>
      <c r="E867">
        <v>1322.1281738</v>
      </c>
      <c r="F867">
        <v>1318.7878418</v>
      </c>
      <c r="G867">
        <v>80</v>
      </c>
      <c r="H867">
        <v>79.753593445000007</v>
      </c>
      <c r="I867">
        <v>50</v>
      </c>
      <c r="J867">
        <v>43.754287720000001</v>
      </c>
      <c r="K867">
        <v>1200</v>
      </c>
      <c r="L867">
        <v>0</v>
      </c>
      <c r="M867">
        <v>0</v>
      </c>
      <c r="N867">
        <v>1200</v>
      </c>
    </row>
    <row r="868" spans="1:14" x14ac:dyDescent="0.25">
      <c r="A868">
        <v>781.23661400000003</v>
      </c>
      <c r="B868" s="1">
        <f>DATE(2012,6,20) + TIME(5,40,43)</f>
        <v>41080.236608796295</v>
      </c>
      <c r="C868">
        <v>1380.9337158000001</v>
      </c>
      <c r="D868">
        <v>1366.0114745999999</v>
      </c>
      <c r="E868">
        <v>1322.0970459</v>
      </c>
      <c r="F868">
        <v>1318.7469481999999</v>
      </c>
      <c r="G868">
        <v>80</v>
      </c>
      <c r="H868">
        <v>79.753829956000004</v>
      </c>
      <c r="I868">
        <v>50</v>
      </c>
      <c r="J868">
        <v>43.633289337000001</v>
      </c>
      <c r="K868">
        <v>1200</v>
      </c>
      <c r="L868">
        <v>0</v>
      </c>
      <c r="M868">
        <v>0</v>
      </c>
      <c r="N868">
        <v>1200</v>
      </c>
    </row>
    <row r="869" spans="1:14" x14ac:dyDescent="0.25">
      <c r="A869">
        <v>782.44771100000003</v>
      </c>
      <c r="B869" s="1">
        <f>DATE(2012,6,21) + TIME(10,44,42)</f>
        <v>41081.447708333333</v>
      </c>
      <c r="C869">
        <v>1380.8613281</v>
      </c>
      <c r="D869">
        <v>1365.9534911999999</v>
      </c>
      <c r="E869">
        <v>1322.0654297000001</v>
      </c>
      <c r="F869">
        <v>1318.7054443</v>
      </c>
      <c r="G869">
        <v>80</v>
      </c>
      <c r="H869">
        <v>79.754074097</v>
      </c>
      <c r="I869">
        <v>50</v>
      </c>
      <c r="J869">
        <v>43.511100769000002</v>
      </c>
      <c r="K869">
        <v>1200</v>
      </c>
      <c r="L869">
        <v>0</v>
      </c>
      <c r="M869">
        <v>0</v>
      </c>
      <c r="N869">
        <v>1200</v>
      </c>
    </row>
    <row r="870" spans="1:14" x14ac:dyDescent="0.25">
      <c r="A870">
        <v>783.66769899999997</v>
      </c>
      <c r="B870" s="1">
        <f>DATE(2012,6,22) + TIME(16,1,29)</f>
        <v>41082.667696759258</v>
      </c>
      <c r="C870">
        <v>1380.7897949000001</v>
      </c>
      <c r="D870">
        <v>1365.8962402</v>
      </c>
      <c r="E870">
        <v>1322.0333252</v>
      </c>
      <c r="F870">
        <v>1318.6632079999999</v>
      </c>
      <c r="G870">
        <v>80</v>
      </c>
      <c r="H870">
        <v>79.754325867000006</v>
      </c>
      <c r="I870">
        <v>50</v>
      </c>
      <c r="J870">
        <v>43.387962340999998</v>
      </c>
      <c r="K870">
        <v>1200</v>
      </c>
      <c r="L870">
        <v>0</v>
      </c>
      <c r="M870">
        <v>0</v>
      </c>
      <c r="N870">
        <v>1200</v>
      </c>
    </row>
    <row r="871" spans="1:14" x14ac:dyDescent="0.25">
      <c r="A871">
        <v>784.89965400000006</v>
      </c>
      <c r="B871" s="1">
        <f>DATE(2012,6,23) + TIME(21,35,30)</f>
        <v>41083.899652777778</v>
      </c>
      <c r="C871">
        <v>1380.7189940999999</v>
      </c>
      <c r="D871">
        <v>1365.8395995999999</v>
      </c>
      <c r="E871">
        <v>1322.0007324000001</v>
      </c>
      <c r="F871">
        <v>1318.6202393000001</v>
      </c>
      <c r="G871">
        <v>80</v>
      </c>
      <c r="H871">
        <v>79.754577636999997</v>
      </c>
      <c r="I871">
        <v>50</v>
      </c>
      <c r="J871">
        <v>43.263732910000002</v>
      </c>
      <c r="K871">
        <v>1200</v>
      </c>
      <c r="L871">
        <v>0</v>
      </c>
      <c r="M871">
        <v>0</v>
      </c>
      <c r="N871">
        <v>1200</v>
      </c>
    </row>
    <row r="872" spans="1:14" x14ac:dyDescent="0.25">
      <c r="A872">
        <v>786.14689499999997</v>
      </c>
      <c r="B872" s="1">
        <f>DATE(2012,6,25) + TIME(3,31,31)</f>
        <v>41085.146886574075</v>
      </c>
      <c r="C872">
        <v>1380.6489257999999</v>
      </c>
      <c r="D872">
        <v>1365.7835693</v>
      </c>
      <c r="E872">
        <v>1321.9677733999999</v>
      </c>
      <c r="F872">
        <v>1318.5766602000001</v>
      </c>
      <c r="G872">
        <v>80</v>
      </c>
      <c r="H872">
        <v>79.754837035999998</v>
      </c>
      <c r="I872">
        <v>50</v>
      </c>
      <c r="J872">
        <v>43.138195037999999</v>
      </c>
      <c r="K872">
        <v>1200</v>
      </c>
      <c r="L872">
        <v>0</v>
      </c>
      <c r="M872">
        <v>0</v>
      </c>
      <c r="N872">
        <v>1200</v>
      </c>
    </row>
    <row r="873" spans="1:14" x14ac:dyDescent="0.25">
      <c r="A873">
        <v>787.41286500000001</v>
      </c>
      <c r="B873" s="1">
        <f>DATE(2012,6,26) + TIME(9,54,31)</f>
        <v>41086.412858796299</v>
      </c>
      <c r="C873">
        <v>1380.5794678</v>
      </c>
      <c r="D873">
        <v>1365.7277832</v>
      </c>
      <c r="E873">
        <v>1321.9342041</v>
      </c>
      <c r="F873">
        <v>1318.5323486</v>
      </c>
      <c r="G873">
        <v>80</v>
      </c>
      <c r="H873">
        <v>79.755104064999998</v>
      </c>
      <c r="I873">
        <v>50</v>
      </c>
      <c r="J873">
        <v>43.011085510000001</v>
      </c>
      <c r="K873">
        <v>1200</v>
      </c>
      <c r="L873">
        <v>0</v>
      </c>
      <c r="M873">
        <v>0</v>
      </c>
      <c r="N873">
        <v>1200</v>
      </c>
    </row>
    <row r="874" spans="1:14" x14ac:dyDescent="0.25">
      <c r="A874">
        <v>788.701143</v>
      </c>
      <c r="B874" s="1">
        <f>DATE(2012,6,27) + TIME(16,49,38)</f>
        <v>41087.70113425926</v>
      </c>
      <c r="C874">
        <v>1380.5101318</v>
      </c>
      <c r="D874">
        <v>1365.6722411999999</v>
      </c>
      <c r="E874">
        <v>1321.9000243999999</v>
      </c>
      <c r="F874">
        <v>1318.4870605000001</v>
      </c>
      <c r="G874">
        <v>80</v>
      </c>
      <c r="H874">
        <v>79.755371093999997</v>
      </c>
      <c r="I874">
        <v>50</v>
      </c>
      <c r="J874">
        <v>42.88211441</v>
      </c>
      <c r="K874">
        <v>1200</v>
      </c>
      <c r="L874">
        <v>0</v>
      </c>
      <c r="M874">
        <v>0</v>
      </c>
      <c r="N874">
        <v>1200</v>
      </c>
    </row>
    <row r="875" spans="1:14" x14ac:dyDescent="0.25">
      <c r="A875">
        <v>790.01553799999999</v>
      </c>
      <c r="B875" s="1">
        <f>DATE(2012,6,29) + TIME(0,22,22)</f>
        <v>41089.015532407408</v>
      </c>
      <c r="C875">
        <v>1380.4410399999999</v>
      </c>
      <c r="D875">
        <v>1365.6168213000001</v>
      </c>
      <c r="E875">
        <v>1321.8649902</v>
      </c>
      <c r="F875">
        <v>1318.4406738</v>
      </c>
      <c r="G875">
        <v>80</v>
      </c>
      <c r="H875">
        <v>79.755653381000002</v>
      </c>
      <c r="I875">
        <v>50</v>
      </c>
      <c r="J875">
        <v>42.750953674000002</v>
      </c>
      <c r="K875">
        <v>1200</v>
      </c>
      <c r="L875">
        <v>0</v>
      </c>
      <c r="M875">
        <v>0</v>
      </c>
      <c r="N875">
        <v>1200</v>
      </c>
    </row>
    <row r="876" spans="1:14" x14ac:dyDescent="0.25">
      <c r="A876">
        <v>791.36016700000005</v>
      </c>
      <c r="B876" s="1">
        <f>DATE(2012,6,30) + TIME(8,38,38)</f>
        <v>41090.360162037039</v>
      </c>
      <c r="C876">
        <v>1380.3718262</v>
      </c>
      <c r="D876">
        <v>1365.5612793</v>
      </c>
      <c r="E876">
        <v>1321.8292236</v>
      </c>
      <c r="F876">
        <v>1318.3931885</v>
      </c>
      <c r="G876">
        <v>80</v>
      </c>
      <c r="H876">
        <v>79.755943298000005</v>
      </c>
      <c r="I876">
        <v>50</v>
      </c>
      <c r="J876">
        <v>42.617237091</v>
      </c>
      <c r="K876">
        <v>1200</v>
      </c>
      <c r="L876">
        <v>0</v>
      </c>
      <c r="M876">
        <v>0</v>
      </c>
      <c r="N876">
        <v>1200</v>
      </c>
    </row>
    <row r="877" spans="1:14" x14ac:dyDescent="0.25">
      <c r="A877">
        <v>792</v>
      </c>
      <c r="B877" s="1">
        <f>DATE(2012,7,1) + TIME(0,0,0)</f>
        <v>41091</v>
      </c>
      <c r="C877">
        <v>1380.3017577999999</v>
      </c>
      <c r="D877">
        <v>1365.5048827999999</v>
      </c>
      <c r="E877">
        <v>1321.7926024999999</v>
      </c>
      <c r="F877">
        <v>1318.3482666</v>
      </c>
      <c r="G877">
        <v>80</v>
      </c>
      <c r="H877">
        <v>79.756050110000004</v>
      </c>
      <c r="I877">
        <v>50</v>
      </c>
      <c r="J877">
        <v>42.540534973</v>
      </c>
      <c r="K877">
        <v>1200</v>
      </c>
      <c r="L877">
        <v>0</v>
      </c>
      <c r="M877">
        <v>0</v>
      </c>
      <c r="N877">
        <v>1200</v>
      </c>
    </row>
    <row r="878" spans="1:14" x14ac:dyDescent="0.25">
      <c r="A878">
        <v>793.37932699999999</v>
      </c>
      <c r="B878" s="1">
        <f>DATE(2012,7,2) + TIME(9,6,13)</f>
        <v>41092.379317129627</v>
      </c>
      <c r="C878">
        <v>1380.2695312000001</v>
      </c>
      <c r="D878">
        <v>1365.4790039</v>
      </c>
      <c r="E878">
        <v>1321.7738036999999</v>
      </c>
      <c r="F878">
        <v>1318.3189697</v>
      </c>
      <c r="G878">
        <v>80</v>
      </c>
      <c r="H878">
        <v>79.756362914999997</v>
      </c>
      <c r="I878">
        <v>50</v>
      </c>
      <c r="J878">
        <v>42.407802582000002</v>
      </c>
      <c r="K878">
        <v>1200</v>
      </c>
      <c r="L878">
        <v>0</v>
      </c>
      <c r="M878">
        <v>0</v>
      </c>
      <c r="N878">
        <v>1200</v>
      </c>
    </row>
    <row r="879" spans="1:14" x14ac:dyDescent="0.25">
      <c r="A879">
        <v>794.80321900000001</v>
      </c>
      <c r="B879" s="1">
        <f>DATE(2012,7,3) + TIME(19,16,38)</f>
        <v>41093.803217592591</v>
      </c>
      <c r="C879">
        <v>1380.2003173999999</v>
      </c>
      <c r="D879">
        <v>1365.4234618999999</v>
      </c>
      <c r="E879">
        <v>1321.7364502</v>
      </c>
      <c r="F879">
        <v>1318.2692870999999</v>
      </c>
      <c r="G879">
        <v>80</v>
      </c>
      <c r="H879">
        <v>79.756675720000004</v>
      </c>
      <c r="I879">
        <v>50</v>
      </c>
      <c r="J879">
        <v>42.270133971999996</v>
      </c>
      <c r="K879">
        <v>1200</v>
      </c>
      <c r="L879">
        <v>0</v>
      </c>
      <c r="M879">
        <v>0</v>
      </c>
      <c r="N879">
        <v>1200</v>
      </c>
    </row>
    <row r="880" spans="1:14" x14ac:dyDescent="0.25">
      <c r="A880">
        <v>796.23614999999995</v>
      </c>
      <c r="B880" s="1">
        <f>DATE(2012,7,5) + TIME(5,40,3)</f>
        <v>41095.236145833333</v>
      </c>
      <c r="C880">
        <v>1380.1300048999999</v>
      </c>
      <c r="D880">
        <v>1365.3668213000001</v>
      </c>
      <c r="E880">
        <v>1321.6975098</v>
      </c>
      <c r="F880">
        <v>1318.2176514</v>
      </c>
      <c r="G880">
        <v>80</v>
      </c>
      <c r="H880">
        <v>79.756988524999997</v>
      </c>
      <c r="I880">
        <v>50</v>
      </c>
      <c r="J880">
        <v>42.130004882999998</v>
      </c>
      <c r="K880">
        <v>1200</v>
      </c>
      <c r="L880">
        <v>0</v>
      </c>
      <c r="M880">
        <v>0</v>
      </c>
      <c r="N880">
        <v>1200</v>
      </c>
    </row>
    <row r="881" spans="1:14" x14ac:dyDescent="0.25">
      <c r="A881">
        <v>797.682188</v>
      </c>
      <c r="B881" s="1">
        <f>DATE(2012,7,6) + TIME(16,22,21)</f>
        <v>41096.682187500002</v>
      </c>
      <c r="C881">
        <v>1380.0605469</v>
      </c>
      <c r="D881">
        <v>1365.3109131000001</v>
      </c>
      <c r="E881">
        <v>1321.6580810999999</v>
      </c>
      <c r="F881">
        <v>1318.1650391000001</v>
      </c>
      <c r="G881">
        <v>80</v>
      </c>
      <c r="H881">
        <v>79.757308960000003</v>
      </c>
      <c r="I881">
        <v>50</v>
      </c>
      <c r="J881">
        <v>41.987701416</v>
      </c>
      <c r="K881">
        <v>1200</v>
      </c>
      <c r="L881">
        <v>0</v>
      </c>
      <c r="M881">
        <v>0</v>
      </c>
      <c r="N881">
        <v>1200</v>
      </c>
    </row>
    <row r="882" spans="1:14" x14ac:dyDescent="0.25">
      <c r="A882">
        <v>799.14533700000004</v>
      </c>
      <c r="B882" s="1">
        <f>DATE(2012,7,8) + TIME(3,29,17)</f>
        <v>41098.145335648151</v>
      </c>
      <c r="C882">
        <v>1379.9918213000001</v>
      </c>
      <c r="D882">
        <v>1365.2554932</v>
      </c>
      <c r="E882">
        <v>1321.6180420000001</v>
      </c>
      <c r="F882">
        <v>1318.1115723</v>
      </c>
      <c r="G882">
        <v>80</v>
      </c>
      <c r="H882">
        <v>79.757629394999995</v>
      </c>
      <c r="I882">
        <v>50</v>
      </c>
      <c r="J882">
        <v>41.843276977999999</v>
      </c>
      <c r="K882">
        <v>1200</v>
      </c>
      <c r="L882">
        <v>0</v>
      </c>
      <c r="M882">
        <v>0</v>
      </c>
      <c r="N882">
        <v>1200</v>
      </c>
    </row>
    <row r="883" spans="1:14" x14ac:dyDescent="0.25">
      <c r="A883">
        <v>800.62969299999997</v>
      </c>
      <c r="B883" s="1">
        <f>DATE(2012,7,9) + TIME(15,6,45)</f>
        <v>41099.629687499997</v>
      </c>
      <c r="C883">
        <v>1379.9234618999999</v>
      </c>
      <c r="D883">
        <v>1365.2003173999999</v>
      </c>
      <c r="E883">
        <v>1321.5773925999999</v>
      </c>
      <c r="F883">
        <v>1318.0571289</v>
      </c>
      <c r="G883">
        <v>80</v>
      </c>
      <c r="H883">
        <v>79.757957458000007</v>
      </c>
      <c r="I883">
        <v>50</v>
      </c>
      <c r="J883">
        <v>41.696640015</v>
      </c>
      <c r="K883">
        <v>1200</v>
      </c>
      <c r="L883">
        <v>0</v>
      </c>
      <c r="M883">
        <v>0</v>
      </c>
      <c r="N883">
        <v>1200</v>
      </c>
    </row>
    <row r="884" spans="1:14" x14ac:dyDescent="0.25">
      <c r="A884">
        <v>802.13955599999997</v>
      </c>
      <c r="B884" s="1">
        <f>DATE(2012,7,11) + TIME(3,20,57)</f>
        <v>41101.139548611114</v>
      </c>
      <c r="C884">
        <v>1379.8553466999999</v>
      </c>
      <c r="D884">
        <v>1365.1452637</v>
      </c>
      <c r="E884">
        <v>1321.5360106999999</v>
      </c>
      <c r="F884">
        <v>1318.0017089999999</v>
      </c>
      <c r="G884">
        <v>80</v>
      </c>
      <c r="H884">
        <v>79.758293151999993</v>
      </c>
      <c r="I884">
        <v>50</v>
      </c>
      <c r="J884">
        <v>41.54757309</v>
      </c>
      <c r="K884">
        <v>1200</v>
      </c>
      <c r="L884">
        <v>0</v>
      </c>
      <c r="M884">
        <v>0</v>
      </c>
      <c r="N884">
        <v>1200</v>
      </c>
    </row>
    <row r="885" spans="1:14" x14ac:dyDescent="0.25">
      <c r="A885">
        <v>803.67007599999999</v>
      </c>
      <c r="B885" s="1">
        <f>DATE(2012,7,12) + TIME(16,4,54)</f>
        <v>41102.670069444444</v>
      </c>
      <c r="C885">
        <v>1379.7872314000001</v>
      </c>
      <c r="D885">
        <v>1365.090332</v>
      </c>
      <c r="E885">
        <v>1321.4937743999999</v>
      </c>
      <c r="F885">
        <v>1317.9450684000001</v>
      </c>
      <c r="G885">
        <v>80</v>
      </c>
      <c r="H885">
        <v>79.758628845000004</v>
      </c>
      <c r="I885">
        <v>50</v>
      </c>
      <c r="J885">
        <v>41.396389008</v>
      </c>
      <c r="K885">
        <v>1200</v>
      </c>
      <c r="L885">
        <v>0</v>
      </c>
      <c r="M885">
        <v>0</v>
      </c>
      <c r="N885">
        <v>1200</v>
      </c>
    </row>
    <row r="886" spans="1:14" x14ac:dyDescent="0.25">
      <c r="A886">
        <v>805.22121000000004</v>
      </c>
      <c r="B886" s="1">
        <f>DATE(2012,7,14) + TIME(5,18,32)</f>
        <v>41104.221203703702</v>
      </c>
      <c r="C886">
        <v>1379.7194824000001</v>
      </c>
      <c r="D886">
        <v>1365.0355225000001</v>
      </c>
      <c r="E886">
        <v>1321.4509277</v>
      </c>
      <c r="F886">
        <v>1317.8874512</v>
      </c>
      <c r="G886">
        <v>80</v>
      </c>
      <c r="H886">
        <v>79.758972168</v>
      </c>
      <c r="I886">
        <v>50</v>
      </c>
      <c r="J886">
        <v>41.243148804</v>
      </c>
      <c r="K886">
        <v>1200</v>
      </c>
      <c r="L886">
        <v>0</v>
      </c>
      <c r="M886">
        <v>0</v>
      </c>
      <c r="N886">
        <v>1200</v>
      </c>
    </row>
    <row r="887" spans="1:14" x14ac:dyDescent="0.25">
      <c r="A887">
        <v>806.79735000000005</v>
      </c>
      <c r="B887" s="1">
        <f>DATE(2012,7,15) + TIME(19,8,11)</f>
        <v>41105.797349537039</v>
      </c>
      <c r="C887">
        <v>1379.6520995999999</v>
      </c>
      <c r="D887">
        <v>1364.980957</v>
      </c>
      <c r="E887">
        <v>1321.4073486</v>
      </c>
      <c r="F887">
        <v>1317.8287353999999</v>
      </c>
      <c r="G887">
        <v>80</v>
      </c>
      <c r="H887">
        <v>79.759323120000005</v>
      </c>
      <c r="I887">
        <v>50</v>
      </c>
      <c r="J887">
        <v>41.087608336999999</v>
      </c>
      <c r="K887">
        <v>1200</v>
      </c>
      <c r="L887">
        <v>0</v>
      </c>
      <c r="M887">
        <v>0</v>
      </c>
      <c r="N887">
        <v>1200</v>
      </c>
    </row>
    <row r="888" spans="1:14" x14ac:dyDescent="0.25">
      <c r="A888">
        <v>808.40313600000002</v>
      </c>
      <c r="B888" s="1">
        <f>DATE(2012,7,17) + TIME(9,40,30)</f>
        <v>41107.403124999997</v>
      </c>
      <c r="C888">
        <v>1379.5847168</v>
      </c>
      <c r="D888">
        <v>1364.9263916</v>
      </c>
      <c r="E888">
        <v>1321.3630370999999</v>
      </c>
      <c r="F888">
        <v>1317.7689209</v>
      </c>
      <c r="G888">
        <v>80</v>
      </c>
      <c r="H888">
        <v>79.759674071999996</v>
      </c>
      <c r="I888">
        <v>50</v>
      </c>
      <c r="J888">
        <v>40.929450989000003</v>
      </c>
      <c r="K888">
        <v>1200</v>
      </c>
      <c r="L888">
        <v>0</v>
      </c>
      <c r="M888">
        <v>0</v>
      </c>
      <c r="N888">
        <v>1200</v>
      </c>
    </row>
    <row r="889" spans="1:14" x14ac:dyDescent="0.25">
      <c r="A889">
        <v>810.04351499999996</v>
      </c>
      <c r="B889" s="1">
        <f>DATE(2012,7,19) + TIME(1,2,39)</f>
        <v>41109.043506944443</v>
      </c>
      <c r="C889">
        <v>1379.5172118999999</v>
      </c>
      <c r="D889">
        <v>1364.8717041</v>
      </c>
      <c r="E889">
        <v>1321.3178711</v>
      </c>
      <c r="F889">
        <v>1317.7078856999999</v>
      </c>
      <c r="G889">
        <v>80</v>
      </c>
      <c r="H889">
        <v>79.760040282999995</v>
      </c>
      <c r="I889">
        <v>50</v>
      </c>
      <c r="J889">
        <v>40.768299102999997</v>
      </c>
      <c r="K889">
        <v>1200</v>
      </c>
      <c r="L889">
        <v>0</v>
      </c>
      <c r="M889">
        <v>0</v>
      </c>
      <c r="N889">
        <v>1200</v>
      </c>
    </row>
    <row r="890" spans="1:14" x14ac:dyDescent="0.25">
      <c r="A890">
        <v>811.72385099999997</v>
      </c>
      <c r="B890" s="1">
        <f>DATE(2012,7,20) + TIME(17,22,20)</f>
        <v>41110.72384259259</v>
      </c>
      <c r="C890">
        <v>1379.4494629000001</v>
      </c>
      <c r="D890">
        <v>1364.8166504000001</v>
      </c>
      <c r="E890">
        <v>1321.2716064000001</v>
      </c>
      <c r="F890">
        <v>1317.6452637</v>
      </c>
      <c r="G890">
        <v>80</v>
      </c>
      <c r="H890">
        <v>79.760414123999993</v>
      </c>
      <c r="I890">
        <v>50</v>
      </c>
      <c r="J890">
        <v>40.603713988999999</v>
      </c>
      <c r="K890">
        <v>1200</v>
      </c>
      <c r="L890">
        <v>0</v>
      </c>
      <c r="M890">
        <v>0</v>
      </c>
      <c r="N890">
        <v>1200</v>
      </c>
    </row>
    <row r="891" spans="1:14" x14ac:dyDescent="0.25">
      <c r="A891">
        <v>813.43972699999995</v>
      </c>
      <c r="B891" s="1">
        <f>DATE(2012,7,22) + TIME(10,33,12)</f>
        <v>41112.439722222225</v>
      </c>
      <c r="C891">
        <v>1379.3813477000001</v>
      </c>
      <c r="D891">
        <v>1364.7612305</v>
      </c>
      <c r="E891">
        <v>1321.2242432</v>
      </c>
      <c r="F891">
        <v>1317.5811768000001</v>
      </c>
      <c r="G891">
        <v>80</v>
      </c>
      <c r="H891">
        <v>79.760795592999997</v>
      </c>
      <c r="I891">
        <v>50</v>
      </c>
      <c r="J891">
        <v>40.435832976999997</v>
      </c>
      <c r="K891">
        <v>1200</v>
      </c>
      <c r="L891">
        <v>0</v>
      </c>
      <c r="M891">
        <v>0</v>
      </c>
      <c r="N891">
        <v>1200</v>
      </c>
    </row>
    <row r="892" spans="1:14" x14ac:dyDescent="0.25">
      <c r="A892">
        <v>815.16495699999996</v>
      </c>
      <c r="B892" s="1">
        <f>DATE(2012,7,24) + TIME(3,57,32)</f>
        <v>41114.164953703701</v>
      </c>
      <c r="C892">
        <v>1379.3128661999999</v>
      </c>
      <c r="D892">
        <v>1364.7055664</v>
      </c>
      <c r="E892">
        <v>1321.1759033000001</v>
      </c>
      <c r="F892">
        <v>1317.5155029</v>
      </c>
      <c r="G892">
        <v>80</v>
      </c>
      <c r="H892">
        <v>79.761177063000005</v>
      </c>
      <c r="I892">
        <v>50</v>
      </c>
      <c r="J892">
        <v>40.266231537000003</v>
      </c>
      <c r="K892">
        <v>1200</v>
      </c>
      <c r="L892">
        <v>0</v>
      </c>
      <c r="M892">
        <v>0</v>
      </c>
      <c r="N892">
        <v>1200</v>
      </c>
    </row>
    <row r="893" spans="1:14" x14ac:dyDescent="0.25">
      <c r="A893">
        <v>816.90421800000001</v>
      </c>
      <c r="B893" s="1">
        <f>DATE(2012,7,25) + TIME(21,42,4)</f>
        <v>41115.90421296296</v>
      </c>
      <c r="C893">
        <v>1379.2452393000001</v>
      </c>
      <c r="D893">
        <v>1364.6505127</v>
      </c>
      <c r="E893">
        <v>1321.1271973</v>
      </c>
      <c r="F893">
        <v>1317.4493408000001</v>
      </c>
      <c r="G893">
        <v>80</v>
      </c>
      <c r="H893">
        <v>79.761558532999999</v>
      </c>
      <c r="I893">
        <v>50</v>
      </c>
      <c r="J893">
        <v>40.094982147000003</v>
      </c>
      <c r="K893">
        <v>1200</v>
      </c>
      <c r="L893">
        <v>0</v>
      </c>
      <c r="M893">
        <v>0</v>
      </c>
      <c r="N893">
        <v>1200</v>
      </c>
    </row>
    <row r="894" spans="1:14" x14ac:dyDescent="0.25">
      <c r="A894">
        <v>818.66224699999998</v>
      </c>
      <c r="B894" s="1">
        <f>DATE(2012,7,27) + TIME(15,53,38)</f>
        <v>41117.662245370368</v>
      </c>
      <c r="C894">
        <v>1379.1782227000001</v>
      </c>
      <c r="D894">
        <v>1364.5958252</v>
      </c>
      <c r="E894">
        <v>1321.0780029</v>
      </c>
      <c r="F894">
        <v>1317.3823242000001</v>
      </c>
      <c r="G894">
        <v>80</v>
      </c>
      <c r="H894">
        <v>79.761947632000002</v>
      </c>
      <c r="I894">
        <v>50</v>
      </c>
      <c r="J894">
        <v>39.921989441000001</v>
      </c>
      <c r="K894">
        <v>1200</v>
      </c>
      <c r="L894">
        <v>0</v>
      </c>
      <c r="M894">
        <v>0</v>
      </c>
      <c r="N894">
        <v>1200</v>
      </c>
    </row>
    <row r="895" spans="1:14" x14ac:dyDescent="0.25">
      <c r="A895">
        <v>820.44390899999996</v>
      </c>
      <c r="B895" s="1">
        <f>DATE(2012,7,29) + TIME(10,39,13)</f>
        <v>41119.44390046296</v>
      </c>
      <c r="C895">
        <v>1379.1115723</v>
      </c>
      <c r="D895">
        <v>1364.5413818</v>
      </c>
      <c r="E895">
        <v>1321.0283202999999</v>
      </c>
      <c r="F895">
        <v>1317.3144531</v>
      </c>
      <c r="G895">
        <v>80</v>
      </c>
      <c r="H895">
        <v>79.76234436</v>
      </c>
      <c r="I895">
        <v>50</v>
      </c>
      <c r="J895">
        <v>39.747024535999998</v>
      </c>
      <c r="K895">
        <v>1200</v>
      </c>
      <c r="L895">
        <v>0</v>
      </c>
      <c r="M895">
        <v>0</v>
      </c>
      <c r="N895">
        <v>1200</v>
      </c>
    </row>
    <row r="896" spans="1:14" x14ac:dyDescent="0.25">
      <c r="A896">
        <v>822.25424599999997</v>
      </c>
      <c r="B896" s="1">
        <f>DATE(2012,7,31) + TIME(6,6,6)</f>
        <v>41121.254236111112</v>
      </c>
      <c r="C896">
        <v>1379.0451660000001</v>
      </c>
      <c r="D896">
        <v>1364.4871826000001</v>
      </c>
      <c r="E896">
        <v>1320.9779053</v>
      </c>
      <c r="F896">
        <v>1317.2456055</v>
      </c>
      <c r="G896">
        <v>80</v>
      </c>
      <c r="H896">
        <v>79.762741089000002</v>
      </c>
      <c r="I896">
        <v>50</v>
      </c>
      <c r="J896">
        <v>39.569732666</v>
      </c>
      <c r="K896">
        <v>1200</v>
      </c>
      <c r="L896">
        <v>0</v>
      </c>
      <c r="M896">
        <v>0</v>
      </c>
      <c r="N896">
        <v>1200</v>
      </c>
    </row>
    <row r="897" spans="1:14" x14ac:dyDescent="0.25">
      <c r="A897">
        <v>823</v>
      </c>
      <c r="B897" s="1">
        <f>DATE(2012,8,1) + TIME(0,0,0)</f>
        <v>41122</v>
      </c>
      <c r="C897">
        <v>1378.9781493999999</v>
      </c>
      <c r="D897">
        <v>1364.4321289</v>
      </c>
      <c r="E897">
        <v>1320.9272461</v>
      </c>
      <c r="F897">
        <v>1317.182251</v>
      </c>
      <c r="G897">
        <v>80</v>
      </c>
      <c r="H897">
        <v>79.762870789000004</v>
      </c>
      <c r="I897">
        <v>50</v>
      </c>
      <c r="J897">
        <v>39.474540709999999</v>
      </c>
      <c r="K897">
        <v>1200</v>
      </c>
      <c r="L897">
        <v>0</v>
      </c>
      <c r="M897">
        <v>0</v>
      </c>
      <c r="N897">
        <v>1200</v>
      </c>
    </row>
    <row r="898" spans="1:14" x14ac:dyDescent="0.25">
      <c r="A898">
        <v>824.84432100000004</v>
      </c>
      <c r="B898" s="1">
        <f>DATE(2012,8,2) + TIME(20,15,49)</f>
        <v>41123.844317129631</v>
      </c>
      <c r="C898">
        <v>1378.9515381000001</v>
      </c>
      <c r="D898">
        <v>1364.4104004000001</v>
      </c>
      <c r="E898">
        <v>1320.9038086</v>
      </c>
      <c r="F898">
        <v>1317.1431885</v>
      </c>
      <c r="G898">
        <v>80</v>
      </c>
      <c r="H898">
        <v>79.763290405000006</v>
      </c>
      <c r="I898">
        <v>50</v>
      </c>
      <c r="J898">
        <v>39.303031920999999</v>
      </c>
      <c r="K898">
        <v>1200</v>
      </c>
      <c r="L898">
        <v>0</v>
      </c>
      <c r="M898">
        <v>0</v>
      </c>
      <c r="N898">
        <v>1200</v>
      </c>
    </row>
    <row r="899" spans="1:14" x14ac:dyDescent="0.25">
      <c r="A899">
        <v>826.746576</v>
      </c>
      <c r="B899" s="1">
        <f>DATE(2012,8,4) + TIME(17,55,4)</f>
        <v>41125.746574074074</v>
      </c>
      <c r="C899">
        <v>1378.8856201000001</v>
      </c>
      <c r="D899">
        <v>1364.3564452999999</v>
      </c>
      <c r="E899">
        <v>1320.8527832</v>
      </c>
      <c r="F899">
        <v>1317.0733643000001</v>
      </c>
      <c r="G899">
        <v>80</v>
      </c>
      <c r="H899">
        <v>79.763717650999993</v>
      </c>
      <c r="I899">
        <v>50</v>
      </c>
      <c r="J899">
        <v>39.124050140000001</v>
      </c>
      <c r="K899">
        <v>1200</v>
      </c>
      <c r="L899">
        <v>0</v>
      </c>
      <c r="M899">
        <v>0</v>
      </c>
      <c r="N899">
        <v>1200</v>
      </c>
    </row>
    <row r="900" spans="1:14" x14ac:dyDescent="0.25">
      <c r="A900">
        <v>828.694211</v>
      </c>
      <c r="B900" s="1">
        <f>DATE(2012,8,6) + TIME(16,39,39)</f>
        <v>41127.694201388891</v>
      </c>
      <c r="C900">
        <v>1378.8184814000001</v>
      </c>
      <c r="D900">
        <v>1364.3013916</v>
      </c>
      <c r="E900">
        <v>1320.7999268000001</v>
      </c>
      <c r="F900">
        <v>1317.0007324000001</v>
      </c>
      <c r="G900">
        <v>80</v>
      </c>
      <c r="H900">
        <v>79.764152526999993</v>
      </c>
      <c r="I900">
        <v>50</v>
      </c>
      <c r="J900">
        <v>38.939121245999999</v>
      </c>
      <c r="K900">
        <v>1200</v>
      </c>
      <c r="L900">
        <v>0</v>
      </c>
      <c r="M900">
        <v>0</v>
      </c>
      <c r="N900">
        <v>1200</v>
      </c>
    </row>
    <row r="901" spans="1:14" x14ac:dyDescent="0.25">
      <c r="A901">
        <v>830.66452400000003</v>
      </c>
      <c r="B901" s="1">
        <f>DATE(2012,8,8) + TIME(15,56,54)</f>
        <v>41129.664513888885</v>
      </c>
      <c r="C901">
        <v>1378.7508545000001</v>
      </c>
      <c r="D901">
        <v>1364.2458495999999</v>
      </c>
      <c r="E901">
        <v>1320.7456055</v>
      </c>
      <c r="F901">
        <v>1316.9261475000001</v>
      </c>
      <c r="G901">
        <v>80</v>
      </c>
      <c r="H901">
        <v>79.764579772999994</v>
      </c>
      <c r="I901">
        <v>50</v>
      </c>
      <c r="J901">
        <v>38.750278473000002</v>
      </c>
      <c r="K901">
        <v>1200</v>
      </c>
      <c r="L901">
        <v>0</v>
      </c>
      <c r="M901">
        <v>0</v>
      </c>
      <c r="N901">
        <v>1200</v>
      </c>
    </row>
    <row r="902" spans="1:14" x14ac:dyDescent="0.25">
      <c r="A902">
        <v>832.65331500000002</v>
      </c>
      <c r="B902" s="1">
        <f>DATE(2012,8,10) + TIME(15,40,46)</f>
        <v>41131.653310185182</v>
      </c>
      <c r="C902">
        <v>1378.6835937999999</v>
      </c>
      <c r="D902">
        <v>1364.1905518000001</v>
      </c>
      <c r="E902">
        <v>1320.6905518000001</v>
      </c>
      <c r="F902">
        <v>1316.8503418</v>
      </c>
      <c r="G902">
        <v>80</v>
      </c>
      <c r="H902">
        <v>79.765014648000005</v>
      </c>
      <c r="I902">
        <v>50</v>
      </c>
      <c r="J902">
        <v>38.558643341</v>
      </c>
      <c r="K902">
        <v>1200</v>
      </c>
      <c r="L902">
        <v>0</v>
      </c>
      <c r="M902">
        <v>0</v>
      </c>
      <c r="N902">
        <v>1200</v>
      </c>
    </row>
    <row r="903" spans="1:14" x14ac:dyDescent="0.25">
      <c r="A903">
        <v>834.64998700000001</v>
      </c>
      <c r="B903" s="1">
        <f>DATE(2012,8,12) + TIME(15,35,58)</f>
        <v>41133.649976851855</v>
      </c>
      <c r="C903">
        <v>1378.6166992000001</v>
      </c>
      <c r="D903">
        <v>1364.135376</v>
      </c>
      <c r="E903">
        <v>1320.6351318</v>
      </c>
      <c r="F903">
        <v>1316.7736815999999</v>
      </c>
      <c r="G903">
        <v>80</v>
      </c>
      <c r="H903">
        <v>79.765441894999995</v>
      </c>
      <c r="I903">
        <v>50</v>
      </c>
      <c r="J903">
        <v>38.365436553999999</v>
      </c>
      <c r="K903">
        <v>1200</v>
      </c>
      <c r="L903">
        <v>0</v>
      </c>
      <c r="M903">
        <v>0</v>
      </c>
      <c r="N903">
        <v>1200</v>
      </c>
    </row>
    <row r="904" spans="1:14" x14ac:dyDescent="0.25">
      <c r="A904">
        <v>836.65984800000001</v>
      </c>
      <c r="B904" s="1">
        <f>DATE(2012,8,14) + TIME(15,50,10)</f>
        <v>41135.659837962965</v>
      </c>
      <c r="C904">
        <v>1378.5505370999999</v>
      </c>
      <c r="D904">
        <v>1364.0809326000001</v>
      </c>
      <c r="E904">
        <v>1320.5794678</v>
      </c>
      <c r="F904">
        <v>1316.6966553</v>
      </c>
      <c r="G904">
        <v>80</v>
      </c>
      <c r="H904">
        <v>79.765876770000006</v>
      </c>
      <c r="I904">
        <v>50</v>
      </c>
      <c r="J904">
        <v>38.170925140000001</v>
      </c>
      <c r="K904">
        <v>1200</v>
      </c>
      <c r="L904">
        <v>0</v>
      </c>
      <c r="M904">
        <v>0</v>
      </c>
      <c r="N904">
        <v>1200</v>
      </c>
    </row>
    <row r="905" spans="1:14" x14ac:dyDescent="0.25">
      <c r="A905">
        <v>838.68780300000003</v>
      </c>
      <c r="B905" s="1">
        <f>DATE(2012,8,16) + TIME(16,30,26)</f>
        <v>41137.687800925924</v>
      </c>
      <c r="C905">
        <v>1378.4851074000001</v>
      </c>
      <c r="D905">
        <v>1364.0267334</v>
      </c>
      <c r="E905">
        <v>1320.5236815999999</v>
      </c>
      <c r="F905">
        <v>1316.6191406</v>
      </c>
      <c r="G905">
        <v>80</v>
      </c>
      <c r="H905">
        <v>79.766311646000005</v>
      </c>
      <c r="I905">
        <v>50</v>
      </c>
      <c r="J905">
        <v>37.975105286000002</v>
      </c>
      <c r="K905">
        <v>1200</v>
      </c>
      <c r="L905">
        <v>0</v>
      </c>
      <c r="M905">
        <v>0</v>
      </c>
      <c r="N905">
        <v>1200</v>
      </c>
    </row>
    <row r="906" spans="1:14" x14ac:dyDescent="0.25">
      <c r="A906">
        <v>840.73925899999995</v>
      </c>
      <c r="B906" s="1">
        <f>DATE(2012,8,18) + TIME(17,44,32)</f>
        <v>41139.739259259259</v>
      </c>
      <c r="C906">
        <v>1378.4199219</v>
      </c>
      <c r="D906">
        <v>1363.9729004000001</v>
      </c>
      <c r="E906">
        <v>1320.4675293</v>
      </c>
      <c r="F906">
        <v>1316.5408935999999</v>
      </c>
      <c r="G906">
        <v>80</v>
      </c>
      <c r="H906">
        <v>79.766746521000002</v>
      </c>
      <c r="I906">
        <v>50</v>
      </c>
      <c r="J906">
        <v>37.777763366999999</v>
      </c>
      <c r="K906">
        <v>1200</v>
      </c>
      <c r="L906">
        <v>0</v>
      </c>
      <c r="M906">
        <v>0</v>
      </c>
      <c r="N906">
        <v>1200</v>
      </c>
    </row>
    <row r="907" spans="1:14" x14ac:dyDescent="0.25">
      <c r="A907">
        <v>842.81982000000005</v>
      </c>
      <c r="B907" s="1">
        <f>DATE(2012,8,20) + TIME(19,40,32)</f>
        <v>41141.819814814815</v>
      </c>
      <c r="C907">
        <v>1378.3551024999999</v>
      </c>
      <c r="D907">
        <v>1363.9191894999999</v>
      </c>
      <c r="E907">
        <v>1320.4110106999999</v>
      </c>
      <c r="F907">
        <v>1316.4619141000001</v>
      </c>
      <c r="G907">
        <v>80</v>
      </c>
      <c r="H907">
        <v>79.767189025999997</v>
      </c>
      <c r="I907">
        <v>50</v>
      </c>
      <c r="J907">
        <v>37.578598022000001</v>
      </c>
      <c r="K907">
        <v>1200</v>
      </c>
      <c r="L907">
        <v>0</v>
      </c>
      <c r="M907">
        <v>0</v>
      </c>
      <c r="N907">
        <v>1200</v>
      </c>
    </row>
    <row r="908" spans="1:14" x14ac:dyDescent="0.25">
      <c r="A908">
        <v>844.93549199999995</v>
      </c>
      <c r="B908" s="1">
        <f>DATE(2012,8,22) + TIME(22,27,6)</f>
        <v>41143.935486111113</v>
      </c>
      <c r="C908">
        <v>1378.2901611</v>
      </c>
      <c r="D908">
        <v>1363.8653564000001</v>
      </c>
      <c r="E908">
        <v>1320.3538818</v>
      </c>
      <c r="F908">
        <v>1316.3820800999999</v>
      </c>
      <c r="G908">
        <v>80</v>
      </c>
      <c r="H908">
        <v>79.767639160000002</v>
      </c>
      <c r="I908">
        <v>50</v>
      </c>
      <c r="J908">
        <v>37.377212524000001</v>
      </c>
      <c r="K908">
        <v>1200</v>
      </c>
      <c r="L908">
        <v>0</v>
      </c>
      <c r="M908">
        <v>0</v>
      </c>
      <c r="N908">
        <v>1200</v>
      </c>
    </row>
    <row r="909" spans="1:14" x14ac:dyDescent="0.25">
      <c r="A909">
        <v>847.09258699999998</v>
      </c>
      <c r="B909" s="1">
        <f>DATE(2012,8,25) + TIME(2,13,19)</f>
        <v>41146.092581018522</v>
      </c>
      <c r="C909">
        <v>1378.2252197</v>
      </c>
      <c r="D909">
        <v>1363.8114014</v>
      </c>
      <c r="E909">
        <v>1320.2961425999999</v>
      </c>
      <c r="F909">
        <v>1316.3011475000001</v>
      </c>
      <c r="G909">
        <v>80</v>
      </c>
      <c r="H909">
        <v>79.768089294000006</v>
      </c>
      <c r="I909">
        <v>50</v>
      </c>
      <c r="J909">
        <v>37.173171996999997</v>
      </c>
      <c r="K909">
        <v>1200</v>
      </c>
      <c r="L909">
        <v>0</v>
      </c>
      <c r="M909">
        <v>0</v>
      </c>
      <c r="N909">
        <v>1200</v>
      </c>
    </row>
    <row r="910" spans="1:14" x14ac:dyDescent="0.25">
      <c r="A910">
        <v>849.297867</v>
      </c>
      <c r="B910" s="1">
        <f>DATE(2012,8,27) + TIME(7,8,55)</f>
        <v>41148.297858796293</v>
      </c>
      <c r="C910">
        <v>1378.1599120999999</v>
      </c>
      <c r="D910">
        <v>1363.7570800999999</v>
      </c>
      <c r="E910">
        <v>1320.2376709</v>
      </c>
      <c r="F910">
        <v>1316.2188721</v>
      </c>
      <c r="G910">
        <v>80</v>
      </c>
      <c r="H910">
        <v>79.768554687999995</v>
      </c>
      <c r="I910">
        <v>50</v>
      </c>
      <c r="J910">
        <v>36.965991973999998</v>
      </c>
      <c r="K910">
        <v>1200</v>
      </c>
      <c r="L910">
        <v>0</v>
      </c>
      <c r="M910">
        <v>0</v>
      </c>
      <c r="N910">
        <v>1200</v>
      </c>
    </row>
    <row r="911" spans="1:14" x14ac:dyDescent="0.25">
      <c r="A911">
        <v>851.54542600000002</v>
      </c>
      <c r="B911" s="1">
        <f>DATE(2012,8,29) + TIME(13,5,24)</f>
        <v>41150.545416666668</v>
      </c>
      <c r="C911">
        <v>1378.0941161999999</v>
      </c>
      <c r="D911">
        <v>1363.7022704999999</v>
      </c>
      <c r="E911">
        <v>1320.1782227000001</v>
      </c>
      <c r="F911">
        <v>1316.1352539</v>
      </c>
      <c r="G911">
        <v>80</v>
      </c>
      <c r="H911">
        <v>79.769020080999994</v>
      </c>
      <c r="I911">
        <v>50</v>
      </c>
      <c r="J911">
        <v>36.755836487000003</v>
      </c>
      <c r="K911">
        <v>1200</v>
      </c>
      <c r="L911">
        <v>0</v>
      </c>
      <c r="M911">
        <v>0</v>
      </c>
      <c r="N911">
        <v>1200</v>
      </c>
    </row>
    <row r="912" spans="1:14" x14ac:dyDescent="0.25">
      <c r="A912">
        <v>853.81276000000003</v>
      </c>
      <c r="B912" s="1">
        <f>DATE(2012,8,31) + TIME(19,30,22)</f>
        <v>41152.812754629631</v>
      </c>
      <c r="C912">
        <v>1378.0279541</v>
      </c>
      <c r="D912">
        <v>1363.6470947</v>
      </c>
      <c r="E912">
        <v>1320.1179199000001</v>
      </c>
      <c r="F912">
        <v>1316.0504149999999</v>
      </c>
      <c r="G912">
        <v>80</v>
      </c>
      <c r="H912">
        <v>79.769493103000002</v>
      </c>
      <c r="I912">
        <v>50</v>
      </c>
      <c r="J912">
        <v>36.543941498000002</v>
      </c>
      <c r="K912">
        <v>1200</v>
      </c>
      <c r="L912">
        <v>0</v>
      </c>
      <c r="M912">
        <v>0</v>
      </c>
      <c r="N912">
        <v>1200</v>
      </c>
    </row>
    <row r="913" spans="1:14" x14ac:dyDescent="0.25">
      <c r="A913">
        <v>854</v>
      </c>
      <c r="B913" s="1">
        <f>DATE(2012,9,1) + TIME(0,0,0)</f>
        <v>41153</v>
      </c>
      <c r="C913">
        <v>1377.9642334</v>
      </c>
      <c r="D913">
        <v>1363.5939940999999</v>
      </c>
      <c r="E913">
        <v>1320.0600586</v>
      </c>
      <c r="F913">
        <v>1315.9826660000001</v>
      </c>
      <c r="G913">
        <v>80</v>
      </c>
      <c r="H913">
        <v>79.769508361999996</v>
      </c>
      <c r="I913">
        <v>50</v>
      </c>
      <c r="J913">
        <v>36.514011383000003</v>
      </c>
      <c r="K913">
        <v>1200</v>
      </c>
      <c r="L913">
        <v>0</v>
      </c>
      <c r="M913">
        <v>0</v>
      </c>
      <c r="N913">
        <v>1200</v>
      </c>
    </row>
    <row r="914" spans="1:14" x14ac:dyDescent="0.25">
      <c r="A914">
        <v>856.29341699999998</v>
      </c>
      <c r="B914" s="1">
        <f>DATE(2012,9,3) + TIME(7,2,31)</f>
        <v>41155.293414351851</v>
      </c>
      <c r="C914">
        <v>1377.956543</v>
      </c>
      <c r="D914">
        <v>1363.5874022999999</v>
      </c>
      <c r="E914">
        <v>1320.0515137</v>
      </c>
      <c r="F914">
        <v>1315.9558105000001</v>
      </c>
      <c r="G914">
        <v>80</v>
      </c>
      <c r="H914">
        <v>79.769996642999999</v>
      </c>
      <c r="I914">
        <v>50</v>
      </c>
      <c r="J914">
        <v>36.306247710999997</v>
      </c>
      <c r="K914">
        <v>1200</v>
      </c>
      <c r="L914">
        <v>0</v>
      </c>
      <c r="M914">
        <v>0</v>
      </c>
      <c r="N914">
        <v>1200</v>
      </c>
    </row>
    <row r="915" spans="1:14" x14ac:dyDescent="0.25">
      <c r="A915">
        <v>858.62253799999996</v>
      </c>
      <c r="B915" s="1">
        <f>DATE(2012,9,5) + TIME(14,56,27)</f>
        <v>41157.622534722221</v>
      </c>
      <c r="C915">
        <v>1377.8913574000001</v>
      </c>
      <c r="D915">
        <v>1363.5328368999999</v>
      </c>
      <c r="E915">
        <v>1319.9914550999999</v>
      </c>
      <c r="F915">
        <v>1315.8708495999999</v>
      </c>
      <c r="G915">
        <v>80</v>
      </c>
      <c r="H915">
        <v>79.770477295000006</v>
      </c>
      <c r="I915">
        <v>50</v>
      </c>
      <c r="J915">
        <v>36.094123840000002</v>
      </c>
      <c r="K915">
        <v>1200</v>
      </c>
      <c r="L915">
        <v>0</v>
      </c>
      <c r="M915">
        <v>0</v>
      </c>
      <c r="N915">
        <v>1200</v>
      </c>
    </row>
    <row r="916" spans="1:14" x14ac:dyDescent="0.25">
      <c r="A916">
        <v>860.97073399999999</v>
      </c>
      <c r="B916" s="1">
        <f>DATE(2012,9,7) + TIME(23,17,51)</f>
        <v>41159.970729166664</v>
      </c>
      <c r="C916">
        <v>1377.8256836</v>
      </c>
      <c r="D916">
        <v>1363.4779053</v>
      </c>
      <c r="E916">
        <v>1319.9305420000001</v>
      </c>
      <c r="F916">
        <v>1315.7844238</v>
      </c>
      <c r="G916">
        <v>80</v>
      </c>
      <c r="H916">
        <v>79.770950317</v>
      </c>
      <c r="I916">
        <v>50</v>
      </c>
      <c r="J916">
        <v>35.87960434</v>
      </c>
      <c r="K916">
        <v>1200</v>
      </c>
      <c r="L916">
        <v>0</v>
      </c>
      <c r="M916">
        <v>0</v>
      </c>
      <c r="N916">
        <v>1200</v>
      </c>
    </row>
    <row r="917" spans="1:14" x14ac:dyDescent="0.25">
      <c r="A917">
        <v>863.341137</v>
      </c>
      <c r="B917" s="1">
        <f>DATE(2012,9,10) + TIME(8,11,14)</f>
        <v>41162.341134259259</v>
      </c>
      <c r="C917">
        <v>1377.7604980000001</v>
      </c>
      <c r="D917">
        <v>1363.4230957</v>
      </c>
      <c r="E917">
        <v>1319.8695068</v>
      </c>
      <c r="F917">
        <v>1315.6975098</v>
      </c>
      <c r="G917">
        <v>80</v>
      </c>
      <c r="H917">
        <v>79.771430968999994</v>
      </c>
      <c r="I917">
        <v>50</v>
      </c>
      <c r="J917">
        <v>35.663539886000002</v>
      </c>
      <c r="K917">
        <v>1200</v>
      </c>
      <c r="L917">
        <v>0</v>
      </c>
      <c r="M917">
        <v>0</v>
      </c>
      <c r="N917">
        <v>1200</v>
      </c>
    </row>
    <row r="918" spans="1:14" x14ac:dyDescent="0.25">
      <c r="A918">
        <v>865.73965699999997</v>
      </c>
      <c r="B918" s="1">
        <f>DATE(2012,9,12) + TIME(17,45,6)</f>
        <v>41164.739652777775</v>
      </c>
      <c r="C918">
        <v>1377.6954346</v>
      </c>
      <c r="D918">
        <v>1363.3684082</v>
      </c>
      <c r="E918">
        <v>1319.8083495999999</v>
      </c>
      <c r="F918">
        <v>1315.6101074000001</v>
      </c>
      <c r="G918">
        <v>80</v>
      </c>
      <c r="H918">
        <v>79.771911621000001</v>
      </c>
      <c r="I918">
        <v>50</v>
      </c>
      <c r="J918">
        <v>35.446182251000003</v>
      </c>
      <c r="K918">
        <v>1200</v>
      </c>
      <c r="L918">
        <v>0</v>
      </c>
      <c r="M918">
        <v>0</v>
      </c>
      <c r="N918">
        <v>1200</v>
      </c>
    </row>
    <row r="919" spans="1:14" x14ac:dyDescent="0.25">
      <c r="A919">
        <v>868.17285500000003</v>
      </c>
      <c r="B919" s="1">
        <f>DATE(2012,9,15) + TIME(4,8,54)</f>
        <v>41167.172847222224</v>
      </c>
      <c r="C919">
        <v>1377.6306152</v>
      </c>
      <c r="D919">
        <v>1363.3137207</v>
      </c>
      <c r="E919">
        <v>1319.7469481999999</v>
      </c>
      <c r="F919">
        <v>1315.5222168</v>
      </c>
      <c r="G919">
        <v>80</v>
      </c>
      <c r="H919">
        <v>79.772399902000004</v>
      </c>
      <c r="I919">
        <v>50</v>
      </c>
      <c r="J919">
        <v>35.227455139</v>
      </c>
      <c r="K919">
        <v>1200</v>
      </c>
      <c r="L919">
        <v>0</v>
      </c>
      <c r="M919">
        <v>0</v>
      </c>
      <c r="N919">
        <v>1200</v>
      </c>
    </row>
    <row r="920" spans="1:14" x14ac:dyDescent="0.25">
      <c r="A920">
        <v>870.64762399999995</v>
      </c>
      <c r="B920" s="1">
        <f>DATE(2012,9,17) + TIME(15,32,34)</f>
        <v>41169.647615740738</v>
      </c>
      <c r="C920">
        <v>1377.5655518000001</v>
      </c>
      <c r="D920">
        <v>1363.2589111</v>
      </c>
      <c r="E920">
        <v>1319.6853027</v>
      </c>
      <c r="F920">
        <v>1315.4335937999999</v>
      </c>
      <c r="G920">
        <v>80</v>
      </c>
      <c r="H920">
        <v>79.772888183999996</v>
      </c>
      <c r="I920">
        <v>50</v>
      </c>
      <c r="J920">
        <v>35.007110595999997</v>
      </c>
      <c r="K920">
        <v>1200</v>
      </c>
      <c r="L920">
        <v>0</v>
      </c>
      <c r="M920">
        <v>0</v>
      </c>
      <c r="N920">
        <v>1200</v>
      </c>
    </row>
    <row r="921" spans="1:14" x14ac:dyDescent="0.25">
      <c r="A921">
        <v>873.14453800000001</v>
      </c>
      <c r="B921" s="1">
        <f>DATE(2012,9,20) + TIME(3,28,8)</f>
        <v>41172.144537037035</v>
      </c>
      <c r="C921">
        <v>1377.5003661999999</v>
      </c>
      <c r="D921">
        <v>1363.2038574000001</v>
      </c>
      <c r="E921">
        <v>1319.6231689000001</v>
      </c>
      <c r="F921">
        <v>1315.3442382999999</v>
      </c>
      <c r="G921">
        <v>80</v>
      </c>
      <c r="H921">
        <v>79.773376464999998</v>
      </c>
      <c r="I921">
        <v>50</v>
      </c>
      <c r="J921">
        <v>34.786022185999997</v>
      </c>
      <c r="K921">
        <v>1200</v>
      </c>
      <c r="L921">
        <v>0</v>
      </c>
      <c r="M921">
        <v>0</v>
      </c>
      <c r="N921">
        <v>1200</v>
      </c>
    </row>
    <row r="922" spans="1:14" x14ac:dyDescent="0.25">
      <c r="A922">
        <v>875.66004599999997</v>
      </c>
      <c r="B922" s="1">
        <f>DATE(2012,9,22) + TIME(15,50,27)</f>
        <v>41174.660034722219</v>
      </c>
      <c r="C922">
        <v>1377.4353027</v>
      </c>
      <c r="D922">
        <v>1363.1488036999999</v>
      </c>
      <c r="E922">
        <v>1319.5612793</v>
      </c>
      <c r="F922">
        <v>1315.2546387</v>
      </c>
      <c r="G922">
        <v>80</v>
      </c>
      <c r="H922">
        <v>79.773864746000001</v>
      </c>
      <c r="I922">
        <v>50</v>
      </c>
      <c r="J922">
        <v>34.564796448000003</v>
      </c>
      <c r="K922">
        <v>1200</v>
      </c>
      <c r="L922">
        <v>0</v>
      </c>
      <c r="M922">
        <v>0</v>
      </c>
      <c r="N922">
        <v>1200</v>
      </c>
    </row>
    <row r="923" spans="1:14" x14ac:dyDescent="0.25">
      <c r="A923">
        <v>878.200782</v>
      </c>
      <c r="B923" s="1">
        <f>DATE(2012,9,25) + TIME(4,49,7)</f>
        <v>41177.200775462959</v>
      </c>
      <c r="C923">
        <v>1377.3707274999999</v>
      </c>
      <c r="D923">
        <v>1363.0939940999999</v>
      </c>
      <c r="E923">
        <v>1319.4993896000001</v>
      </c>
      <c r="F923">
        <v>1315.1650391000001</v>
      </c>
      <c r="G923">
        <v>80</v>
      </c>
      <c r="H923">
        <v>79.774360657000003</v>
      </c>
      <c r="I923">
        <v>50</v>
      </c>
      <c r="J923">
        <v>34.343490600999999</v>
      </c>
      <c r="K923">
        <v>1200</v>
      </c>
      <c r="L923">
        <v>0</v>
      </c>
      <c r="M923">
        <v>0</v>
      </c>
      <c r="N923">
        <v>1200</v>
      </c>
    </row>
    <row r="924" spans="1:14" x14ac:dyDescent="0.25">
      <c r="A924">
        <v>880.77353200000005</v>
      </c>
      <c r="B924" s="1">
        <f>DATE(2012,9,27) + TIME(18,33,53)</f>
        <v>41179.773530092592</v>
      </c>
      <c r="C924">
        <v>1377.3061522999999</v>
      </c>
      <c r="D924">
        <v>1363.0391846</v>
      </c>
      <c r="E924">
        <v>1319.4377440999999</v>
      </c>
      <c r="F924">
        <v>1315.0753173999999</v>
      </c>
      <c r="G924">
        <v>80</v>
      </c>
      <c r="H924">
        <v>79.774856567</v>
      </c>
      <c r="I924">
        <v>50</v>
      </c>
      <c r="J924">
        <v>34.121929168999998</v>
      </c>
      <c r="K924">
        <v>1200</v>
      </c>
      <c r="L924">
        <v>0</v>
      </c>
      <c r="M924">
        <v>0</v>
      </c>
      <c r="N924">
        <v>1200</v>
      </c>
    </row>
    <row r="925" spans="1:14" x14ac:dyDescent="0.25">
      <c r="A925">
        <v>883.38540699999999</v>
      </c>
      <c r="B925" s="1">
        <f>DATE(2012,9,30) + TIME(9,14,59)</f>
        <v>41182.385405092595</v>
      </c>
      <c r="C925">
        <v>1377.2415771000001</v>
      </c>
      <c r="D925">
        <v>1362.9842529</v>
      </c>
      <c r="E925">
        <v>1319.3760986</v>
      </c>
      <c r="F925">
        <v>1314.9853516000001</v>
      </c>
      <c r="G925">
        <v>80</v>
      </c>
      <c r="H925">
        <v>79.775352478000002</v>
      </c>
      <c r="I925">
        <v>50</v>
      </c>
      <c r="J925">
        <v>33.899818420000003</v>
      </c>
      <c r="K925">
        <v>1200</v>
      </c>
      <c r="L925">
        <v>0</v>
      </c>
      <c r="M925">
        <v>0</v>
      </c>
      <c r="N925">
        <v>1200</v>
      </c>
    </row>
    <row r="926" spans="1:14" x14ac:dyDescent="0.25">
      <c r="A926">
        <v>884</v>
      </c>
      <c r="B926" s="1">
        <f>DATE(2012,10,1) + TIME(0,0,0)</f>
        <v>41183</v>
      </c>
      <c r="C926">
        <v>1377.1767577999999</v>
      </c>
      <c r="D926">
        <v>1362.9289550999999</v>
      </c>
      <c r="E926">
        <v>1319.3151855000001</v>
      </c>
      <c r="F926">
        <v>1314.9088135</v>
      </c>
      <c r="G926">
        <v>80</v>
      </c>
      <c r="H926">
        <v>79.775436400999993</v>
      </c>
      <c r="I926">
        <v>50</v>
      </c>
      <c r="J926">
        <v>33.816459655999999</v>
      </c>
      <c r="K926">
        <v>1200</v>
      </c>
      <c r="L926">
        <v>0</v>
      </c>
      <c r="M926">
        <v>0</v>
      </c>
      <c r="N926">
        <v>1200</v>
      </c>
    </row>
    <row r="927" spans="1:14" x14ac:dyDescent="0.25">
      <c r="A927">
        <v>886.65861399999994</v>
      </c>
      <c r="B927" s="1">
        <f>DATE(2012,10,3) + TIME(15,48,24)</f>
        <v>41185.65861111111</v>
      </c>
      <c r="C927">
        <v>1377.161499</v>
      </c>
      <c r="D927">
        <v>1362.9158935999999</v>
      </c>
      <c r="E927">
        <v>1319.2976074000001</v>
      </c>
      <c r="F927">
        <v>1314.8691406</v>
      </c>
      <c r="G927">
        <v>80</v>
      </c>
      <c r="H927">
        <v>79.775962829999997</v>
      </c>
      <c r="I927">
        <v>50</v>
      </c>
      <c r="J927">
        <v>33.609451294000003</v>
      </c>
      <c r="K927">
        <v>1200</v>
      </c>
      <c r="L927">
        <v>0</v>
      </c>
      <c r="M927">
        <v>0</v>
      </c>
      <c r="N927">
        <v>1200</v>
      </c>
    </row>
    <row r="928" spans="1:14" x14ac:dyDescent="0.25">
      <c r="A928">
        <v>889.36084200000005</v>
      </c>
      <c r="B928" s="1">
        <f>DATE(2012,10,6) + TIME(8,39,36)</f>
        <v>41188.360833333332</v>
      </c>
      <c r="C928">
        <v>1377.0968018000001</v>
      </c>
      <c r="D928">
        <v>1362.8607178</v>
      </c>
      <c r="E928">
        <v>1319.2371826000001</v>
      </c>
      <c r="F928">
        <v>1314.7808838000001</v>
      </c>
      <c r="G928">
        <v>80</v>
      </c>
      <c r="H928">
        <v>79.776473999000004</v>
      </c>
      <c r="I928">
        <v>50</v>
      </c>
      <c r="J928">
        <v>33.393951416</v>
      </c>
      <c r="K928">
        <v>1200</v>
      </c>
      <c r="L928">
        <v>0</v>
      </c>
      <c r="M928">
        <v>0</v>
      </c>
      <c r="N928">
        <v>1200</v>
      </c>
    </row>
    <row r="929" spans="1:14" x14ac:dyDescent="0.25">
      <c r="A929">
        <v>892.09461499999998</v>
      </c>
      <c r="B929" s="1">
        <f>DATE(2012,10,9) + TIME(2,16,14)</f>
        <v>41191.094606481478</v>
      </c>
      <c r="C929">
        <v>1377.0316161999999</v>
      </c>
      <c r="D929">
        <v>1362.8049315999999</v>
      </c>
      <c r="E929">
        <v>1319.1757812000001</v>
      </c>
      <c r="F929">
        <v>1314.6907959</v>
      </c>
      <c r="G929">
        <v>80</v>
      </c>
      <c r="H929">
        <v>79.776985167999996</v>
      </c>
      <c r="I929">
        <v>50</v>
      </c>
      <c r="J929">
        <v>33.174362183</v>
      </c>
      <c r="K929">
        <v>1200</v>
      </c>
      <c r="L929">
        <v>0</v>
      </c>
      <c r="M929">
        <v>0</v>
      </c>
      <c r="N929">
        <v>1200</v>
      </c>
    </row>
    <row r="930" spans="1:14" x14ac:dyDescent="0.25">
      <c r="A930">
        <v>894.86982599999999</v>
      </c>
      <c r="B930" s="1">
        <f>DATE(2012,10,11) + TIME(20,52,32)</f>
        <v>41193.869814814818</v>
      </c>
      <c r="C930">
        <v>1376.9663086</v>
      </c>
      <c r="D930">
        <v>1362.7490233999999</v>
      </c>
      <c r="E930">
        <v>1319.1143798999999</v>
      </c>
      <c r="F930">
        <v>1314.6000977000001</v>
      </c>
      <c r="G930">
        <v>80</v>
      </c>
      <c r="H930">
        <v>79.777496338000006</v>
      </c>
      <c r="I930">
        <v>50</v>
      </c>
      <c r="J930">
        <v>32.952644348</v>
      </c>
      <c r="K930">
        <v>1200</v>
      </c>
      <c r="L930">
        <v>0</v>
      </c>
      <c r="M930">
        <v>0</v>
      </c>
      <c r="N930">
        <v>1200</v>
      </c>
    </row>
    <row r="931" spans="1:14" x14ac:dyDescent="0.25">
      <c r="A931">
        <v>897.67042900000001</v>
      </c>
      <c r="B931" s="1">
        <f>DATE(2012,10,14) + TIME(16,5,25)</f>
        <v>41196.670428240737</v>
      </c>
      <c r="C931">
        <v>1376.9008789</v>
      </c>
      <c r="D931">
        <v>1362.6928711</v>
      </c>
      <c r="E931">
        <v>1319.0529785000001</v>
      </c>
      <c r="F931">
        <v>1314.5089111</v>
      </c>
      <c r="G931">
        <v>80</v>
      </c>
      <c r="H931">
        <v>79.778015136999997</v>
      </c>
      <c r="I931">
        <v>50</v>
      </c>
      <c r="J931">
        <v>32.730525970000002</v>
      </c>
      <c r="K931">
        <v>1200</v>
      </c>
      <c r="L931">
        <v>0</v>
      </c>
      <c r="M931">
        <v>0</v>
      </c>
      <c r="N931">
        <v>1200</v>
      </c>
    </row>
    <row r="932" spans="1:14" x14ac:dyDescent="0.25">
      <c r="A932">
        <v>900.48195799999996</v>
      </c>
      <c r="B932" s="1">
        <f>DATE(2012,10,17) + TIME(11,34,1)</f>
        <v>41199.481956018521</v>
      </c>
      <c r="C932">
        <v>1376.8355713000001</v>
      </c>
      <c r="D932">
        <v>1362.6365966999999</v>
      </c>
      <c r="E932">
        <v>1318.9919434000001</v>
      </c>
      <c r="F932">
        <v>1314.4179687999999</v>
      </c>
      <c r="G932">
        <v>80</v>
      </c>
      <c r="H932">
        <v>79.778518676999994</v>
      </c>
      <c r="I932">
        <v>50</v>
      </c>
      <c r="J932">
        <v>32.509536742999998</v>
      </c>
      <c r="K932">
        <v>1200</v>
      </c>
      <c r="L932">
        <v>0</v>
      </c>
      <c r="M932">
        <v>0</v>
      </c>
      <c r="N932">
        <v>1200</v>
      </c>
    </row>
    <row r="933" spans="1:14" x14ac:dyDescent="0.25">
      <c r="A933">
        <v>903.31507099999999</v>
      </c>
      <c r="B933" s="1">
        <f>DATE(2012,10,20) + TIME(7,33,42)</f>
        <v>41202.315069444441</v>
      </c>
      <c r="C933">
        <v>1376.7706298999999</v>
      </c>
      <c r="D933">
        <v>1362.5806885</v>
      </c>
      <c r="E933">
        <v>1318.9316406</v>
      </c>
      <c r="F933">
        <v>1314.3276367000001</v>
      </c>
      <c r="G933">
        <v>80</v>
      </c>
      <c r="H933">
        <v>79.779029846</v>
      </c>
      <c r="I933">
        <v>50</v>
      </c>
      <c r="J933">
        <v>32.290103911999999</v>
      </c>
      <c r="K933">
        <v>1200</v>
      </c>
      <c r="L933">
        <v>0</v>
      </c>
      <c r="M933">
        <v>0</v>
      </c>
      <c r="N933">
        <v>1200</v>
      </c>
    </row>
    <row r="934" spans="1:14" x14ac:dyDescent="0.25">
      <c r="A934">
        <v>906.18130399999995</v>
      </c>
      <c r="B934" s="1">
        <f>DATE(2012,10,23) + TIME(4,21,4)</f>
        <v>41205.181296296294</v>
      </c>
      <c r="C934">
        <v>1376.7059326000001</v>
      </c>
      <c r="D934">
        <v>1362.5249022999999</v>
      </c>
      <c r="E934">
        <v>1318.8719481999999</v>
      </c>
      <c r="F934">
        <v>1314.2379149999999</v>
      </c>
      <c r="G934">
        <v>80</v>
      </c>
      <c r="H934">
        <v>79.779541015999996</v>
      </c>
      <c r="I934">
        <v>50</v>
      </c>
      <c r="J934">
        <v>32.072071074999997</v>
      </c>
      <c r="K934">
        <v>1200</v>
      </c>
      <c r="L934">
        <v>0</v>
      </c>
      <c r="M934">
        <v>0</v>
      </c>
      <c r="N934">
        <v>1200</v>
      </c>
    </row>
    <row r="935" spans="1:14" x14ac:dyDescent="0.25">
      <c r="A935">
        <v>909.08829800000001</v>
      </c>
      <c r="B935" s="1">
        <f>DATE(2012,10,26) + TIME(2,7,8)</f>
        <v>41208.088287037041</v>
      </c>
      <c r="C935">
        <v>1376.6412353999999</v>
      </c>
      <c r="D935">
        <v>1362.4688721</v>
      </c>
      <c r="E935">
        <v>1318.8127440999999</v>
      </c>
      <c r="F935">
        <v>1314.1485596</v>
      </c>
      <c r="G935">
        <v>80</v>
      </c>
      <c r="H935">
        <v>79.780059813999998</v>
      </c>
      <c r="I935">
        <v>50</v>
      </c>
      <c r="J935">
        <v>31.855190276999998</v>
      </c>
      <c r="K935">
        <v>1200</v>
      </c>
      <c r="L935">
        <v>0</v>
      </c>
      <c r="M935">
        <v>0</v>
      </c>
      <c r="N935">
        <v>1200</v>
      </c>
    </row>
    <row r="936" spans="1:14" x14ac:dyDescent="0.25">
      <c r="A936">
        <v>912.02600099999995</v>
      </c>
      <c r="B936" s="1">
        <f>DATE(2012,10,29) + TIME(0,37,26)</f>
        <v>41211.025995370372</v>
      </c>
      <c r="C936">
        <v>1376.5761719</v>
      </c>
      <c r="D936">
        <v>1362.4125977000001</v>
      </c>
      <c r="E936">
        <v>1318.7540283000001</v>
      </c>
      <c r="F936">
        <v>1314.0594481999999</v>
      </c>
      <c r="G936">
        <v>80</v>
      </c>
      <c r="H936">
        <v>79.780570983999993</v>
      </c>
      <c r="I936">
        <v>50</v>
      </c>
      <c r="J936">
        <v>31.639795303</v>
      </c>
      <c r="K936">
        <v>1200</v>
      </c>
      <c r="L936">
        <v>0</v>
      </c>
      <c r="M936">
        <v>0</v>
      </c>
      <c r="N936">
        <v>1200</v>
      </c>
    </row>
    <row r="937" spans="1:14" x14ac:dyDescent="0.25">
      <c r="A937">
        <v>915</v>
      </c>
      <c r="B937" s="1">
        <f>DATE(2012,11,1) + TIME(0,0,0)</f>
        <v>41214</v>
      </c>
      <c r="C937">
        <v>1376.5112305</v>
      </c>
      <c r="D937">
        <v>1362.3562012</v>
      </c>
      <c r="E937">
        <v>1318.6959228999999</v>
      </c>
      <c r="F937">
        <v>1313.9709473</v>
      </c>
      <c r="G937">
        <v>80</v>
      </c>
      <c r="H937">
        <v>79.781089782999999</v>
      </c>
      <c r="I937">
        <v>50</v>
      </c>
      <c r="J937">
        <v>31.426012039</v>
      </c>
      <c r="K937">
        <v>1200</v>
      </c>
      <c r="L937">
        <v>0</v>
      </c>
      <c r="M937">
        <v>0</v>
      </c>
      <c r="N937">
        <v>1200</v>
      </c>
    </row>
    <row r="938" spans="1:14" x14ac:dyDescent="0.25">
      <c r="A938">
        <v>915.000001</v>
      </c>
      <c r="B938" s="1">
        <f>DATE(2012,11,1) + TIME(0,0,0)</f>
        <v>41214</v>
      </c>
      <c r="C938">
        <v>1362.0673827999999</v>
      </c>
      <c r="D938">
        <v>1349.4909668</v>
      </c>
      <c r="E938">
        <v>1323.7131348</v>
      </c>
      <c r="F938">
        <v>1318.9798584</v>
      </c>
      <c r="G938">
        <v>80</v>
      </c>
      <c r="H938">
        <v>79.781051636000001</v>
      </c>
      <c r="I938">
        <v>50</v>
      </c>
      <c r="J938">
        <v>31.426052093999999</v>
      </c>
      <c r="K938">
        <v>0</v>
      </c>
      <c r="L938">
        <v>1200</v>
      </c>
      <c r="M938">
        <v>1200</v>
      </c>
      <c r="N938">
        <v>0</v>
      </c>
    </row>
    <row r="939" spans="1:14" x14ac:dyDescent="0.25">
      <c r="A939">
        <v>915.00000399999999</v>
      </c>
      <c r="B939" s="1">
        <f>DATE(2012,11,1) + TIME(0,0,0)</f>
        <v>41214</v>
      </c>
      <c r="C939">
        <v>1361.2666016000001</v>
      </c>
      <c r="D939">
        <v>1348.6888428</v>
      </c>
      <c r="E939">
        <v>1324.4986572</v>
      </c>
      <c r="F939">
        <v>1319.7706298999999</v>
      </c>
      <c r="G939">
        <v>80</v>
      </c>
      <c r="H939">
        <v>79.780937195000007</v>
      </c>
      <c r="I939">
        <v>50</v>
      </c>
      <c r="J939">
        <v>31.426162720000001</v>
      </c>
      <c r="K939">
        <v>0</v>
      </c>
      <c r="L939">
        <v>1200</v>
      </c>
      <c r="M939">
        <v>1200</v>
      </c>
      <c r="N939">
        <v>0</v>
      </c>
    </row>
    <row r="940" spans="1:14" x14ac:dyDescent="0.25">
      <c r="A940">
        <v>915.00001299999997</v>
      </c>
      <c r="B940" s="1">
        <f>DATE(2012,11,1) + TIME(0,0,1)</f>
        <v>41214.000011574077</v>
      </c>
      <c r="C940">
        <v>1359.3007812000001</v>
      </c>
      <c r="D940">
        <v>1346.7207031</v>
      </c>
      <c r="E940">
        <v>1326.4355469</v>
      </c>
      <c r="F940">
        <v>1321.7163086</v>
      </c>
      <c r="G940">
        <v>80</v>
      </c>
      <c r="H940">
        <v>79.780654906999999</v>
      </c>
      <c r="I940">
        <v>50</v>
      </c>
      <c r="J940">
        <v>31.426446915</v>
      </c>
      <c r="K940">
        <v>0</v>
      </c>
      <c r="L940">
        <v>1200</v>
      </c>
      <c r="M940">
        <v>1200</v>
      </c>
      <c r="N940">
        <v>0</v>
      </c>
    </row>
    <row r="941" spans="1:14" x14ac:dyDescent="0.25">
      <c r="A941">
        <v>915.00004000000001</v>
      </c>
      <c r="B941" s="1">
        <f>DATE(2012,11,1) + TIME(0,0,3)</f>
        <v>41214.000034722223</v>
      </c>
      <c r="C941">
        <v>1355.4489745999999</v>
      </c>
      <c r="D941">
        <v>1342.8673096</v>
      </c>
      <c r="E941">
        <v>1330.1333007999999</v>
      </c>
      <c r="F941">
        <v>1325.4174805</v>
      </c>
      <c r="G941">
        <v>80</v>
      </c>
      <c r="H941">
        <v>79.780105590999995</v>
      </c>
      <c r="I941">
        <v>50</v>
      </c>
      <c r="J941">
        <v>31.427059174</v>
      </c>
      <c r="K941">
        <v>0</v>
      </c>
      <c r="L941">
        <v>1200</v>
      </c>
      <c r="M941">
        <v>1200</v>
      </c>
      <c r="N941">
        <v>0</v>
      </c>
    </row>
    <row r="942" spans="1:14" x14ac:dyDescent="0.25">
      <c r="A942">
        <v>915.00012100000004</v>
      </c>
      <c r="B942" s="1">
        <f>DATE(2012,11,1) + TIME(0,0,10)</f>
        <v>41214.000115740739</v>
      </c>
      <c r="C942">
        <v>1349.7648925999999</v>
      </c>
      <c r="D942">
        <v>1337.1857910000001</v>
      </c>
      <c r="E942">
        <v>1334.9830322</v>
      </c>
      <c r="F942">
        <v>1330.2711182</v>
      </c>
      <c r="G942">
        <v>80</v>
      </c>
      <c r="H942">
        <v>79.779289246000005</v>
      </c>
      <c r="I942">
        <v>50</v>
      </c>
      <c r="J942">
        <v>31.428190230999999</v>
      </c>
      <c r="K942">
        <v>0</v>
      </c>
      <c r="L942">
        <v>1200</v>
      </c>
      <c r="M942">
        <v>1200</v>
      </c>
      <c r="N942">
        <v>0</v>
      </c>
    </row>
    <row r="943" spans="1:14" x14ac:dyDescent="0.25">
      <c r="A943">
        <v>915.00036399999999</v>
      </c>
      <c r="B943" s="1">
        <f>DATE(2012,11,1) + TIME(0,0,31)</f>
        <v>41214.000358796293</v>
      </c>
      <c r="C943">
        <v>1343.0489502</v>
      </c>
      <c r="D943">
        <v>1330.4868164</v>
      </c>
      <c r="E943">
        <v>1339.6844481999999</v>
      </c>
      <c r="F943">
        <v>1334.9566649999999</v>
      </c>
      <c r="G943">
        <v>80</v>
      </c>
      <c r="H943">
        <v>79.778282165999997</v>
      </c>
      <c r="I943">
        <v>50</v>
      </c>
      <c r="J943">
        <v>31.430427551000001</v>
      </c>
      <c r="K943">
        <v>0</v>
      </c>
      <c r="L943">
        <v>1200</v>
      </c>
      <c r="M943">
        <v>1200</v>
      </c>
      <c r="N943">
        <v>0</v>
      </c>
    </row>
    <row r="944" spans="1:14" x14ac:dyDescent="0.25">
      <c r="A944">
        <v>915.00109299999997</v>
      </c>
      <c r="B944" s="1">
        <f>DATE(2012,11,1) + TIME(0,1,34)</f>
        <v>41214.001087962963</v>
      </c>
      <c r="C944">
        <v>1335.8970947</v>
      </c>
      <c r="D944">
        <v>1323.3325195</v>
      </c>
      <c r="E944">
        <v>1344.0279541</v>
      </c>
      <c r="F944">
        <v>1339.2961425999999</v>
      </c>
      <c r="G944">
        <v>80</v>
      </c>
      <c r="H944">
        <v>79.777099609000004</v>
      </c>
      <c r="I944">
        <v>50</v>
      </c>
      <c r="J944">
        <v>31.436031342</v>
      </c>
      <c r="K944">
        <v>0</v>
      </c>
      <c r="L944">
        <v>1200</v>
      </c>
      <c r="M944">
        <v>1200</v>
      </c>
      <c r="N944">
        <v>0</v>
      </c>
    </row>
    <row r="945" spans="1:14" x14ac:dyDescent="0.25">
      <c r="A945">
        <v>915.00328000000002</v>
      </c>
      <c r="B945" s="1">
        <f>DATE(2012,11,1) + TIME(0,4,43)</f>
        <v>41214.003275462965</v>
      </c>
      <c r="C945">
        <v>1328.3635254000001</v>
      </c>
      <c r="D945">
        <v>1315.7045897999999</v>
      </c>
      <c r="E945">
        <v>1348.1685791</v>
      </c>
      <c r="F945">
        <v>1343.4208983999999</v>
      </c>
      <c r="G945">
        <v>80</v>
      </c>
      <c r="H945">
        <v>79.775489807</v>
      </c>
      <c r="I945">
        <v>50</v>
      </c>
      <c r="J945">
        <v>31.451868056999999</v>
      </c>
      <c r="K945">
        <v>0</v>
      </c>
      <c r="L945">
        <v>1200</v>
      </c>
      <c r="M945">
        <v>1200</v>
      </c>
      <c r="N945">
        <v>0</v>
      </c>
    </row>
    <row r="946" spans="1:14" x14ac:dyDescent="0.25">
      <c r="A946">
        <v>915.00984100000005</v>
      </c>
      <c r="B946" s="1">
        <f>DATE(2012,11,1) + TIME(0,14,10)</f>
        <v>41214.009837962964</v>
      </c>
      <c r="C946">
        <v>1320.635376</v>
      </c>
      <c r="D946">
        <v>1307.8208007999999</v>
      </c>
      <c r="E946">
        <v>1350.9704589999999</v>
      </c>
      <c r="F946">
        <v>1346.1892089999999</v>
      </c>
      <c r="G946">
        <v>80</v>
      </c>
      <c r="H946">
        <v>79.772766113000003</v>
      </c>
      <c r="I946">
        <v>50</v>
      </c>
      <c r="J946">
        <v>31.498529434000002</v>
      </c>
      <c r="K946">
        <v>0</v>
      </c>
      <c r="L946">
        <v>1200</v>
      </c>
      <c r="M946">
        <v>1200</v>
      </c>
      <c r="N946">
        <v>0</v>
      </c>
    </row>
    <row r="947" spans="1:14" x14ac:dyDescent="0.25">
      <c r="A947">
        <v>915.02952400000004</v>
      </c>
      <c r="B947" s="1">
        <f>DATE(2012,11,1) + TIME(0,42,30)</f>
        <v>41214.029513888891</v>
      </c>
      <c r="C947">
        <v>1313.9864502</v>
      </c>
      <c r="D947">
        <v>1301.0812988</v>
      </c>
      <c r="E947">
        <v>1351.0040283000001</v>
      </c>
      <c r="F947">
        <v>1346.2080077999999</v>
      </c>
      <c r="G947">
        <v>80</v>
      </c>
      <c r="H947">
        <v>79.766914368000002</v>
      </c>
      <c r="I947">
        <v>50</v>
      </c>
      <c r="J947">
        <v>31.637338637999999</v>
      </c>
      <c r="K947">
        <v>0</v>
      </c>
      <c r="L947">
        <v>1200</v>
      </c>
      <c r="M947">
        <v>1200</v>
      </c>
      <c r="N947">
        <v>0</v>
      </c>
    </row>
    <row r="948" spans="1:14" x14ac:dyDescent="0.25">
      <c r="A948">
        <v>915.088573</v>
      </c>
      <c r="B948" s="1">
        <f>DATE(2012,11,1) + TIME(2,7,32)</f>
        <v>41214.088564814818</v>
      </c>
      <c r="C948">
        <v>1309.4949951000001</v>
      </c>
      <c r="D948">
        <v>1296.5595702999999</v>
      </c>
      <c r="E948">
        <v>1349.1265868999999</v>
      </c>
      <c r="F948">
        <v>1344.3591309000001</v>
      </c>
      <c r="G948">
        <v>80</v>
      </c>
      <c r="H948">
        <v>79.751747131000002</v>
      </c>
      <c r="I948">
        <v>50</v>
      </c>
      <c r="J948">
        <v>32.045253754000001</v>
      </c>
      <c r="K948">
        <v>0</v>
      </c>
      <c r="L948">
        <v>1200</v>
      </c>
      <c r="M948">
        <v>1200</v>
      </c>
      <c r="N948">
        <v>0</v>
      </c>
    </row>
    <row r="949" spans="1:14" x14ac:dyDescent="0.25">
      <c r="A949">
        <v>915.21840099999997</v>
      </c>
      <c r="B949" s="1">
        <f>DATE(2012,11,1) + TIME(5,14,29)</f>
        <v>41214.218391203707</v>
      </c>
      <c r="C949">
        <v>1307.1757812000001</v>
      </c>
      <c r="D949">
        <v>1294.2318115</v>
      </c>
      <c r="E949">
        <v>1347.3493652</v>
      </c>
      <c r="F949">
        <v>1342.6533202999999</v>
      </c>
      <c r="G949">
        <v>80</v>
      </c>
      <c r="H949">
        <v>79.720420837000006</v>
      </c>
      <c r="I949">
        <v>50</v>
      </c>
      <c r="J949">
        <v>32.901493072999997</v>
      </c>
      <c r="K949">
        <v>0</v>
      </c>
      <c r="L949">
        <v>1200</v>
      </c>
      <c r="M949">
        <v>1200</v>
      </c>
      <c r="N949">
        <v>0</v>
      </c>
    </row>
    <row r="950" spans="1:14" x14ac:dyDescent="0.25">
      <c r="A950">
        <v>915.35360200000002</v>
      </c>
      <c r="B950" s="1">
        <f>DATE(2012,11,1) + TIME(8,29,11)</f>
        <v>41214.35359953704</v>
      </c>
      <c r="C950">
        <v>1306.3288574000001</v>
      </c>
      <c r="D950">
        <v>1293.3819579999999</v>
      </c>
      <c r="E950">
        <v>1346.5433350000001</v>
      </c>
      <c r="F950">
        <v>1341.9080810999999</v>
      </c>
      <c r="G950">
        <v>80</v>
      </c>
      <c r="H950">
        <v>79.688331603999998</v>
      </c>
      <c r="I950">
        <v>50</v>
      </c>
      <c r="J950">
        <v>33.752525329999997</v>
      </c>
      <c r="K950">
        <v>0</v>
      </c>
      <c r="L950">
        <v>1200</v>
      </c>
      <c r="M950">
        <v>1200</v>
      </c>
      <c r="N950">
        <v>0</v>
      </c>
    </row>
    <row r="951" spans="1:14" x14ac:dyDescent="0.25">
      <c r="A951">
        <v>915.494868</v>
      </c>
      <c r="B951" s="1">
        <f>DATE(2012,11,1) + TIME(11,52,36)</f>
        <v>41214.49486111111</v>
      </c>
      <c r="C951">
        <v>1305.9713135</v>
      </c>
      <c r="D951">
        <v>1293.0223389</v>
      </c>
      <c r="E951">
        <v>1346.1336670000001</v>
      </c>
      <c r="F951">
        <v>1341.5566406</v>
      </c>
      <c r="G951">
        <v>80</v>
      </c>
      <c r="H951">
        <v>79.655212402000004</v>
      </c>
      <c r="I951">
        <v>50</v>
      </c>
      <c r="J951">
        <v>34.599025726000001</v>
      </c>
      <c r="K951">
        <v>0</v>
      </c>
      <c r="L951">
        <v>1200</v>
      </c>
      <c r="M951">
        <v>1200</v>
      </c>
      <c r="N951">
        <v>0</v>
      </c>
    </row>
    <row r="952" spans="1:14" x14ac:dyDescent="0.25">
      <c r="A952">
        <v>915.64279599999998</v>
      </c>
      <c r="B952" s="1">
        <f>DATE(2012,11,1) + TIME(15,25,37)</f>
        <v>41214.642789351848</v>
      </c>
      <c r="C952">
        <v>1305.8151855000001</v>
      </c>
      <c r="D952">
        <v>1292.8642577999999</v>
      </c>
      <c r="E952">
        <v>1345.9014893000001</v>
      </c>
      <c r="F952">
        <v>1341.380249</v>
      </c>
      <c r="G952">
        <v>80</v>
      </c>
      <c r="H952">
        <v>79.620925903</v>
      </c>
      <c r="I952">
        <v>50</v>
      </c>
      <c r="J952">
        <v>35.440551757999998</v>
      </c>
      <c r="K952">
        <v>0</v>
      </c>
      <c r="L952">
        <v>1200</v>
      </c>
      <c r="M952">
        <v>1200</v>
      </c>
      <c r="N952">
        <v>0</v>
      </c>
    </row>
    <row r="953" spans="1:14" x14ac:dyDescent="0.25">
      <c r="A953">
        <v>915.79805999999996</v>
      </c>
      <c r="B953" s="1">
        <f>DATE(2012,11,1) + TIME(19,9,12)</f>
        <v>41214.798055555555</v>
      </c>
      <c r="C953">
        <v>1305.7464600000001</v>
      </c>
      <c r="D953">
        <v>1292.7937012</v>
      </c>
      <c r="E953">
        <v>1345.7510986</v>
      </c>
      <c r="F953">
        <v>1341.2830810999999</v>
      </c>
      <c r="G953">
        <v>80</v>
      </c>
      <c r="H953">
        <v>79.585342406999999</v>
      </c>
      <c r="I953">
        <v>50</v>
      </c>
      <c r="J953">
        <v>36.276542663999997</v>
      </c>
      <c r="K953">
        <v>0</v>
      </c>
      <c r="L953">
        <v>1200</v>
      </c>
      <c r="M953">
        <v>1200</v>
      </c>
      <c r="N953">
        <v>0</v>
      </c>
    </row>
    <row r="954" spans="1:14" x14ac:dyDescent="0.25">
      <c r="A954">
        <v>915.96141</v>
      </c>
      <c r="B954" s="1">
        <f>DATE(2012,11,1) + TIME(23,4,25)</f>
        <v>41214.961400462962</v>
      </c>
      <c r="C954">
        <v>1305.7155762</v>
      </c>
      <c r="D954">
        <v>1292.7608643000001</v>
      </c>
      <c r="E954">
        <v>1345.6390381000001</v>
      </c>
      <c r="F954">
        <v>1341.2220459</v>
      </c>
      <c r="G954">
        <v>80</v>
      </c>
      <c r="H954">
        <v>79.548324585000003</v>
      </c>
      <c r="I954">
        <v>50</v>
      </c>
      <c r="J954">
        <v>37.106239318999997</v>
      </c>
      <c r="K954">
        <v>0</v>
      </c>
      <c r="L954">
        <v>1200</v>
      </c>
      <c r="M954">
        <v>1200</v>
      </c>
      <c r="N954">
        <v>0</v>
      </c>
    </row>
    <row r="955" spans="1:14" x14ac:dyDescent="0.25">
      <c r="A955">
        <v>916.13377100000002</v>
      </c>
      <c r="B955" s="1">
        <f>DATE(2012,11,2) + TIME(3,12,37)</f>
        <v>41215.133761574078</v>
      </c>
      <c r="C955">
        <v>1305.7006836</v>
      </c>
      <c r="D955">
        <v>1292.7437743999999</v>
      </c>
      <c r="E955">
        <v>1345.5458983999999</v>
      </c>
      <c r="F955">
        <v>1341.1776123</v>
      </c>
      <c r="G955">
        <v>80</v>
      </c>
      <c r="H955">
        <v>79.509719849000007</v>
      </c>
      <c r="I955">
        <v>50</v>
      </c>
      <c r="J955">
        <v>37.929035186999997</v>
      </c>
      <c r="K955">
        <v>0</v>
      </c>
      <c r="L955">
        <v>1200</v>
      </c>
      <c r="M955">
        <v>1200</v>
      </c>
      <c r="N955">
        <v>0</v>
      </c>
    </row>
    <row r="956" spans="1:14" x14ac:dyDescent="0.25">
      <c r="A956">
        <v>916.31618400000002</v>
      </c>
      <c r="B956" s="1">
        <f>DATE(2012,11,2) + TIME(7,35,18)</f>
        <v>41215.316180555557</v>
      </c>
      <c r="C956">
        <v>1305.6920166</v>
      </c>
      <c r="D956">
        <v>1292.7330322</v>
      </c>
      <c r="E956">
        <v>1345.4631348</v>
      </c>
      <c r="F956">
        <v>1341.1414795000001</v>
      </c>
      <c r="G956">
        <v>80</v>
      </c>
      <c r="H956">
        <v>79.469352721999996</v>
      </c>
      <c r="I956">
        <v>50</v>
      </c>
      <c r="J956">
        <v>38.744049072000003</v>
      </c>
      <c r="K956">
        <v>0</v>
      </c>
      <c r="L956">
        <v>1200</v>
      </c>
      <c r="M956">
        <v>1200</v>
      </c>
      <c r="N956">
        <v>0</v>
      </c>
    </row>
    <row r="957" spans="1:14" x14ac:dyDescent="0.25">
      <c r="A957">
        <v>916.50987299999997</v>
      </c>
      <c r="B957" s="1">
        <f>DATE(2012,11,2) + TIME(12,14,13)</f>
        <v>41215.509872685187</v>
      </c>
      <c r="C957">
        <v>1305.6855469</v>
      </c>
      <c r="D957">
        <v>1292.7244873</v>
      </c>
      <c r="E957">
        <v>1345.3869629000001</v>
      </c>
      <c r="F957">
        <v>1341.1096190999999</v>
      </c>
      <c r="G957">
        <v>80</v>
      </c>
      <c r="H957">
        <v>79.427024841000005</v>
      </c>
      <c r="I957">
        <v>50</v>
      </c>
      <c r="J957">
        <v>39.550258636000002</v>
      </c>
      <c r="K957">
        <v>0</v>
      </c>
      <c r="L957">
        <v>1200</v>
      </c>
      <c r="M957">
        <v>1200</v>
      </c>
      <c r="N957">
        <v>0</v>
      </c>
    </row>
    <row r="958" spans="1:14" x14ac:dyDescent="0.25">
      <c r="A958">
        <v>916.71628099999998</v>
      </c>
      <c r="B958" s="1">
        <f>DATE(2012,11,2) + TIME(17,11,26)</f>
        <v>41215.716273148151</v>
      </c>
      <c r="C958">
        <v>1305.6798096</v>
      </c>
      <c r="D958">
        <v>1292.7164307</v>
      </c>
      <c r="E958">
        <v>1345.3156738</v>
      </c>
      <c r="F958">
        <v>1341.0806885</v>
      </c>
      <c r="G958">
        <v>80</v>
      </c>
      <c r="H958">
        <v>79.382492064999994</v>
      </c>
      <c r="I958">
        <v>50</v>
      </c>
      <c r="J958">
        <v>40.346565247000001</v>
      </c>
      <c r="K958">
        <v>0</v>
      </c>
      <c r="L958">
        <v>1200</v>
      </c>
      <c r="M958">
        <v>1200</v>
      </c>
      <c r="N958">
        <v>0</v>
      </c>
    </row>
    <row r="959" spans="1:14" x14ac:dyDescent="0.25">
      <c r="A959">
        <v>916.93713200000002</v>
      </c>
      <c r="B959" s="1">
        <f>DATE(2012,11,2) + TIME(22,29,28)</f>
        <v>41215.93712962963</v>
      </c>
      <c r="C959">
        <v>1305.6738281</v>
      </c>
      <c r="D959">
        <v>1292.7081298999999</v>
      </c>
      <c r="E959">
        <v>1345.2484131000001</v>
      </c>
      <c r="F959">
        <v>1341.0537108999999</v>
      </c>
      <c r="G959">
        <v>80</v>
      </c>
      <c r="H959">
        <v>79.335487365999995</v>
      </c>
      <c r="I959">
        <v>50</v>
      </c>
      <c r="J959">
        <v>41.131633759000003</v>
      </c>
      <c r="K959">
        <v>0</v>
      </c>
      <c r="L959">
        <v>1200</v>
      </c>
      <c r="M959">
        <v>1200</v>
      </c>
      <c r="N959">
        <v>0</v>
      </c>
    </row>
    <row r="960" spans="1:14" x14ac:dyDescent="0.25">
      <c r="A960">
        <v>917.17450599999995</v>
      </c>
      <c r="B960" s="1">
        <f>DATE(2012,11,3) + TIME(4,11,17)</f>
        <v>41216.174502314818</v>
      </c>
      <c r="C960">
        <v>1305.6676024999999</v>
      </c>
      <c r="D960">
        <v>1292.6993408000001</v>
      </c>
      <c r="E960">
        <v>1345.1846923999999</v>
      </c>
      <c r="F960">
        <v>1341.0283202999999</v>
      </c>
      <c r="G960">
        <v>80</v>
      </c>
      <c r="H960">
        <v>79.285682678000001</v>
      </c>
      <c r="I960">
        <v>50</v>
      </c>
      <c r="J960">
        <v>41.903800963999998</v>
      </c>
      <c r="K960">
        <v>0</v>
      </c>
      <c r="L960">
        <v>1200</v>
      </c>
      <c r="M960">
        <v>1200</v>
      </c>
      <c r="N960">
        <v>0</v>
      </c>
    </row>
    <row r="961" spans="1:14" x14ac:dyDescent="0.25">
      <c r="A961">
        <v>917.43093799999997</v>
      </c>
      <c r="B961" s="1">
        <f>DATE(2012,11,3) + TIME(10,20,33)</f>
        <v>41216.430937500001</v>
      </c>
      <c r="C961">
        <v>1305.6607666</v>
      </c>
      <c r="D961">
        <v>1292.6898193</v>
      </c>
      <c r="E961">
        <v>1345.1241454999999</v>
      </c>
      <c r="F961">
        <v>1341.0041504000001</v>
      </c>
      <c r="G961">
        <v>80</v>
      </c>
      <c r="H961">
        <v>79.232688904</v>
      </c>
      <c r="I961">
        <v>50</v>
      </c>
      <c r="J961">
        <v>42.661258697999997</v>
      </c>
      <c r="K961">
        <v>0</v>
      </c>
      <c r="L961">
        <v>1200</v>
      </c>
      <c r="M961">
        <v>1200</v>
      </c>
      <c r="N961">
        <v>0</v>
      </c>
    </row>
    <row r="962" spans="1:14" x14ac:dyDescent="0.25">
      <c r="A962">
        <v>917.709564</v>
      </c>
      <c r="B962" s="1">
        <f>DATE(2012,11,3) + TIME(17,1,46)</f>
        <v>41216.709560185183</v>
      </c>
      <c r="C962">
        <v>1305.6533202999999</v>
      </c>
      <c r="D962">
        <v>1292.6794434000001</v>
      </c>
      <c r="E962">
        <v>1345.0665283000001</v>
      </c>
      <c r="F962">
        <v>1340.980957</v>
      </c>
      <c r="G962">
        <v>80</v>
      </c>
      <c r="H962">
        <v>79.176017760999997</v>
      </c>
      <c r="I962">
        <v>50</v>
      </c>
      <c r="J962">
        <v>43.401939392000003</v>
      </c>
      <c r="K962">
        <v>0</v>
      </c>
      <c r="L962">
        <v>1200</v>
      </c>
      <c r="M962">
        <v>1200</v>
      </c>
      <c r="N962">
        <v>0</v>
      </c>
    </row>
    <row r="963" spans="1:14" x14ac:dyDescent="0.25">
      <c r="A963">
        <v>918.014319</v>
      </c>
      <c r="B963" s="1">
        <f>DATE(2012,11,4) + TIME(0,20,37)</f>
        <v>41217.014317129629</v>
      </c>
      <c r="C963">
        <v>1305.6450195</v>
      </c>
      <c r="D963">
        <v>1292.6680908000001</v>
      </c>
      <c r="E963">
        <v>1345.0114745999999</v>
      </c>
      <c r="F963">
        <v>1340.958374</v>
      </c>
      <c r="G963">
        <v>80</v>
      </c>
      <c r="H963">
        <v>79.115089416999993</v>
      </c>
      <c r="I963">
        <v>50</v>
      </c>
      <c r="J963">
        <v>44.123462676999999</v>
      </c>
      <c r="K963">
        <v>0</v>
      </c>
      <c r="L963">
        <v>1200</v>
      </c>
      <c r="M963">
        <v>1200</v>
      </c>
      <c r="N963">
        <v>0</v>
      </c>
    </row>
    <row r="964" spans="1:14" x14ac:dyDescent="0.25">
      <c r="A964">
        <v>918.35018700000001</v>
      </c>
      <c r="B964" s="1">
        <f>DATE(2012,11,4) + TIME(8,24,16)</f>
        <v>41217.350185185183</v>
      </c>
      <c r="C964">
        <v>1305.6359863</v>
      </c>
      <c r="D964">
        <v>1292.6556396000001</v>
      </c>
      <c r="E964">
        <v>1344.9586182</v>
      </c>
      <c r="F964">
        <v>1340.9360352000001</v>
      </c>
      <c r="G964">
        <v>80</v>
      </c>
      <c r="H964">
        <v>79.049171447999996</v>
      </c>
      <c r="I964">
        <v>50</v>
      </c>
      <c r="J964">
        <v>44.823036193999997</v>
      </c>
      <c r="K964">
        <v>0</v>
      </c>
      <c r="L964">
        <v>1200</v>
      </c>
      <c r="M964">
        <v>1200</v>
      </c>
      <c r="N964">
        <v>0</v>
      </c>
    </row>
    <row r="965" spans="1:14" x14ac:dyDescent="0.25">
      <c r="A965">
        <v>918.72368500000005</v>
      </c>
      <c r="B965" s="1">
        <f>DATE(2012,11,4) + TIME(17,22,6)</f>
        <v>41217.723680555559</v>
      </c>
      <c r="C965">
        <v>1305.6257324000001</v>
      </c>
      <c r="D965">
        <v>1292.6418457</v>
      </c>
      <c r="E965">
        <v>1344.9077147999999</v>
      </c>
      <c r="F965">
        <v>1340.9135742000001</v>
      </c>
      <c r="G965">
        <v>80</v>
      </c>
      <c r="H965">
        <v>78.977317810000002</v>
      </c>
      <c r="I965">
        <v>50</v>
      </c>
      <c r="J965">
        <v>45.497501372999999</v>
      </c>
      <c r="K965">
        <v>0</v>
      </c>
      <c r="L965">
        <v>1200</v>
      </c>
      <c r="M965">
        <v>1200</v>
      </c>
      <c r="N965">
        <v>0</v>
      </c>
    </row>
    <row r="966" spans="1:14" x14ac:dyDescent="0.25">
      <c r="A966">
        <v>919.14355799999998</v>
      </c>
      <c r="B966" s="1">
        <f>DATE(2012,11,5) + TIME(3,26,43)</f>
        <v>41218.143553240741</v>
      </c>
      <c r="C966">
        <v>1305.6143798999999</v>
      </c>
      <c r="D966">
        <v>1292.6264647999999</v>
      </c>
      <c r="E966">
        <v>1344.8582764</v>
      </c>
      <c r="F966">
        <v>1340.8907471</v>
      </c>
      <c r="G966">
        <v>80</v>
      </c>
      <c r="H966">
        <v>78.898330688000001</v>
      </c>
      <c r="I966">
        <v>50</v>
      </c>
      <c r="J966">
        <v>46.143329620000003</v>
      </c>
      <c r="K966">
        <v>0</v>
      </c>
      <c r="L966">
        <v>1200</v>
      </c>
      <c r="M966">
        <v>1200</v>
      </c>
      <c r="N966">
        <v>0</v>
      </c>
    </row>
    <row r="967" spans="1:14" x14ac:dyDescent="0.25">
      <c r="A967">
        <v>919.62173299999995</v>
      </c>
      <c r="B967" s="1">
        <f>DATE(2012,11,5) + TIME(14,55,17)</f>
        <v>41218.621724537035</v>
      </c>
      <c r="C967">
        <v>1305.6014404</v>
      </c>
      <c r="D967">
        <v>1292.6091309000001</v>
      </c>
      <c r="E967">
        <v>1344.8099365</v>
      </c>
      <c r="F967">
        <v>1340.8668213000001</v>
      </c>
      <c r="G967">
        <v>80</v>
      </c>
      <c r="H967">
        <v>78.810577393000003</v>
      </c>
      <c r="I967">
        <v>50</v>
      </c>
      <c r="J967">
        <v>46.756355286000002</v>
      </c>
      <c r="K967">
        <v>0</v>
      </c>
      <c r="L967">
        <v>1200</v>
      </c>
      <c r="M967">
        <v>1200</v>
      </c>
      <c r="N967">
        <v>0</v>
      </c>
    </row>
    <row r="968" spans="1:14" x14ac:dyDescent="0.25">
      <c r="A968">
        <v>920.17508899999996</v>
      </c>
      <c r="B968" s="1">
        <f>DATE(2012,11,6) + TIME(4,12,7)</f>
        <v>41219.175081018519</v>
      </c>
      <c r="C968">
        <v>1305.5866699000001</v>
      </c>
      <c r="D968">
        <v>1292.5893555</v>
      </c>
      <c r="E968">
        <v>1344.7619629000001</v>
      </c>
      <c r="F968">
        <v>1340.8411865</v>
      </c>
      <c r="G968">
        <v>80</v>
      </c>
      <c r="H968">
        <v>78.711868285999998</v>
      </c>
      <c r="I968">
        <v>50</v>
      </c>
      <c r="J968">
        <v>47.331764221</v>
      </c>
      <c r="K968">
        <v>0</v>
      </c>
      <c r="L968">
        <v>1200</v>
      </c>
      <c r="M968">
        <v>1200</v>
      </c>
      <c r="N968">
        <v>0</v>
      </c>
    </row>
    <row r="969" spans="1:14" x14ac:dyDescent="0.25">
      <c r="A969">
        <v>920.82848899999999</v>
      </c>
      <c r="B969" s="1">
        <f>DATE(2012,11,6) + TIME(19,53,1)</f>
        <v>41219.828483796293</v>
      </c>
      <c r="C969">
        <v>1305.5693358999999</v>
      </c>
      <c r="D969">
        <v>1292.5665283000001</v>
      </c>
      <c r="E969">
        <v>1344.7138672000001</v>
      </c>
      <c r="F969">
        <v>1340.8132324000001</v>
      </c>
      <c r="G969">
        <v>80</v>
      </c>
      <c r="H969">
        <v>78.599128723000007</v>
      </c>
      <c r="I969">
        <v>50</v>
      </c>
      <c r="J969">
        <v>47.863983154000003</v>
      </c>
      <c r="K969">
        <v>0</v>
      </c>
      <c r="L969">
        <v>1200</v>
      </c>
      <c r="M969">
        <v>1200</v>
      </c>
      <c r="N969">
        <v>0</v>
      </c>
    </row>
    <row r="970" spans="1:14" x14ac:dyDescent="0.25">
      <c r="A970">
        <v>921.57163400000002</v>
      </c>
      <c r="B970" s="1">
        <f>DATE(2012,11,7) + TIME(13,43,9)</f>
        <v>41220.571631944447</v>
      </c>
      <c r="C970">
        <v>1305.5484618999999</v>
      </c>
      <c r="D970">
        <v>1292.5394286999999</v>
      </c>
      <c r="E970">
        <v>1344.6678466999999</v>
      </c>
      <c r="F970">
        <v>1340.7835693</v>
      </c>
      <c r="G970">
        <v>80</v>
      </c>
      <c r="H970">
        <v>78.474136353000006</v>
      </c>
      <c r="I970">
        <v>50</v>
      </c>
      <c r="J970">
        <v>48.324077606000003</v>
      </c>
      <c r="K970">
        <v>0</v>
      </c>
      <c r="L970">
        <v>1200</v>
      </c>
      <c r="M970">
        <v>1200</v>
      </c>
      <c r="N970">
        <v>0</v>
      </c>
    </row>
    <row r="971" spans="1:14" x14ac:dyDescent="0.25">
      <c r="A971">
        <v>922.34192399999995</v>
      </c>
      <c r="B971" s="1">
        <f>DATE(2012,11,8) + TIME(8,12,22)</f>
        <v>41221.341921296298</v>
      </c>
      <c r="C971">
        <v>1305.5238036999999</v>
      </c>
      <c r="D971">
        <v>1292.5089111</v>
      </c>
      <c r="E971">
        <v>1344.6260986</v>
      </c>
      <c r="F971">
        <v>1340.7532959</v>
      </c>
      <c r="G971">
        <v>80</v>
      </c>
      <c r="H971">
        <v>78.345115661999998</v>
      </c>
      <c r="I971">
        <v>50</v>
      </c>
      <c r="J971">
        <v>48.683307648000003</v>
      </c>
      <c r="K971">
        <v>0</v>
      </c>
      <c r="L971">
        <v>1200</v>
      </c>
      <c r="M971">
        <v>1200</v>
      </c>
      <c r="N971">
        <v>0</v>
      </c>
    </row>
    <row r="972" spans="1:14" x14ac:dyDescent="0.25">
      <c r="A972">
        <v>923.15591800000004</v>
      </c>
      <c r="B972" s="1">
        <f>DATE(2012,11,9) + TIME(3,44,31)</f>
        <v>41222.155914351853</v>
      </c>
      <c r="C972">
        <v>1305.4982910000001</v>
      </c>
      <c r="D972">
        <v>1292.4766846</v>
      </c>
      <c r="E972">
        <v>1344.5856934000001</v>
      </c>
      <c r="F972">
        <v>1340.7220459</v>
      </c>
      <c r="G972">
        <v>80</v>
      </c>
      <c r="H972">
        <v>78.210380553999997</v>
      </c>
      <c r="I972">
        <v>50</v>
      </c>
      <c r="J972">
        <v>48.965305327999999</v>
      </c>
      <c r="K972">
        <v>0</v>
      </c>
      <c r="L972">
        <v>1200</v>
      </c>
      <c r="M972">
        <v>1200</v>
      </c>
      <c r="N972">
        <v>0</v>
      </c>
    </row>
    <row r="973" spans="1:14" x14ac:dyDescent="0.25">
      <c r="A973">
        <v>924.01104599999996</v>
      </c>
      <c r="B973" s="1">
        <f>DATE(2012,11,10) + TIME(0,15,54)</f>
        <v>41223.011041666665</v>
      </c>
      <c r="C973">
        <v>1305.4708252</v>
      </c>
      <c r="D973">
        <v>1292.4425048999999</v>
      </c>
      <c r="E973">
        <v>1344.5463867000001</v>
      </c>
      <c r="F973">
        <v>1340.6898193</v>
      </c>
      <c r="G973">
        <v>80</v>
      </c>
      <c r="H973">
        <v>78.070541382000002</v>
      </c>
      <c r="I973">
        <v>50</v>
      </c>
      <c r="J973">
        <v>49.182750702</v>
      </c>
      <c r="K973">
        <v>0</v>
      </c>
      <c r="L973">
        <v>1200</v>
      </c>
      <c r="M973">
        <v>1200</v>
      </c>
      <c r="N973">
        <v>0</v>
      </c>
    </row>
    <row r="974" spans="1:14" x14ac:dyDescent="0.25">
      <c r="A974">
        <v>924.90452400000004</v>
      </c>
      <c r="B974" s="1">
        <f>DATE(2012,11,10) + TIME(21,42,30)</f>
        <v>41223.904513888891</v>
      </c>
      <c r="C974">
        <v>1305.4416504000001</v>
      </c>
      <c r="D974">
        <v>1292.4061279</v>
      </c>
      <c r="E974">
        <v>1344.5080565999999</v>
      </c>
      <c r="F974">
        <v>1340.6569824000001</v>
      </c>
      <c r="G974">
        <v>80</v>
      </c>
      <c r="H974">
        <v>77.926269531000003</v>
      </c>
      <c r="I974">
        <v>50</v>
      </c>
      <c r="J974">
        <v>49.347846984999997</v>
      </c>
      <c r="K974">
        <v>0</v>
      </c>
      <c r="L974">
        <v>1200</v>
      </c>
      <c r="M974">
        <v>1200</v>
      </c>
      <c r="N974">
        <v>0</v>
      </c>
    </row>
    <row r="975" spans="1:14" x14ac:dyDescent="0.25">
      <c r="A975">
        <v>925.84600999999998</v>
      </c>
      <c r="B975" s="1">
        <f>DATE(2012,11,11) + TIME(20,18,15)</f>
        <v>41224.846006944441</v>
      </c>
      <c r="C975">
        <v>1305.4110106999999</v>
      </c>
      <c r="D975">
        <v>1292.3676757999999</v>
      </c>
      <c r="E975">
        <v>1344.4703368999999</v>
      </c>
      <c r="F975">
        <v>1340.6236572</v>
      </c>
      <c r="G975">
        <v>80</v>
      </c>
      <c r="H975">
        <v>77.776748656999999</v>
      </c>
      <c r="I975">
        <v>50</v>
      </c>
      <c r="J975">
        <v>49.472808837999999</v>
      </c>
      <c r="K975">
        <v>0</v>
      </c>
      <c r="L975">
        <v>1200</v>
      </c>
      <c r="M975">
        <v>1200</v>
      </c>
      <c r="N975">
        <v>0</v>
      </c>
    </row>
    <row r="976" spans="1:14" x14ac:dyDescent="0.25">
      <c r="A976">
        <v>926.84553500000004</v>
      </c>
      <c r="B976" s="1">
        <f>DATE(2012,11,12) + TIME(20,17,34)</f>
        <v>41225.845532407409</v>
      </c>
      <c r="C976">
        <v>1305.3781738</v>
      </c>
      <c r="D976">
        <v>1292.3266602000001</v>
      </c>
      <c r="E976">
        <v>1344.4329834</v>
      </c>
      <c r="F976">
        <v>1340.5899658000001</v>
      </c>
      <c r="G976">
        <v>80</v>
      </c>
      <c r="H976">
        <v>77.621124268000003</v>
      </c>
      <c r="I976">
        <v>50</v>
      </c>
      <c r="J976">
        <v>49.566913605000003</v>
      </c>
      <c r="K976">
        <v>0</v>
      </c>
      <c r="L976">
        <v>1200</v>
      </c>
      <c r="M976">
        <v>1200</v>
      </c>
      <c r="N976">
        <v>0</v>
      </c>
    </row>
    <row r="977" spans="1:14" x14ac:dyDescent="0.25">
      <c r="A977">
        <v>927.915077</v>
      </c>
      <c r="B977" s="1">
        <f>DATE(2012,11,13) + TIME(21,57,42)</f>
        <v>41226.915069444447</v>
      </c>
      <c r="C977">
        <v>1305.3431396000001</v>
      </c>
      <c r="D977">
        <v>1292.2825928</v>
      </c>
      <c r="E977">
        <v>1344.3956298999999</v>
      </c>
      <c r="F977">
        <v>1340.5556641000001</v>
      </c>
      <c r="G977">
        <v>80</v>
      </c>
      <c r="H977">
        <v>77.458328246999997</v>
      </c>
      <c r="I977">
        <v>50</v>
      </c>
      <c r="J977">
        <v>49.637382506999998</v>
      </c>
      <c r="K977">
        <v>0</v>
      </c>
      <c r="L977">
        <v>1200</v>
      </c>
      <c r="M977">
        <v>1200</v>
      </c>
      <c r="N977">
        <v>0</v>
      </c>
    </row>
    <row r="978" spans="1:14" x14ac:dyDescent="0.25">
      <c r="A978">
        <v>929.06925899999999</v>
      </c>
      <c r="B978" s="1">
        <f>DATE(2012,11,15) + TIME(1,39,43)</f>
        <v>41228.069247685184</v>
      </c>
      <c r="C978">
        <v>1305.3050536999999</v>
      </c>
      <c r="D978">
        <v>1292.2348632999999</v>
      </c>
      <c r="E978">
        <v>1344.3581543</v>
      </c>
      <c r="F978">
        <v>1340.5209961</v>
      </c>
      <c r="G978">
        <v>80</v>
      </c>
      <c r="H978">
        <v>77.287071228000002</v>
      </c>
      <c r="I978">
        <v>50</v>
      </c>
      <c r="J978">
        <v>49.689876556000002</v>
      </c>
      <c r="K978">
        <v>0</v>
      </c>
      <c r="L978">
        <v>1200</v>
      </c>
      <c r="M978">
        <v>1200</v>
      </c>
      <c r="N978">
        <v>0</v>
      </c>
    </row>
    <row r="979" spans="1:14" x14ac:dyDescent="0.25">
      <c r="A979">
        <v>930.32070599999997</v>
      </c>
      <c r="B979" s="1">
        <f>DATE(2012,11,16) + TIME(7,41,49)</f>
        <v>41229.320706018516</v>
      </c>
      <c r="C979">
        <v>1305.2634277</v>
      </c>
      <c r="D979">
        <v>1292.1827393000001</v>
      </c>
      <c r="E979">
        <v>1344.3201904</v>
      </c>
      <c r="F979">
        <v>1340.4854736</v>
      </c>
      <c r="G979">
        <v>80</v>
      </c>
      <c r="H979">
        <v>77.106285095000004</v>
      </c>
      <c r="I979">
        <v>50</v>
      </c>
      <c r="J979">
        <v>49.728687286000003</v>
      </c>
      <c r="K979">
        <v>0</v>
      </c>
      <c r="L979">
        <v>1200</v>
      </c>
      <c r="M979">
        <v>1200</v>
      </c>
      <c r="N979">
        <v>0</v>
      </c>
    </row>
    <row r="980" spans="1:14" x14ac:dyDescent="0.25">
      <c r="A980">
        <v>931.670252</v>
      </c>
      <c r="B980" s="1">
        <f>DATE(2012,11,17) + TIME(16,5,9)</f>
        <v>41230.670243055552</v>
      </c>
      <c r="C980">
        <v>1305.2176514</v>
      </c>
      <c r="D980">
        <v>1292.1254882999999</v>
      </c>
      <c r="E980">
        <v>1344.2817382999999</v>
      </c>
      <c r="F980">
        <v>1340.4493408000001</v>
      </c>
      <c r="G980">
        <v>80</v>
      </c>
      <c r="H980">
        <v>76.916091918999996</v>
      </c>
      <c r="I980">
        <v>50</v>
      </c>
      <c r="J980">
        <v>49.757057189999998</v>
      </c>
      <c r="K980">
        <v>0</v>
      </c>
      <c r="L980">
        <v>1200</v>
      </c>
      <c r="M980">
        <v>1200</v>
      </c>
      <c r="N980">
        <v>0</v>
      </c>
    </row>
    <row r="981" spans="1:14" x14ac:dyDescent="0.25">
      <c r="A981">
        <v>933.13885500000004</v>
      </c>
      <c r="B981" s="1">
        <f>DATE(2012,11,19) + TIME(3,19,57)</f>
        <v>41232.138854166667</v>
      </c>
      <c r="C981">
        <v>1305.1676024999999</v>
      </c>
      <c r="D981">
        <v>1292.0626221</v>
      </c>
      <c r="E981">
        <v>1344.2430420000001</v>
      </c>
      <c r="F981">
        <v>1340.4127197</v>
      </c>
      <c r="G981">
        <v>80</v>
      </c>
      <c r="H981">
        <v>76.714927673000005</v>
      </c>
      <c r="I981">
        <v>50</v>
      </c>
      <c r="J981">
        <v>49.777923584</v>
      </c>
      <c r="K981">
        <v>0</v>
      </c>
      <c r="L981">
        <v>1200</v>
      </c>
      <c r="M981">
        <v>1200</v>
      </c>
      <c r="N981">
        <v>0</v>
      </c>
    </row>
    <row r="982" spans="1:14" x14ac:dyDescent="0.25">
      <c r="A982">
        <v>934.75144999999998</v>
      </c>
      <c r="B982" s="1">
        <f>DATE(2012,11,20) + TIME(18,2,5)</f>
        <v>41233.751446759263</v>
      </c>
      <c r="C982">
        <v>1305.1120605000001</v>
      </c>
      <c r="D982">
        <v>1291.9930420000001</v>
      </c>
      <c r="E982">
        <v>1344.2036132999999</v>
      </c>
      <c r="F982">
        <v>1340.3756103999999</v>
      </c>
      <c r="G982">
        <v>80</v>
      </c>
      <c r="H982">
        <v>76.500923157000003</v>
      </c>
      <c r="I982">
        <v>50</v>
      </c>
      <c r="J982">
        <v>49.793426513999997</v>
      </c>
      <c r="K982">
        <v>0</v>
      </c>
      <c r="L982">
        <v>1200</v>
      </c>
      <c r="M982">
        <v>1200</v>
      </c>
      <c r="N982">
        <v>0</v>
      </c>
    </row>
    <row r="983" spans="1:14" x14ac:dyDescent="0.25">
      <c r="A983">
        <v>936.42690600000003</v>
      </c>
      <c r="B983" s="1">
        <f>DATE(2012,11,22) + TIME(10,14,44)</f>
        <v>41235.426898148151</v>
      </c>
      <c r="C983">
        <v>1305.0496826000001</v>
      </c>
      <c r="D983">
        <v>1291.9154053</v>
      </c>
      <c r="E983">
        <v>1344.1633300999999</v>
      </c>
      <c r="F983">
        <v>1340.3376464999999</v>
      </c>
      <c r="G983">
        <v>80</v>
      </c>
      <c r="H983">
        <v>76.280654906999999</v>
      </c>
      <c r="I983">
        <v>50</v>
      </c>
      <c r="J983">
        <v>49.804584503000001</v>
      </c>
      <c r="K983">
        <v>0</v>
      </c>
      <c r="L983">
        <v>1200</v>
      </c>
      <c r="M983">
        <v>1200</v>
      </c>
      <c r="N983">
        <v>0</v>
      </c>
    </row>
    <row r="984" spans="1:14" x14ac:dyDescent="0.25">
      <c r="A984">
        <v>938.13288799999998</v>
      </c>
      <c r="B984" s="1">
        <f>DATE(2012,11,24) + TIME(3,11,21)</f>
        <v>41237.132881944446</v>
      </c>
      <c r="C984">
        <v>1304.9832764</v>
      </c>
      <c r="D984">
        <v>1291.8326416</v>
      </c>
      <c r="E984">
        <v>1344.1242675999999</v>
      </c>
      <c r="F984">
        <v>1340.3010254000001</v>
      </c>
      <c r="G984">
        <v>80</v>
      </c>
      <c r="H984">
        <v>76.058174132999994</v>
      </c>
      <c r="I984">
        <v>50</v>
      </c>
      <c r="J984">
        <v>49.812702178999999</v>
      </c>
      <c r="K984">
        <v>0</v>
      </c>
      <c r="L984">
        <v>1200</v>
      </c>
      <c r="M984">
        <v>1200</v>
      </c>
      <c r="N984">
        <v>0</v>
      </c>
    </row>
    <row r="985" spans="1:14" x14ac:dyDescent="0.25">
      <c r="A985">
        <v>939.89043300000003</v>
      </c>
      <c r="B985" s="1">
        <f>DATE(2012,11,25) + TIME(21,22,13)</f>
        <v>41238.890428240738</v>
      </c>
      <c r="C985">
        <v>1304.9144286999999</v>
      </c>
      <c r="D985">
        <v>1291.7459716999999</v>
      </c>
      <c r="E985">
        <v>1344.0872803</v>
      </c>
      <c r="F985">
        <v>1340.2663574000001</v>
      </c>
      <c r="G985">
        <v>80</v>
      </c>
      <c r="H985">
        <v>75.833412170000003</v>
      </c>
      <c r="I985">
        <v>50</v>
      </c>
      <c r="J985">
        <v>49.818851471000002</v>
      </c>
      <c r="K985">
        <v>0</v>
      </c>
      <c r="L985">
        <v>1200</v>
      </c>
      <c r="M985">
        <v>1200</v>
      </c>
      <c r="N985">
        <v>0</v>
      </c>
    </row>
    <row r="986" spans="1:14" x14ac:dyDescent="0.25">
      <c r="A986">
        <v>941.71993899999995</v>
      </c>
      <c r="B986" s="1">
        <f>DATE(2012,11,27) + TIME(17,16,42)</f>
        <v>41240.719930555555</v>
      </c>
      <c r="C986">
        <v>1304.8419189000001</v>
      </c>
      <c r="D986">
        <v>1291.6540527</v>
      </c>
      <c r="E986">
        <v>1344.0517577999999</v>
      </c>
      <c r="F986">
        <v>1340.2331543</v>
      </c>
      <c r="G986">
        <v>80</v>
      </c>
      <c r="H986">
        <v>75.605522156000006</v>
      </c>
      <c r="I986">
        <v>50</v>
      </c>
      <c r="J986">
        <v>49.823680877999998</v>
      </c>
      <c r="K986">
        <v>0</v>
      </c>
      <c r="L986">
        <v>1200</v>
      </c>
      <c r="M986">
        <v>1200</v>
      </c>
      <c r="N986">
        <v>0</v>
      </c>
    </row>
    <row r="987" spans="1:14" x14ac:dyDescent="0.25">
      <c r="A987">
        <v>943.64323300000001</v>
      </c>
      <c r="B987" s="1">
        <f>DATE(2012,11,29) + TIME(15,26,15)</f>
        <v>41242.643229166664</v>
      </c>
      <c r="C987">
        <v>1304.7645264</v>
      </c>
      <c r="D987">
        <v>1291.5555420000001</v>
      </c>
      <c r="E987">
        <v>1344.0170897999999</v>
      </c>
      <c r="F987">
        <v>1340.2010498</v>
      </c>
      <c r="G987">
        <v>80</v>
      </c>
      <c r="H987">
        <v>75.373146057</v>
      </c>
      <c r="I987">
        <v>50</v>
      </c>
      <c r="J987">
        <v>49.827594757</v>
      </c>
      <c r="K987">
        <v>0</v>
      </c>
      <c r="L987">
        <v>1200</v>
      </c>
      <c r="M987">
        <v>1200</v>
      </c>
      <c r="N987">
        <v>0</v>
      </c>
    </row>
    <row r="988" spans="1:14" x14ac:dyDescent="0.25">
      <c r="A988">
        <v>945</v>
      </c>
      <c r="B988" s="1">
        <f>DATE(2012,12,1) + TIME(0,0,0)</f>
        <v>41244</v>
      </c>
      <c r="C988">
        <v>1304.6795654</v>
      </c>
      <c r="D988">
        <v>1291.4528809000001</v>
      </c>
      <c r="E988">
        <v>1343.9824219</v>
      </c>
      <c r="F988">
        <v>1340.1688231999999</v>
      </c>
      <c r="G988">
        <v>80</v>
      </c>
      <c r="H988">
        <v>75.187904357999997</v>
      </c>
      <c r="I988">
        <v>50</v>
      </c>
      <c r="J988">
        <v>49.829868316999999</v>
      </c>
      <c r="K988">
        <v>0</v>
      </c>
      <c r="L988">
        <v>1200</v>
      </c>
      <c r="M988">
        <v>1200</v>
      </c>
      <c r="N988">
        <v>0</v>
      </c>
    </row>
    <row r="989" spans="1:14" x14ac:dyDescent="0.25">
      <c r="A989">
        <v>947.04194900000005</v>
      </c>
      <c r="B989" s="1">
        <f>DATE(2012,12,3) + TIME(1,0,24)</f>
        <v>41246.041944444441</v>
      </c>
      <c r="C989">
        <v>1304.6204834</v>
      </c>
      <c r="D989">
        <v>1291.3692627</v>
      </c>
      <c r="E989">
        <v>1343.9604492000001</v>
      </c>
      <c r="F989">
        <v>1340.1485596</v>
      </c>
      <c r="G989">
        <v>80</v>
      </c>
      <c r="H989">
        <v>74.961380004999995</v>
      </c>
      <c r="I989">
        <v>50</v>
      </c>
      <c r="J989">
        <v>49.832645415999998</v>
      </c>
      <c r="K989">
        <v>0</v>
      </c>
      <c r="L989">
        <v>1200</v>
      </c>
      <c r="M989">
        <v>1200</v>
      </c>
      <c r="N989">
        <v>0</v>
      </c>
    </row>
    <row r="990" spans="1:14" x14ac:dyDescent="0.25">
      <c r="A990">
        <v>949.165931</v>
      </c>
      <c r="B990" s="1">
        <f>DATE(2012,12,5) + TIME(3,58,56)</f>
        <v>41248.165925925925</v>
      </c>
      <c r="C990">
        <v>1304.5280762</v>
      </c>
      <c r="D990">
        <v>1291.2508545000001</v>
      </c>
      <c r="E990">
        <v>1343.9279785000001</v>
      </c>
      <c r="F990">
        <v>1340.1186522999999</v>
      </c>
      <c r="G990">
        <v>80</v>
      </c>
      <c r="H990">
        <v>74.727203368999994</v>
      </c>
      <c r="I990">
        <v>50</v>
      </c>
      <c r="J990">
        <v>49.83499527</v>
      </c>
      <c r="K990">
        <v>0</v>
      </c>
      <c r="L990">
        <v>1200</v>
      </c>
      <c r="M990">
        <v>1200</v>
      </c>
      <c r="N990">
        <v>0</v>
      </c>
    </row>
    <row r="991" spans="1:14" x14ac:dyDescent="0.25">
      <c r="A991">
        <v>951.32042300000001</v>
      </c>
      <c r="B991" s="1">
        <f>DATE(2012,12,7) + TIME(7,41,24)</f>
        <v>41250.320416666669</v>
      </c>
      <c r="C991">
        <v>1304.4288329999999</v>
      </c>
      <c r="D991">
        <v>1291.1230469</v>
      </c>
      <c r="E991">
        <v>1343.8963623</v>
      </c>
      <c r="F991">
        <v>1340.0894774999999</v>
      </c>
      <c r="G991">
        <v>80</v>
      </c>
      <c r="H991">
        <v>74.490516662999994</v>
      </c>
      <c r="I991">
        <v>50</v>
      </c>
      <c r="J991">
        <v>49.836963654000002</v>
      </c>
      <c r="K991">
        <v>0</v>
      </c>
      <c r="L991">
        <v>1200</v>
      </c>
      <c r="M991">
        <v>1200</v>
      </c>
      <c r="N991">
        <v>0</v>
      </c>
    </row>
    <row r="992" spans="1:14" x14ac:dyDescent="0.25">
      <c r="A992">
        <v>953.51111700000001</v>
      </c>
      <c r="B992" s="1">
        <f>DATE(2012,12,9) + TIME(12,16,0)</f>
        <v>41252.511111111111</v>
      </c>
      <c r="C992">
        <v>1304.3251952999999</v>
      </c>
      <c r="D992">
        <v>1290.9881591999999</v>
      </c>
      <c r="E992">
        <v>1343.8660889</v>
      </c>
      <c r="F992">
        <v>1340.0618896000001</v>
      </c>
      <c r="G992">
        <v>80</v>
      </c>
      <c r="H992">
        <v>74.253120421999995</v>
      </c>
      <c r="I992">
        <v>50</v>
      </c>
      <c r="J992">
        <v>49.838638306</v>
      </c>
      <c r="K992">
        <v>0</v>
      </c>
      <c r="L992">
        <v>1200</v>
      </c>
      <c r="M992">
        <v>1200</v>
      </c>
      <c r="N992">
        <v>0</v>
      </c>
    </row>
    <row r="993" spans="1:14" x14ac:dyDescent="0.25">
      <c r="A993">
        <v>955.74276199999997</v>
      </c>
      <c r="B993" s="1">
        <f>DATE(2012,12,11) + TIME(17,49,34)</f>
        <v>41254.742754629631</v>
      </c>
      <c r="C993">
        <v>1304.2165527</v>
      </c>
      <c r="D993">
        <v>1290.8455810999999</v>
      </c>
      <c r="E993">
        <v>1343.8372803</v>
      </c>
      <c r="F993">
        <v>1340.0355225000001</v>
      </c>
      <c r="G993">
        <v>80</v>
      </c>
      <c r="H993">
        <v>74.015724182</v>
      </c>
      <c r="I993">
        <v>50</v>
      </c>
      <c r="J993">
        <v>49.840091704999999</v>
      </c>
      <c r="K993">
        <v>0</v>
      </c>
      <c r="L993">
        <v>1200</v>
      </c>
      <c r="M993">
        <v>1200</v>
      </c>
      <c r="N993">
        <v>0</v>
      </c>
    </row>
    <row r="994" spans="1:14" x14ac:dyDescent="0.25">
      <c r="A994">
        <v>958.01142700000003</v>
      </c>
      <c r="B994" s="1">
        <f>DATE(2012,12,14) + TIME(0,16,27)</f>
        <v>41257.011423611111</v>
      </c>
      <c r="C994">
        <v>1304.1025391000001</v>
      </c>
      <c r="D994">
        <v>1290.6947021000001</v>
      </c>
      <c r="E994">
        <v>1343.8095702999999</v>
      </c>
      <c r="F994">
        <v>1340.0102539</v>
      </c>
      <c r="G994">
        <v>80</v>
      </c>
      <c r="H994">
        <v>73.778953552000004</v>
      </c>
      <c r="I994">
        <v>50</v>
      </c>
      <c r="J994">
        <v>49.841365814</v>
      </c>
      <c r="K994">
        <v>0</v>
      </c>
      <c r="L994">
        <v>1200</v>
      </c>
      <c r="M994">
        <v>1200</v>
      </c>
      <c r="N994">
        <v>0</v>
      </c>
    </row>
    <row r="995" spans="1:14" x14ac:dyDescent="0.25">
      <c r="A995">
        <v>960.30046900000002</v>
      </c>
      <c r="B995" s="1">
        <f>DATE(2012,12,16) + TIME(7,12,40)</f>
        <v>41259.300462962965</v>
      </c>
      <c r="C995">
        <v>1303.9831543</v>
      </c>
      <c r="D995">
        <v>1290.5357666</v>
      </c>
      <c r="E995">
        <v>1343.7830810999999</v>
      </c>
      <c r="F995">
        <v>1339.9860839999999</v>
      </c>
      <c r="G995">
        <v>80</v>
      </c>
      <c r="H995">
        <v>73.543914795000006</v>
      </c>
      <c r="I995">
        <v>50</v>
      </c>
      <c r="J995">
        <v>49.842491150000001</v>
      </c>
      <c r="K995">
        <v>0</v>
      </c>
      <c r="L995">
        <v>1200</v>
      </c>
      <c r="M995">
        <v>1200</v>
      </c>
      <c r="N995">
        <v>0</v>
      </c>
    </row>
    <row r="996" spans="1:14" x14ac:dyDescent="0.25">
      <c r="A996">
        <v>962.61435500000005</v>
      </c>
      <c r="B996" s="1">
        <f>DATE(2012,12,18) + TIME(14,44,40)</f>
        <v>41261.614351851851</v>
      </c>
      <c r="C996">
        <v>1303.8588867000001</v>
      </c>
      <c r="D996">
        <v>1290.3690185999999</v>
      </c>
      <c r="E996">
        <v>1343.7576904</v>
      </c>
      <c r="F996">
        <v>1339.9631348</v>
      </c>
      <c r="G996">
        <v>80</v>
      </c>
      <c r="H996">
        <v>73.310653686999999</v>
      </c>
      <c r="I996">
        <v>50</v>
      </c>
      <c r="J996">
        <v>49.843505858999997</v>
      </c>
      <c r="K996">
        <v>0</v>
      </c>
      <c r="L996">
        <v>1200</v>
      </c>
      <c r="M996">
        <v>1200</v>
      </c>
      <c r="N996">
        <v>0</v>
      </c>
    </row>
    <row r="997" spans="1:14" x14ac:dyDescent="0.25">
      <c r="A997">
        <v>964.95874600000002</v>
      </c>
      <c r="B997" s="1">
        <f>DATE(2012,12,20) + TIME(23,0,35)</f>
        <v>41263.958738425928</v>
      </c>
      <c r="C997">
        <v>1303.7294922000001</v>
      </c>
      <c r="D997">
        <v>1290.1940918</v>
      </c>
      <c r="E997">
        <v>1343.7335204999999</v>
      </c>
      <c r="F997">
        <v>1339.9412841999999</v>
      </c>
      <c r="G997">
        <v>80</v>
      </c>
      <c r="H997">
        <v>73.078758239999999</v>
      </c>
      <c r="I997">
        <v>50</v>
      </c>
      <c r="J997">
        <v>49.844432830999999</v>
      </c>
      <c r="K997">
        <v>0</v>
      </c>
      <c r="L997">
        <v>1200</v>
      </c>
      <c r="M997">
        <v>1200</v>
      </c>
      <c r="N997">
        <v>0</v>
      </c>
    </row>
    <row r="998" spans="1:14" x14ac:dyDescent="0.25">
      <c r="A998">
        <v>967.33917099999996</v>
      </c>
      <c r="B998" s="1">
        <f>DATE(2012,12,23) + TIME(8,8,24)</f>
        <v>41266.339166666665</v>
      </c>
      <c r="C998">
        <v>1303.5944824000001</v>
      </c>
      <c r="D998">
        <v>1290.010376</v>
      </c>
      <c r="E998">
        <v>1343.7102050999999</v>
      </c>
      <c r="F998">
        <v>1339.9202881000001</v>
      </c>
      <c r="G998">
        <v>80</v>
      </c>
      <c r="H998">
        <v>72.847640991000006</v>
      </c>
      <c r="I998">
        <v>50</v>
      </c>
      <c r="J998">
        <v>49.845294952000003</v>
      </c>
      <c r="K998">
        <v>0</v>
      </c>
      <c r="L998">
        <v>1200</v>
      </c>
      <c r="M998">
        <v>1200</v>
      </c>
      <c r="N998">
        <v>0</v>
      </c>
    </row>
    <row r="999" spans="1:14" x14ac:dyDescent="0.25">
      <c r="A999">
        <v>969.76073899999994</v>
      </c>
      <c r="B999" s="1">
        <f>DATE(2012,12,25) + TIME(18,15,27)</f>
        <v>41268.760729166665</v>
      </c>
      <c r="C999">
        <v>1303.4533690999999</v>
      </c>
      <c r="D999">
        <v>1289.8171387</v>
      </c>
      <c r="E999">
        <v>1343.6877440999999</v>
      </c>
      <c r="F999">
        <v>1339.9001464999999</v>
      </c>
      <c r="G999">
        <v>80</v>
      </c>
      <c r="H999">
        <v>72.616622925000001</v>
      </c>
      <c r="I999">
        <v>50</v>
      </c>
      <c r="J999">
        <v>49.846107482999997</v>
      </c>
      <c r="K999">
        <v>0</v>
      </c>
      <c r="L999">
        <v>1200</v>
      </c>
      <c r="M999">
        <v>1200</v>
      </c>
      <c r="N999">
        <v>0</v>
      </c>
    </row>
    <row r="1000" spans="1:14" x14ac:dyDescent="0.25">
      <c r="A1000">
        <v>972.22855400000003</v>
      </c>
      <c r="B1000" s="1">
        <f>DATE(2012,12,28) + TIME(5,29,7)</f>
        <v>41271.22855324074</v>
      </c>
      <c r="C1000">
        <v>1303.3057861</v>
      </c>
      <c r="D1000">
        <v>1289.6135254000001</v>
      </c>
      <c r="E1000">
        <v>1343.6661377</v>
      </c>
      <c r="F1000">
        <v>1339.8807373</v>
      </c>
      <c r="G1000">
        <v>80</v>
      </c>
      <c r="H1000">
        <v>72.384948730000005</v>
      </c>
      <c r="I1000">
        <v>50</v>
      </c>
      <c r="J1000">
        <v>49.846881865999997</v>
      </c>
      <c r="K1000">
        <v>0</v>
      </c>
      <c r="L1000">
        <v>1200</v>
      </c>
      <c r="M1000">
        <v>1200</v>
      </c>
      <c r="N1000">
        <v>0</v>
      </c>
    </row>
    <row r="1001" spans="1:14" x14ac:dyDescent="0.25">
      <c r="A1001">
        <v>974.73658899999998</v>
      </c>
      <c r="B1001" s="1">
        <f>DATE(2012,12,30) + TIME(17,40,41)</f>
        <v>41273.736585648148</v>
      </c>
      <c r="C1001">
        <v>1303.1511230000001</v>
      </c>
      <c r="D1001">
        <v>1289.3989257999999</v>
      </c>
      <c r="E1001">
        <v>1343.6452637</v>
      </c>
      <c r="F1001">
        <v>1339.8620605000001</v>
      </c>
      <c r="G1001">
        <v>80</v>
      </c>
      <c r="H1001">
        <v>72.152404785000002</v>
      </c>
      <c r="I1001">
        <v>50</v>
      </c>
      <c r="J1001">
        <v>49.847625731999997</v>
      </c>
      <c r="K1001">
        <v>0</v>
      </c>
      <c r="L1001">
        <v>1200</v>
      </c>
      <c r="M1001">
        <v>1200</v>
      </c>
      <c r="N1001">
        <v>0</v>
      </c>
    </row>
    <row r="1002" spans="1:14" x14ac:dyDescent="0.25">
      <c r="A1002">
        <v>976</v>
      </c>
      <c r="B1002" s="1">
        <f>DATE(2013,1,1) + TIME(0,0,0)</f>
        <v>41275</v>
      </c>
      <c r="C1002">
        <v>1302.9927978999999</v>
      </c>
      <c r="D1002">
        <v>1289.1926269999999</v>
      </c>
      <c r="E1002">
        <v>1343.6235352000001</v>
      </c>
      <c r="F1002">
        <v>1339.8425293</v>
      </c>
      <c r="G1002">
        <v>80</v>
      </c>
      <c r="H1002">
        <v>71.999206543</v>
      </c>
      <c r="I1002">
        <v>50</v>
      </c>
      <c r="J1002">
        <v>49.847969055</v>
      </c>
      <c r="K1002">
        <v>0</v>
      </c>
      <c r="L1002">
        <v>1200</v>
      </c>
      <c r="M1002">
        <v>1200</v>
      </c>
      <c r="N1002">
        <v>0</v>
      </c>
    </row>
    <row r="1003" spans="1:14" x14ac:dyDescent="0.25">
      <c r="A1003">
        <v>978.54031299999997</v>
      </c>
      <c r="B1003" s="1">
        <f>DATE(2013,1,3) + TIME(12,58,3)</f>
        <v>41277.540312500001</v>
      </c>
      <c r="C1003">
        <v>1302.9023437999999</v>
      </c>
      <c r="D1003">
        <v>1289.0461425999999</v>
      </c>
      <c r="E1003">
        <v>1343.6153564000001</v>
      </c>
      <c r="F1003">
        <v>1339.8353271000001</v>
      </c>
      <c r="G1003">
        <v>80</v>
      </c>
      <c r="H1003">
        <v>71.783683776999993</v>
      </c>
      <c r="I1003">
        <v>50</v>
      </c>
      <c r="J1003">
        <v>49.848674774000003</v>
      </c>
      <c r="K1003">
        <v>0</v>
      </c>
      <c r="L1003">
        <v>1200</v>
      </c>
      <c r="M1003">
        <v>1200</v>
      </c>
      <c r="N1003">
        <v>0</v>
      </c>
    </row>
    <row r="1004" spans="1:14" x14ac:dyDescent="0.25">
      <c r="A1004">
        <v>981.140444</v>
      </c>
      <c r="B1004" s="1">
        <f>DATE(2013,1,6) + TIME(3,22,14)</f>
        <v>41280.140439814815</v>
      </c>
      <c r="C1004">
        <v>1302.7337646000001</v>
      </c>
      <c r="D1004">
        <v>1288.8106689000001</v>
      </c>
      <c r="E1004">
        <v>1343.5963135</v>
      </c>
      <c r="F1004">
        <v>1339.8184814000001</v>
      </c>
      <c r="G1004">
        <v>80</v>
      </c>
      <c r="H1004">
        <v>71.557464600000003</v>
      </c>
      <c r="I1004">
        <v>50</v>
      </c>
      <c r="J1004">
        <v>49.849369049000003</v>
      </c>
      <c r="K1004">
        <v>0</v>
      </c>
      <c r="L1004">
        <v>1200</v>
      </c>
      <c r="M1004">
        <v>1200</v>
      </c>
      <c r="N1004">
        <v>0</v>
      </c>
    </row>
    <row r="1005" spans="1:14" x14ac:dyDescent="0.25">
      <c r="A1005">
        <v>983.77106800000001</v>
      </c>
      <c r="B1005" s="1">
        <f>DATE(2013,1,8) + TIME(18,30,20)</f>
        <v>41282.771064814813</v>
      </c>
      <c r="C1005">
        <v>1302.5559082</v>
      </c>
      <c r="D1005">
        <v>1288.5599365</v>
      </c>
      <c r="E1005">
        <v>1343.5776367000001</v>
      </c>
      <c r="F1005">
        <v>1339.8018798999999</v>
      </c>
      <c r="G1005">
        <v>80</v>
      </c>
      <c r="H1005">
        <v>71.324798584000007</v>
      </c>
      <c r="I1005">
        <v>50</v>
      </c>
      <c r="J1005">
        <v>49.850040436</v>
      </c>
      <c r="K1005">
        <v>0</v>
      </c>
      <c r="L1005">
        <v>1200</v>
      </c>
      <c r="M1005">
        <v>1200</v>
      </c>
      <c r="N1005">
        <v>0</v>
      </c>
    </row>
    <row r="1006" spans="1:14" x14ac:dyDescent="0.25">
      <c r="A1006">
        <v>986.43032100000005</v>
      </c>
      <c r="B1006" s="1">
        <f>DATE(2013,1,11) + TIME(10,19,39)</f>
        <v>41285.430312500001</v>
      </c>
      <c r="C1006">
        <v>1302.3709716999999</v>
      </c>
      <c r="D1006">
        <v>1288.2967529</v>
      </c>
      <c r="E1006">
        <v>1343.5596923999999</v>
      </c>
      <c r="F1006">
        <v>1339.7861327999999</v>
      </c>
      <c r="G1006">
        <v>80</v>
      </c>
      <c r="H1006">
        <v>71.087738036999994</v>
      </c>
      <c r="I1006">
        <v>50</v>
      </c>
      <c r="J1006">
        <v>49.850696564000003</v>
      </c>
      <c r="K1006">
        <v>0</v>
      </c>
      <c r="L1006">
        <v>1200</v>
      </c>
      <c r="M1006">
        <v>1200</v>
      </c>
      <c r="N1006">
        <v>0</v>
      </c>
    </row>
    <row r="1007" spans="1:14" x14ac:dyDescent="0.25">
      <c r="A1007">
        <v>989.12491799999998</v>
      </c>
      <c r="B1007" s="1">
        <f>DATE(2013,1,14) + TIME(2,59,52)</f>
        <v>41288.124907407408</v>
      </c>
      <c r="C1007">
        <v>1302.1790771000001</v>
      </c>
      <c r="D1007">
        <v>1288.0217285000001</v>
      </c>
      <c r="E1007">
        <v>1343.5424805</v>
      </c>
      <c r="F1007">
        <v>1339.770874</v>
      </c>
      <c r="G1007">
        <v>80</v>
      </c>
      <c r="H1007">
        <v>70.846794127999999</v>
      </c>
      <c r="I1007">
        <v>50</v>
      </c>
      <c r="J1007">
        <v>49.851345062</v>
      </c>
      <c r="K1007">
        <v>0</v>
      </c>
      <c r="L1007">
        <v>1200</v>
      </c>
      <c r="M1007">
        <v>1200</v>
      </c>
      <c r="N1007">
        <v>0</v>
      </c>
    </row>
    <row r="1008" spans="1:14" x14ac:dyDescent="0.25">
      <c r="A1008">
        <v>991.86056900000005</v>
      </c>
      <c r="B1008" s="1">
        <f>DATE(2013,1,16) + TIME(20,39,13)</f>
        <v>41290.860567129632</v>
      </c>
      <c r="C1008">
        <v>1301.9798584</v>
      </c>
      <c r="D1008">
        <v>1287.7347411999999</v>
      </c>
      <c r="E1008">
        <v>1343.5257568</v>
      </c>
      <c r="F1008">
        <v>1339.7562256000001</v>
      </c>
      <c r="G1008">
        <v>80</v>
      </c>
      <c r="H1008">
        <v>70.601715088000006</v>
      </c>
      <c r="I1008">
        <v>50</v>
      </c>
      <c r="J1008">
        <v>49.851982116999999</v>
      </c>
      <c r="K1008">
        <v>0</v>
      </c>
      <c r="L1008">
        <v>1200</v>
      </c>
      <c r="M1008">
        <v>1200</v>
      </c>
      <c r="N1008">
        <v>0</v>
      </c>
    </row>
    <row r="1009" spans="1:14" x14ac:dyDescent="0.25">
      <c r="A1009">
        <v>994.64294500000005</v>
      </c>
      <c r="B1009" s="1">
        <f>DATE(2013,1,19) + TIME(15,25,50)</f>
        <v>41293.642939814818</v>
      </c>
      <c r="C1009">
        <v>1301.7731934000001</v>
      </c>
      <c r="D1009">
        <v>1287.4349365</v>
      </c>
      <c r="E1009">
        <v>1343.5096435999999</v>
      </c>
      <c r="F1009">
        <v>1339.7421875</v>
      </c>
      <c r="G1009">
        <v>80</v>
      </c>
      <c r="H1009">
        <v>70.351860045999999</v>
      </c>
      <c r="I1009">
        <v>50</v>
      </c>
      <c r="J1009">
        <v>49.852615356000001</v>
      </c>
      <c r="K1009">
        <v>0</v>
      </c>
      <c r="L1009">
        <v>1200</v>
      </c>
      <c r="M1009">
        <v>1200</v>
      </c>
      <c r="N1009">
        <v>0</v>
      </c>
    </row>
    <row r="1010" spans="1:14" x14ac:dyDescent="0.25">
      <c r="A1010">
        <v>997.47769600000004</v>
      </c>
      <c r="B1010" s="1">
        <f>DATE(2013,1,22) + TIME(11,27,52)</f>
        <v>41296.477685185186</v>
      </c>
      <c r="C1010">
        <v>1301.5584716999999</v>
      </c>
      <c r="D1010">
        <v>1287.1217041</v>
      </c>
      <c r="E1010">
        <v>1343.4938964999999</v>
      </c>
      <c r="F1010">
        <v>1339.7285156</v>
      </c>
      <c r="G1010">
        <v>80</v>
      </c>
      <c r="H1010">
        <v>70.096412658999995</v>
      </c>
      <c r="I1010">
        <v>50</v>
      </c>
      <c r="J1010">
        <v>49.853248596</v>
      </c>
      <c r="K1010">
        <v>0</v>
      </c>
      <c r="L1010">
        <v>1200</v>
      </c>
      <c r="M1010">
        <v>1200</v>
      </c>
      <c r="N1010">
        <v>0</v>
      </c>
    </row>
    <row r="1011" spans="1:14" x14ac:dyDescent="0.25">
      <c r="A1011">
        <v>1000.347704</v>
      </c>
      <c r="B1011" s="1">
        <f>DATE(2013,1,25) + TIME(8,20,41)</f>
        <v>41299.347696759258</v>
      </c>
      <c r="C1011">
        <v>1301.3352050999999</v>
      </c>
      <c r="D1011">
        <v>1286.7947998</v>
      </c>
      <c r="E1011">
        <v>1343.4786377</v>
      </c>
      <c r="F1011">
        <v>1339.7152100000001</v>
      </c>
      <c r="G1011">
        <v>80</v>
      </c>
      <c r="H1011">
        <v>69.835197449000006</v>
      </c>
      <c r="I1011">
        <v>50</v>
      </c>
      <c r="J1011">
        <v>49.853870391999997</v>
      </c>
      <c r="K1011">
        <v>0</v>
      </c>
      <c r="L1011">
        <v>1200</v>
      </c>
      <c r="M1011">
        <v>1200</v>
      </c>
      <c r="N1011">
        <v>0</v>
      </c>
    </row>
    <row r="1012" spans="1:14" x14ac:dyDescent="0.25">
      <c r="A1012">
        <v>1003.244095</v>
      </c>
      <c r="B1012" s="1">
        <f>DATE(2013,1,28) + TIME(5,51,29)</f>
        <v>41302.244085648148</v>
      </c>
      <c r="C1012">
        <v>1301.1046143000001</v>
      </c>
      <c r="D1012">
        <v>1286.4553223</v>
      </c>
      <c r="E1012">
        <v>1343.4638672000001</v>
      </c>
      <c r="F1012">
        <v>1339.7023925999999</v>
      </c>
      <c r="G1012">
        <v>80</v>
      </c>
      <c r="H1012">
        <v>69.568237304999997</v>
      </c>
      <c r="I1012">
        <v>50</v>
      </c>
      <c r="J1012">
        <v>49.854488373000002</v>
      </c>
      <c r="K1012">
        <v>0</v>
      </c>
      <c r="L1012">
        <v>1200</v>
      </c>
      <c r="M1012">
        <v>1200</v>
      </c>
      <c r="N1012">
        <v>0</v>
      </c>
    </row>
    <row r="1013" spans="1:14" x14ac:dyDescent="0.25">
      <c r="A1013">
        <v>1006.174217</v>
      </c>
      <c r="B1013" s="1">
        <f>DATE(2013,1,31) + TIME(4,10,52)</f>
        <v>41305.174212962964</v>
      </c>
      <c r="C1013">
        <v>1300.8675536999999</v>
      </c>
      <c r="D1013">
        <v>1286.1042480000001</v>
      </c>
      <c r="E1013">
        <v>1343.449707</v>
      </c>
      <c r="F1013">
        <v>1339.6901855000001</v>
      </c>
      <c r="G1013">
        <v>80</v>
      </c>
      <c r="H1013">
        <v>69.295028686999999</v>
      </c>
      <c r="I1013">
        <v>50</v>
      </c>
      <c r="J1013">
        <v>49.855098724000001</v>
      </c>
      <c r="K1013">
        <v>0</v>
      </c>
      <c r="L1013">
        <v>1200</v>
      </c>
      <c r="M1013">
        <v>1200</v>
      </c>
      <c r="N1013">
        <v>0</v>
      </c>
    </row>
    <row r="1014" spans="1:14" x14ac:dyDescent="0.25">
      <c r="A1014">
        <v>1007</v>
      </c>
      <c r="B1014" s="1">
        <f>DATE(2013,2,1) + TIME(0,0,0)</f>
        <v>41306</v>
      </c>
      <c r="C1014">
        <v>1300.6384277</v>
      </c>
      <c r="D1014">
        <v>1285.8013916</v>
      </c>
      <c r="E1014">
        <v>1343.4332274999999</v>
      </c>
      <c r="F1014">
        <v>1339.6756591999999</v>
      </c>
      <c r="G1014">
        <v>80</v>
      </c>
      <c r="H1014">
        <v>69.168975829999994</v>
      </c>
      <c r="I1014">
        <v>50</v>
      </c>
      <c r="J1014">
        <v>49.855255127</v>
      </c>
      <c r="K1014">
        <v>0</v>
      </c>
      <c r="L1014">
        <v>1200</v>
      </c>
      <c r="M1014">
        <v>1200</v>
      </c>
      <c r="N1014">
        <v>0</v>
      </c>
    </row>
    <row r="1015" spans="1:14" x14ac:dyDescent="0.25">
      <c r="A1015">
        <v>1009.969745</v>
      </c>
      <c r="B1015" s="1">
        <f>DATE(2013,2,3) + TIME(23,16,25)</f>
        <v>41308.969733796293</v>
      </c>
      <c r="C1015">
        <v>1300.5457764</v>
      </c>
      <c r="D1015">
        <v>1285.6170654</v>
      </c>
      <c r="E1015">
        <v>1343.4323730000001</v>
      </c>
      <c r="F1015">
        <v>1339.675293</v>
      </c>
      <c r="G1015">
        <v>80</v>
      </c>
      <c r="H1015">
        <v>68.912231445000003</v>
      </c>
      <c r="I1015">
        <v>50</v>
      </c>
      <c r="J1015">
        <v>49.855865479000002</v>
      </c>
      <c r="K1015">
        <v>0</v>
      </c>
      <c r="L1015">
        <v>1200</v>
      </c>
      <c r="M1015">
        <v>1200</v>
      </c>
      <c r="N1015">
        <v>0</v>
      </c>
    </row>
    <row r="1016" spans="1:14" x14ac:dyDescent="0.25">
      <c r="A1016">
        <v>1012.999366</v>
      </c>
      <c r="B1016" s="1">
        <f>DATE(2013,2,6) + TIME(23,59,5)</f>
        <v>41311.999363425923</v>
      </c>
      <c r="C1016">
        <v>1300.2972411999999</v>
      </c>
      <c r="D1016">
        <v>1285.2487793</v>
      </c>
      <c r="E1016">
        <v>1343.4191894999999</v>
      </c>
      <c r="F1016">
        <v>1339.6639404</v>
      </c>
      <c r="G1016">
        <v>80</v>
      </c>
      <c r="H1016">
        <v>68.633407593000001</v>
      </c>
      <c r="I1016">
        <v>50</v>
      </c>
      <c r="J1016">
        <v>49.856475830000001</v>
      </c>
      <c r="K1016">
        <v>0</v>
      </c>
      <c r="L1016">
        <v>1200</v>
      </c>
      <c r="M1016">
        <v>1200</v>
      </c>
      <c r="N1016">
        <v>0</v>
      </c>
    </row>
    <row r="1017" spans="1:14" x14ac:dyDescent="0.25">
      <c r="A1017">
        <v>1016.066313</v>
      </c>
      <c r="B1017" s="1">
        <f>DATE(2013,2,10) + TIME(1,35,29)</f>
        <v>41315.066307870373</v>
      </c>
      <c r="C1017">
        <v>1300.0375977000001</v>
      </c>
      <c r="D1017">
        <v>1284.8602295000001</v>
      </c>
      <c r="E1017">
        <v>1343.4061279</v>
      </c>
      <c r="F1017">
        <v>1339.6529541</v>
      </c>
      <c r="G1017">
        <v>80</v>
      </c>
      <c r="H1017">
        <v>68.338966369999994</v>
      </c>
      <c r="I1017">
        <v>50</v>
      </c>
      <c r="J1017">
        <v>49.857078551999997</v>
      </c>
      <c r="K1017">
        <v>0</v>
      </c>
      <c r="L1017">
        <v>1200</v>
      </c>
      <c r="M1017">
        <v>1200</v>
      </c>
      <c r="N1017">
        <v>0</v>
      </c>
    </row>
    <row r="1018" spans="1:14" x14ac:dyDescent="0.25">
      <c r="A1018">
        <v>1019.1605070000001</v>
      </c>
      <c r="B1018" s="1">
        <f>DATE(2013,2,13) + TIME(3,51,7)</f>
        <v>41318.160497685189</v>
      </c>
      <c r="C1018">
        <v>1299.7696533000001</v>
      </c>
      <c r="D1018">
        <v>1284.4564209</v>
      </c>
      <c r="E1018">
        <v>1343.3936768000001</v>
      </c>
      <c r="F1018">
        <v>1339.6423339999999</v>
      </c>
      <c r="G1018">
        <v>80</v>
      </c>
      <c r="H1018">
        <v>68.032341002999999</v>
      </c>
      <c r="I1018">
        <v>50</v>
      </c>
      <c r="J1018">
        <v>49.857673644999998</v>
      </c>
      <c r="K1018">
        <v>0</v>
      </c>
      <c r="L1018">
        <v>1200</v>
      </c>
      <c r="M1018">
        <v>1200</v>
      </c>
      <c r="N1018">
        <v>0</v>
      </c>
    </row>
    <row r="1019" spans="1:14" x14ac:dyDescent="0.25">
      <c r="A1019">
        <v>1022.2890149999999</v>
      </c>
      <c r="B1019" s="1">
        <f>DATE(2013,2,16) + TIME(6,56,10)</f>
        <v>41321.289004629631</v>
      </c>
      <c r="C1019">
        <v>1299.4951172000001</v>
      </c>
      <c r="D1019">
        <v>1284.0396728999999</v>
      </c>
      <c r="E1019">
        <v>1343.3815918</v>
      </c>
      <c r="F1019">
        <v>1339.6322021000001</v>
      </c>
      <c r="G1019">
        <v>80</v>
      </c>
      <c r="H1019">
        <v>67.714607239000003</v>
      </c>
      <c r="I1019">
        <v>50</v>
      </c>
      <c r="J1019">
        <v>49.858261108000001</v>
      </c>
      <c r="K1019">
        <v>0</v>
      </c>
      <c r="L1019">
        <v>1200</v>
      </c>
      <c r="M1019">
        <v>1200</v>
      </c>
      <c r="N1019">
        <v>0</v>
      </c>
    </row>
    <row r="1020" spans="1:14" x14ac:dyDescent="0.25">
      <c r="A1020">
        <v>1025.458126</v>
      </c>
      <c r="B1020" s="1">
        <f>DATE(2013,2,19) + TIME(10,59,42)</f>
        <v>41324.458124999997</v>
      </c>
      <c r="C1020">
        <v>1299.2137451000001</v>
      </c>
      <c r="D1020">
        <v>1283.6103516000001</v>
      </c>
      <c r="E1020">
        <v>1343.3698730000001</v>
      </c>
      <c r="F1020">
        <v>1339.6224365</v>
      </c>
      <c r="G1020">
        <v>80</v>
      </c>
      <c r="H1020">
        <v>67.385574340999995</v>
      </c>
      <c r="I1020">
        <v>50</v>
      </c>
      <c r="J1020">
        <v>49.858848571999999</v>
      </c>
      <c r="K1020">
        <v>0</v>
      </c>
      <c r="L1020">
        <v>1200</v>
      </c>
      <c r="M1020">
        <v>1200</v>
      </c>
      <c r="N1020">
        <v>0</v>
      </c>
    </row>
    <row r="1021" spans="1:14" x14ac:dyDescent="0.25">
      <c r="A1021">
        <v>1028.673908</v>
      </c>
      <c r="B1021" s="1">
        <f>DATE(2013,2,22) + TIME(16,10,25)</f>
        <v>41327.673900462964</v>
      </c>
      <c r="C1021">
        <v>1298.9254149999999</v>
      </c>
      <c r="D1021">
        <v>1283.1679687999999</v>
      </c>
      <c r="E1021">
        <v>1343.3585204999999</v>
      </c>
      <c r="F1021">
        <v>1339.6130370999999</v>
      </c>
      <c r="G1021">
        <v>80</v>
      </c>
      <c r="H1021">
        <v>67.044456482000001</v>
      </c>
      <c r="I1021">
        <v>50</v>
      </c>
      <c r="J1021">
        <v>49.859432220000002</v>
      </c>
      <c r="K1021">
        <v>0</v>
      </c>
      <c r="L1021">
        <v>1200</v>
      </c>
      <c r="M1021">
        <v>1200</v>
      </c>
      <c r="N1021">
        <v>0</v>
      </c>
    </row>
    <row r="1022" spans="1:14" x14ac:dyDescent="0.25">
      <c r="A1022">
        <v>1031.942358</v>
      </c>
      <c r="B1022" s="1">
        <f>DATE(2013,2,25) + TIME(22,36,59)</f>
        <v>41330.942349537036</v>
      </c>
      <c r="C1022">
        <v>1298.6296387</v>
      </c>
      <c r="D1022">
        <v>1282.7120361</v>
      </c>
      <c r="E1022">
        <v>1343.3475341999999</v>
      </c>
      <c r="F1022">
        <v>1339.6038818</v>
      </c>
      <c r="G1022">
        <v>80</v>
      </c>
      <c r="H1022">
        <v>66.690208435000002</v>
      </c>
      <c r="I1022">
        <v>50</v>
      </c>
      <c r="J1022">
        <v>49.860015869000001</v>
      </c>
      <c r="K1022">
        <v>0</v>
      </c>
      <c r="L1022">
        <v>1200</v>
      </c>
      <c r="M1022">
        <v>1200</v>
      </c>
      <c r="N1022">
        <v>0</v>
      </c>
    </row>
    <row r="1023" spans="1:14" x14ac:dyDescent="0.25">
      <c r="A1023">
        <v>1035</v>
      </c>
      <c r="B1023" s="1">
        <f>DATE(2013,3,1) + TIME(0,0,0)</f>
        <v>41334</v>
      </c>
      <c r="C1023">
        <v>1298.3272704999999</v>
      </c>
      <c r="D1023">
        <v>1282.2478027</v>
      </c>
      <c r="E1023">
        <v>1343.3365478999999</v>
      </c>
      <c r="F1023">
        <v>1339.5947266000001</v>
      </c>
      <c r="G1023">
        <v>80</v>
      </c>
      <c r="H1023">
        <v>66.335205078000001</v>
      </c>
      <c r="I1023">
        <v>50</v>
      </c>
      <c r="J1023">
        <v>49.860549927000001</v>
      </c>
      <c r="K1023">
        <v>0</v>
      </c>
      <c r="L1023">
        <v>1200</v>
      </c>
      <c r="M1023">
        <v>1200</v>
      </c>
      <c r="N1023">
        <v>0</v>
      </c>
    </row>
    <row r="1024" spans="1:14" x14ac:dyDescent="0.25">
      <c r="A1024">
        <v>1038.3270930000001</v>
      </c>
      <c r="B1024" s="1">
        <f>DATE(2013,3,4) + TIME(7,51,0)</f>
        <v>41337.32708333333</v>
      </c>
      <c r="C1024">
        <v>1298.0375977000001</v>
      </c>
      <c r="D1024">
        <v>1281.7912598</v>
      </c>
      <c r="E1024">
        <v>1343.3271483999999</v>
      </c>
      <c r="F1024">
        <v>1339.5871582</v>
      </c>
      <c r="G1024">
        <v>80</v>
      </c>
      <c r="H1024">
        <v>65.964271545000003</v>
      </c>
      <c r="I1024">
        <v>50</v>
      </c>
      <c r="J1024">
        <v>49.861125946000001</v>
      </c>
      <c r="K1024">
        <v>0</v>
      </c>
      <c r="L1024">
        <v>1200</v>
      </c>
      <c r="M1024">
        <v>1200</v>
      </c>
      <c r="N1024">
        <v>0</v>
      </c>
    </row>
    <row r="1025" spans="1:14" x14ac:dyDescent="0.25">
      <c r="A1025">
        <v>1041.7477739999999</v>
      </c>
      <c r="B1025" s="1">
        <f>DATE(2013,3,7) + TIME(17,56,47)</f>
        <v>41340.747766203705</v>
      </c>
      <c r="C1025">
        <v>1297.7243652</v>
      </c>
      <c r="D1025">
        <v>1281.3023682</v>
      </c>
      <c r="E1025">
        <v>1343.3170166</v>
      </c>
      <c r="F1025">
        <v>1339.5788574000001</v>
      </c>
      <c r="G1025">
        <v>80</v>
      </c>
      <c r="H1025">
        <v>65.572547912999994</v>
      </c>
      <c r="I1025">
        <v>50</v>
      </c>
      <c r="J1025">
        <v>49.861705780000001</v>
      </c>
      <c r="K1025">
        <v>0</v>
      </c>
      <c r="L1025">
        <v>1200</v>
      </c>
      <c r="M1025">
        <v>1200</v>
      </c>
      <c r="N1025">
        <v>0</v>
      </c>
    </row>
    <row r="1026" spans="1:14" x14ac:dyDescent="0.25">
      <c r="A1026">
        <v>1045.2164680000001</v>
      </c>
      <c r="B1026" s="1">
        <f>DATE(2013,3,11) + TIME(5,11,42)</f>
        <v>41344.216458333336</v>
      </c>
      <c r="C1026">
        <v>1297.4001464999999</v>
      </c>
      <c r="D1026">
        <v>1280.7941894999999</v>
      </c>
      <c r="E1026">
        <v>1343.3070068</v>
      </c>
      <c r="F1026">
        <v>1339.5708007999999</v>
      </c>
      <c r="G1026">
        <v>80</v>
      </c>
      <c r="H1026">
        <v>65.161895752000007</v>
      </c>
      <c r="I1026">
        <v>50</v>
      </c>
      <c r="J1026">
        <v>49.862281799000002</v>
      </c>
      <c r="K1026">
        <v>0</v>
      </c>
      <c r="L1026">
        <v>1200</v>
      </c>
      <c r="M1026">
        <v>1200</v>
      </c>
      <c r="N1026">
        <v>0</v>
      </c>
    </row>
    <row r="1027" spans="1:14" x14ac:dyDescent="0.25">
      <c r="A1027">
        <v>1048.7401299999999</v>
      </c>
      <c r="B1027" s="1">
        <f>DATE(2013,3,14) + TIME(17,45,47)</f>
        <v>41347.740127314813</v>
      </c>
      <c r="C1027">
        <v>1297.0688477000001</v>
      </c>
      <c r="D1027">
        <v>1280.2714844</v>
      </c>
      <c r="E1027">
        <v>1343.2972411999999</v>
      </c>
      <c r="F1027">
        <v>1339.5629882999999</v>
      </c>
      <c r="G1027">
        <v>80</v>
      </c>
      <c r="H1027">
        <v>64.733451842999997</v>
      </c>
      <c r="I1027">
        <v>50</v>
      </c>
      <c r="J1027">
        <v>49.862854003999999</v>
      </c>
      <c r="K1027">
        <v>0</v>
      </c>
      <c r="L1027">
        <v>1200</v>
      </c>
      <c r="M1027">
        <v>1200</v>
      </c>
      <c r="N1027">
        <v>0</v>
      </c>
    </row>
    <row r="1028" spans="1:14" x14ac:dyDescent="0.25">
      <c r="A1028">
        <v>1052.3251949999999</v>
      </c>
      <c r="B1028" s="1">
        <f>DATE(2013,3,18) + TIME(7,48,16)</f>
        <v>41351.325185185182</v>
      </c>
      <c r="C1028">
        <v>1296.7302245999999</v>
      </c>
      <c r="D1028">
        <v>1279.7346190999999</v>
      </c>
      <c r="E1028">
        <v>1343.2877197</v>
      </c>
      <c r="F1028">
        <v>1339.5554199000001</v>
      </c>
      <c r="G1028">
        <v>80</v>
      </c>
      <c r="H1028">
        <v>64.287071228000002</v>
      </c>
      <c r="I1028">
        <v>50</v>
      </c>
      <c r="J1028">
        <v>49.863426208</v>
      </c>
      <c r="K1028">
        <v>0</v>
      </c>
      <c r="L1028">
        <v>1200</v>
      </c>
      <c r="M1028">
        <v>1200</v>
      </c>
      <c r="N1028">
        <v>0</v>
      </c>
    </row>
    <row r="1029" spans="1:14" x14ac:dyDescent="0.25">
      <c r="A1029">
        <v>1055.9778260000001</v>
      </c>
      <c r="B1029" s="1">
        <f>DATE(2013,3,21) + TIME(23,28,4)</f>
        <v>41354.977824074071</v>
      </c>
      <c r="C1029">
        <v>1296.3842772999999</v>
      </c>
      <c r="D1029">
        <v>1279.1828613</v>
      </c>
      <c r="E1029">
        <v>1343.2783202999999</v>
      </c>
      <c r="F1029">
        <v>1339.5479736</v>
      </c>
      <c r="G1029">
        <v>80</v>
      </c>
      <c r="H1029">
        <v>63.821907043000003</v>
      </c>
      <c r="I1029">
        <v>50</v>
      </c>
      <c r="J1029">
        <v>49.864002227999997</v>
      </c>
      <c r="K1029">
        <v>0</v>
      </c>
      <c r="L1029">
        <v>1200</v>
      </c>
      <c r="M1029">
        <v>1200</v>
      </c>
      <c r="N1029">
        <v>0</v>
      </c>
    </row>
    <row r="1030" spans="1:14" x14ac:dyDescent="0.25">
      <c r="A1030">
        <v>1059.6853599999999</v>
      </c>
      <c r="B1030" s="1">
        <f>DATE(2013,3,25) + TIME(16,26,55)</f>
        <v>41358.685358796298</v>
      </c>
      <c r="C1030">
        <v>1296.0306396000001</v>
      </c>
      <c r="D1030">
        <v>1278.6163329999999</v>
      </c>
      <c r="E1030">
        <v>1343.2691649999999</v>
      </c>
      <c r="F1030">
        <v>1339.5408935999999</v>
      </c>
      <c r="G1030">
        <v>80</v>
      </c>
      <c r="H1030">
        <v>63.337940216</v>
      </c>
      <c r="I1030">
        <v>50</v>
      </c>
      <c r="J1030">
        <v>49.864570618000002</v>
      </c>
      <c r="K1030">
        <v>0</v>
      </c>
      <c r="L1030">
        <v>1200</v>
      </c>
      <c r="M1030">
        <v>1200</v>
      </c>
      <c r="N1030">
        <v>0</v>
      </c>
    </row>
    <row r="1031" spans="1:14" x14ac:dyDescent="0.25">
      <c r="A1031">
        <v>1063.445301</v>
      </c>
      <c r="B1031" s="1">
        <f>DATE(2013,3,29) + TIME(10,41,13)</f>
        <v>41362.445289351854</v>
      </c>
      <c r="C1031">
        <v>1295.6707764</v>
      </c>
      <c r="D1031">
        <v>1278.0366211</v>
      </c>
      <c r="E1031">
        <v>1343.2602539</v>
      </c>
      <c r="F1031">
        <v>1339.5339355000001</v>
      </c>
      <c r="G1031">
        <v>80</v>
      </c>
      <c r="H1031">
        <v>62.835529327000003</v>
      </c>
      <c r="I1031">
        <v>50</v>
      </c>
      <c r="J1031">
        <v>49.865139008</v>
      </c>
      <c r="K1031">
        <v>0</v>
      </c>
      <c r="L1031">
        <v>1200</v>
      </c>
      <c r="M1031">
        <v>1200</v>
      </c>
      <c r="N1031">
        <v>0</v>
      </c>
    </row>
    <row r="1032" spans="1:14" x14ac:dyDescent="0.25">
      <c r="A1032">
        <v>1066</v>
      </c>
      <c r="B1032" s="1">
        <f>DATE(2013,4,1) + TIME(0,0,0)</f>
        <v>41365</v>
      </c>
      <c r="C1032">
        <v>1295.3112793</v>
      </c>
      <c r="D1032">
        <v>1277.4799805</v>
      </c>
      <c r="E1032">
        <v>1343.2504882999999</v>
      </c>
      <c r="F1032">
        <v>1339.5261230000001</v>
      </c>
      <c r="G1032">
        <v>80</v>
      </c>
      <c r="H1032">
        <v>62.398799896</v>
      </c>
      <c r="I1032">
        <v>50</v>
      </c>
      <c r="J1032">
        <v>49.865505218999999</v>
      </c>
      <c r="K1032">
        <v>0</v>
      </c>
      <c r="L1032">
        <v>1200</v>
      </c>
      <c r="M1032">
        <v>1200</v>
      </c>
      <c r="N1032">
        <v>0</v>
      </c>
    </row>
    <row r="1033" spans="1:14" x14ac:dyDescent="0.25">
      <c r="A1033">
        <v>1069.821254</v>
      </c>
      <c r="B1033" s="1">
        <f>DATE(2013,4,4) + TIME(19,42,36)</f>
        <v>41368.821250000001</v>
      </c>
      <c r="C1033">
        <v>1295.0476074000001</v>
      </c>
      <c r="D1033">
        <v>1277.0120850000001</v>
      </c>
      <c r="E1033">
        <v>1343.2459716999999</v>
      </c>
      <c r="F1033">
        <v>1339.5230713000001</v>
      </c>
      <c r="G1033">
        <v>80</v>
      </c>
      <c r="H1033">
        <v>61.920864105</v>
      </c>
      <c r="I1033">
        <v>50</v>
      </c>
      <c r="J1033">
        <v>49.866069793999998</v>
      </c>
      <c r="K1033">
        <v>0</v>
      </c>
      <c r="L1033">
        <v>1200</v>
      </c>
      <c r="M1033">
        <v>1200</v>
      </c>
      <c r="N1033">
        <v>0</v>
      </c>
    </row>
    <row r="1034" spans="1:14" x14ac:dyDescent="0.25">
      <c r="A1034">
        <v>1073.767535</v>
      </c>
      <c r="B1034" s="1">
        <f>DATE(2013,4,8) + TIME(18,25,15)</f>
        <v>41372.767534722225</v>
      </c>
      <c r="C1034">
        <v>1294.6813964999999</v>
      </c>
      <c r="D1034">
        <v>1276.4197998</v>
      </c>
      <c r="E1034">
        <v>1343.2375488</v>
      </c>
      <c r="F1034">
        <v>1339.5166016000001</v>
      </c>
      <c r="G1034">
        <v>80</v>
      </c>
      <c r="H1034">
        <v>61.390068053999997</v>
      </c>
      <c r="I1034">
        <v>50</v>
      </c>
      <c r="J1034">
        <v>49.866641997999999</v>
      </c>
      <c r="K1034">
        <v>0</v>
      </c>
      <c r="L1034">
        <v>1200</v>
      </c>
      <c r="M1034">
        <v>1200</v>
      </c>
      <c r="N1034">
        <v>0</v>
      </c>
    </row>
    <row r="1035" spans="1:14" x14ac:dyDescent="0.25">
      <c r="A1035">
        <v>1077.7647010000001</v>
      </c>
      <c r="B1035" s="1">
        <f>DATE(2013,4,12) + TIME(18,21,10)</f>
        <v>41376.764699074076</v>
      </c>
      <c r="C1035">
        <v>1294.3011475000001</v>
      </c>
      <c r="D1035">
        <v>1275.7983397999999</v>
      </c>
      <c r="E1035">
        <v>1343.229126</v>
      </c>
      <c r="F1035">
        <v>1339.5102539</v>
      </c>
      <c r="G1035">
        <v>80</v>
      </c>
      <c r="H1035">
        <v>60.825241089000002</v>
      </c>
      <c r="I1035">
        <v>50</v>
      </c>
      <c r="J1035">
        <v>49.867202759000001</v>
      </c>
      <c r="K1035">
        <v>0</v>
      </c>
      <c r="L1035">
        <v>1200</v>
      </c>
      <c r="M1035">
        <v>1200</v>
      </c>
      <c r="N1035">
        <v>0</v>
      </c>
    </row>
    <row r="1036" spans="1:14" x14ac:dyDescent="0.25">
      <c r="A1036">
        <v>1081.820862</v>
      </c>
      <c r="B1036" s="1">
        <f>DATE(2013,4,16) + TIME(19,42,2)</f>
        <v>41380.820856481485</v>
      </c>
      <c r="C1036">
        <v>1293.9151611</v>
      </c>
      <c r="D1036">
        <v>1275.1611327999999</v>
      </c>
      <c r="E1036">
        <v>1343.2210693</v>
      </c>
      <c r="F1036">
        <v>1339.5041504000001</v>
      </c>
      <c r="G1036">
        <v>80</v>
      </c>
      <c r="H1036">
        <v>60.236564635999997</v>
      </c>
      <c r="I1036">
        <v>50</v>
      </c>
      <c r="J1036">
        <v>49.867763519</v>
      </c>
      <c r="K1036">
        <v>0</v>
      </c>
      <c r="L1036">
        <v>1200</v>
      </c>
      <c r="M1036">
        <v>1200</v>
      </c>
      <c r="N1036">
        <v>0</v>
      </c>
    </row>
    <row r="1037" spans="1:14" x14ac:dyDescent="0.25">
      <c r="A1037">
        <v>1085.9404919999999</v>
      </c>
      <c r="B1037" s="1">
        <f>DATE(2013,4,20) + TIME(22,34,18)</f>
        <v>41384.940486111111</v>
      </c>
      <c r="C1037">
        <v>1293.5241699000001</v>
      </c>
      <c r="D1037">
        <v>1274.5109863</v>
      </c>
      <c r="E1037">
        <v>1343.2130127</v>
      </c>
      <c r="F1037">
        <v>1339.4982910000001</v>
      </c>
      <c r="G1037">
        <v>80</v>
      </c>
      <c r="H1037">
        <v>59.627468108999999</v>
      </c>
      <c r="I1037">
        <v>50</v>
      </c>
      <c r="J1037">
        <v>49.868316649999997</v>
      </c>
      <c r="K1037">
        <v>0</v>
      </c>
      <c r="L1037">
        <v>1200</v>
      </c>
      <c r="M1037">
        <v>1200</v>
      </c>
      <c r="N1037">
        <v>0</v>
      </c>
    </row>
    <row r="1038" spans="1:14" x14ac:dyDescent="0.25">
      <c r="A1038">
        <v>1090.1007870000001</v>
      </c>
      <c r="B1038" s="1">
        <f>DATE(2013,4,25) + TIME(2,25,8)</f>
        <v>41389.100787037038</v>
      </c>
      <c r="C1038">
        <v>1293.1287841999999</v>
      </c>
      <c r="D1038">
        <v>1273.8494873</v>
      </c>
      <c r="E1038">
        <v>1343.2052002</v>
      </c>
      <c r="F1038">
        <v>1339.4925536999999</v>
      </c>
      <c r="G1038">
        <v>80</v>
      </c>
      <c r="H1038">
        <v>59.000389099000003</v>
      </c>
      <c r="I1038">
        <v>50</v>
      </c>
      <c r="J1038">
        <v>49.868869781000001</v>
      </c>
      <c r="K1038">
        <v>0</v>
      </c>
      <c r="L1038">
        <v>1200</v>
      </c>
      <c r="M1038">
        <v>1200</v>
      </c>
      <c r="N1038">
        <v>0</v>
      </c>
    </row>
    <row r="1039" spans="1:14" x14ac:dyDescent="0.25">
      <c r="A1039">
        <v>1094.310017</v>
      </c>
      <c r="B1039" s="1">
        <f>DATE(2013,4,29) + TIME(7,26,25)</f>
        <v>41393.310011574074</v>
      </c>
      <c r="C1039">
        <v>1292.7315673999999</v>
      </c>
      <c r="D1039">
        <v>1273.1802978999999</v>
      </c>
      <c r="E1039">
        <v>1343.1975098</v>
      </c>
      <c r="F1039">
        <v>1339.4869385</v>
      </c>
      <c r="G1039">
        <v>80</v>
      </c>
      <c r="H1039">
        <v>58.357627868999998</v>
      </c>
      <c r="I1039">
        <v>50</v>
      </c>
      <c r="J1039">
        <v>49.869415283000002</v>
      </c>
      <c r="K1039">
        <v>0</v>
      </c>
      <c r="L1039">
        <v>1200</v>
      </c>
      <c r="M1039">
        <v>1200</v>
      </c>
      <c r="N1039">
        <v>0</v>
      </c>
    </row>
    <row r="1040" spans="1:14" x14ac:dyDescent="0.25">
      <c r="A1040">
        <v>1096</v>
      </c>
      <c r="B1040" s="1">
        <f>DATE(2013,5,1) + TIME(0,0,0)</f>
        <v>41395</v>
      </c>
      <c r="C1040">
        <v>1292.3430175999999</v>
      </c>
      <c r="D1040">
        <v>1272.5994873</v>
      </c>
      <c r="E1040">
        <v>1343.1879882999999</v>
      </c>
      <c r="F1040">
        <v>1339.4796143000001</v>
      </c>
      <c r="G1040">
        <v>80</v>
      </c>
      <c r="H1040">
        <v>57.931098937999998</v>
      </c>
      <c r="I1040">
        <v>50</v>
      </c>
      <c r="J1040">
        <v>49.869609832999998</v>
      </c>
      <c r="K1040">
        <v>0</v>
      </c>
      <c r="L1040">
        <v>1200</v>
      </c>
      <c r="M1040">
        <v>1200</v>
      </c>
      <c r="N1040">
        <v>0</v>
      </c>
    </row>
    <row r="1041" spans="1:14" x14ac:dyDescent="0.25">
      <c r="A1041">
        <v>1096.0000010000001</v>
      </c>
      <c r="B1041" s="1">
        <f>DATE(2013,5,1) + TIME(0,0,0)</f>
        <v>41395</v>
      </c>
      <c r="C1041">
        <v>1313.1676024999999</v>
      </c>
      <c r="D1041">
        <v>1292.6667480000001</v>
      </c>
      <c r="E1041">
        <v>1339.1984863</v>
      </c>
      <c r="F1041">
        <v>1336.2280272999999</v>
      </c>
      <c r="G1041">
        <v>80</v>
      </c>
      <c r="H1041">
        <v>57.931152343999997</v>
      </c>
      <c r="I1041">
        <v>50</v>
      </c>
      <c r="J1041">
        <v>49.869575500000003</v>
      </c>
      <c r="K1041">
        <v>1200</v>
      </c>
      <c r="L1041">
        <v>0</v>
      </c>
      <c r="M1041">
        <v>0</v>
      </c>
      <c r="N1041">
        <v>1200</v>
      </c>
    </row>
    <row r="1042" spans="1:14" x14ac:dyDescent="0.25">
      <c r="A1042">
        <v>1096.000004</v>
      </c>
      <c r="B1042" s="1">
        <f>DATE(2013,5,1) + TIME(0,0,0)</f>
        <v>41395</v>
      </c>
      <c r="C1042">
        <v>1313.9987793</v>
      </c>
      <c r="D1042">
        <v>1293.5806885</v>
      </c>
      <c r="E1042">
        <v>1338.4373779</v>
      </c>
      <c r="F1042">
        <v>1335.4659423999999</v>
      </c>
      <c r="G1042">
        <v>80</v>
      </c>
      <c r="H1042">
        <v>57.931301116999997</v>
      </c>
      <c r="I1042">
        <v>50</v>
      </c>
      <c r="J1042">
        <v>49.869480133000003</v>
      </c>
      <c r="K1042">
        <v>1200</v>
      </c>
      <c r="L1042">
        <v>0</v>
      </c>
      <c r="M1042">
        <v>0</v>
      </c>
      <c r="N1042">
        <v>1200</v>
      </c>
    </row>
    <row r="1043" spans="1:14" x14ac:dyDescent="0.25">
      <c r="A1043">
        <v>1096.0000130000001</v>
      </c>
      <c r="B1043" s="1">
        <f>DATE(2013,5,1) + TIME(0,0,1)</f>
        <v>41395.000011574077</v>
      </c>
      <c r="C1043">
        <v>1316.1578368999999</v>
      </c>
      <c r="D1043">
        <v>1295.9189452999999</v>
      </c>
      <c r="E1043">
        <v>1336.6845702999999</v>
      </c>
      <c r="F1043">
        <v>1333.7121582</v>
      </c>
      <c r="G1043">
        <v>80</v>
      </c>
      <c r="H1043">
        <v>57.931690216</v>
      </c>
      <c r="I1043">
        <v>50</v>
      </c>
      <c r="J1043">
        <v>49.869258881</v>
      </c>
      <c r="K1043">
        <v>1200</v>
      </c>
      <c r="L1043">
        <v>0</v>
      </c>
      <c r="M1043">
        <v>0</v>
      </c>
      <c r="N1043">
        <v>1200</v>
      </c>
    </row>
    <row r="1044" spans="1:14" x14ac:dyDescent="0.25">
      <c r="A1044">
        <v>1096.0000399999999</v>
      </c>
      <c r="B1044" s="1">
        <f>DATE(2013,5,1) + TIME(0,0,3)</f>
        <v>41395.000034722223</v>
      </c>
      <c r="C1044">
        <v>1320.8229980000001</v>
      </c>
      <c r="D1044">
        <v>1300.8300781</v>
      </c>
      <c r="E1044">
        <v>1333.7127685999999</v>
      </c>
      <c r="F1044">
        <v>1330.7406006000001</v>
      </c>
      <c r="G1044">
        <v>80</v>
      </c>
      <c r="H1044">
        <v>57.932586669999999</v>
      </c>
      <c r="I1044">
        <v>50</v>
      </c>
      <c r="J1044">
        <v>49.868881225999999</v>
      </c>
      <c r="K1044">
        <v>1200</v>
      </c>
      <c r="L1044">
        <v>0</v>
      </c>
      <c r="M1044">
        <v>0</v>
      </c>
      <c r="N1044">
        <v>1200</v>
      </c>
    </row>
    <row r="1045" spans="1:14" x14ac:dyDescent="0.25">
      <c r="A1045">
        <v>1096.000121</v>
      </c>
      <c r="B1045" s="1">
        <f>DATE(2013,5,1) + TIME(0,0,10)</f>
        <v>41395.000115740739</v>
      </c>
      <c r="C1045">
        <v>1328.5035399999999</v>
      </c>
      <c r="D1045">
        <v>1308.6522216999999</v>
      </c>
      <c r="E1045">
        <v>1330.2629394999999</v>
      </c>
      <c r="F1045">
        <v>1327.2977295000001</v>
      </c>
      <c r="G1045">
        <v>80</v>
      </c>
      <c r="H1045">
        <v>57.934375762999998</v>
      </c>
      <c r="I1045">
        <v>50</v>
      </c>
      <c r="J1045">
        <v>49.868434905999997</v>
      </c>
      <c r="K1045">
        <v>1200</v>
      </c>
      <c r="L1045">
        <v>0</v>
      </c>
      <c r="M1045">
        <v>0</v>
      </c>
      <c r="N1045">
        <v>1200</v>
      </c>
    </row>
    <row r="1046" spans="1:14" x14ac:dyDescent="0.25">
      <c r="A1046">
        <v>1096.000364</v>
      </c>
      <c r="B1046" s="1">
        <f>DATE(2013,5,1) + TIME(0,0,31)</f>
        <v>41395.000358796293</v>
      </c>
      <c r="C1046">
        <v>1338.3410644999999</v>
      </c>
      <c r="D1046">
        <v>1318.4611815999999</v>
      </c>
      <c r="E1046">
        <v>1327.0830077999999</v>
      </c>
      <c r="F1046">
        <v>1324.1208495999999</v>
      </c>
      <c r="G1046">
        <v>80</v>
      </c>
      <c r="H1046">
        <v>57.937957763999997</v>
      </c>
      <c r="I1046">
        <v>50</v>
      </c>
      <c r="J1046">
        <v>49.867980957</v>
      </c>
      <c r="K1046">
        <v>1200</v>
      </c>
      <c r="L1046">
        <v>0</v>
      </c>
      <c r="M1046">
        <v>0</v>
      </c>
      <c r="N1046">
        <v>1200</v>
      </c>
    </row>
    <row r="1047" spans="1:14" x14ac:dyDescent="0.25">
      <c r="A1047">
        <v>1096.0010930000001</v>
      </c>
      <c r="B1047" s="1">
        <f>DATE(2013,5,1) + TIME(0,1,34)</f>
        <v>41395.001087962963</v>
      </c>
      <c r="C1047">
        <v>1349.3780518000001</v>
      </c>
      <c r="D1047">
        <v>1329.3765868999999</v>
      </c>
      <c r="E1047">
        <v>1324.0091553</v>
      </c>
      <c r="F1047">
        <v>1321.0357666</v>
      </c>
      <c r="G1047">
        <v>80</v>
      </c>
      <c r="H1047">
        <v>57.946334839000002</v>
      </c>
      <c r="I1047">
        <v>50</v>
      </c>
      <c r="J1047">
        <v>49.867431641000003</v>
      </c>
      <c r="K1047">
        <v>1200</v>
      </c>
      <c r="L1047">
        <v>0</v>
      </c>
      <c r="M1047">
        <v>0</v>
      </c>
      <c r="N1047">
        <v>1200</v>
      </c>
    </row>
    <row r="1048" spans="1:14" x14ac:dyDescent="0.25">
      <c r="A1048">
        <v>1096.0032799999999</v>
      </c>
      <c r="B1048" s="1">
        <f>DATE(2013,5,1) + TIME(0,4,43)</f>
        <v>41395.003275462965</v>
      </c>
      <c r="C1048">
        <v>1361.3171387</v>
      </c>
      <c r="D1048">
        <v>1341.1384277</v>
      </c>
      <c r="E1048">
        <v>1320.7913818</v>
      </c>
      <c r="F1048">
        <v>1317.7896728999999</v>
      </c>
      <c r="G1048">
        <v>80</v>
      </c>
      <c r="H1048">
        <v>57.968894958</v>
      </c>
      <c r="I1048">
        <v>50</v>
      </c>
      <c r="J1048">
        <v>49.866523743000002</v>
      </c>
      <c r="K1048">
        <v>1200</v>
      </c>
      <c r="L1048">
        <v>0</v>
      </c>
      <c r="M1048">
        <v>0</v>
      </c>
      <c r="N1048">
        <v>1200</v>
      </c>
    </row>
    <row r="1049" spans="1:14" x14ac:dyDescent="0.25">
      <c r="A1049">
        <v>1096.0098410000001</v>
      </c>
      <c r="B1049" s="1">
        <f>DATE(2013,5,1) + TIME(0,14,10)</f>
        <v>41395.009837962964</v>
      </c>
      <c r="C1049">
        <v>1373.0756836</v>
      </c>
      <c r="D1049">
        <v>1352.6988524999999</v>
      </c>
      <c r="E1049">
        <v>1318.4018555</v>
      </c>
      <c r="F1049">
        <v>1315.3626709</v>
      </c>
      <c r="G1049">
        <v>80</v>
      </c>
      <c r="H1049">
        <v>58.033969878999997</v>
      </c>
      <c r="I1049">
        <v>50</v>
      </c>
      <c r="J1049">
        <v>49.864696502999998</v>
      </c>
      <c r="K1049">
        <v>1200</v>
      </c>
      <c r="L1049">
        <v>0</v>
      </c>
      <c r="M1049">
        <v>0</v>
      </c>
      <c r="N1049">
        <v>1200</v>
      </c>
    </row>
    <row r="1050" spans="1:14" x14ac:dyDescent="0.25">
      <c r="A1050">
        <v>1096.029524</v>
      </c>
      <c r="B1050" s="1">
        <f>DATE(2013,5,1) + TIME(0,42,30)</f>
        <v>41395.029513888891</v>
      </c>
      <c r="C1050">
        <v>1382.0307617000001</v>
      </c>
      <c r="D1050">
        <v>1361.5598144999999</v>
      </c>
      <c r="E1050">
        <v>1318.4780272999999</v>
      </c>
      <c r="F1050">
        <v>1315.418457</v>
      </c>
      <c r="G1050">
        <v>80</v>
      </c>
      <c r="H1050">
        <v>58.225578308000003</v>
      </c>
      <c r="I1050">
        <v>50</v>
      </c>
      <c r="J1050">
        <v>49.860137938999998</v>
      </c>
      <c r="K1050">
        <v>1200</v>
      </c>
      <c r="L1050">
        <v>0</v>
      </c>
      <c r="M1050">
        <v>0</v>
      </c>
      <c r="N1050">
        <v>1200</v>
      </c>
    </row>
    <row r="1051" spans="1:14" x14ac:dyDescent="0.25">
      <c r="A1051">
        <v>1096.088573</v>
      </c>
      <c r="B1051" s="1">
        <f>DATE(2013,5,1) + TIME(2,7,32)</f>
        <v>41395.088564814818</v>
      </c>
      <c r="C1051">
        <v>1387.0482178</v>
      </c>
      <c r="D1051">
        <v>1366.6968993999999</v>
      </c>
      <c r="E1051">
        <v>1320.3524170000001</v>
      </c>
      <c r="F1051">
        <v>1317.2893065999999</v>
      </c>
      <c r="G1051">
        <v>80</v>
      </c>
      <c r="H1051">
        <v>58.784267426</v>
      </c>
      <c r="I1051">
        <v>50</v>
      </c>
      <c r="J1051">
        <v>49.846908569</v>
      </c>
      <c r="K1051">
        <v>1200</v>
      </c>
      <c r="L1051">
        <v>0</v>
      </c>
      <c r="M1051">
        <v>0</v>
      </c>
      <c r="N1051">
        <v>1200</v>
      </c>
    </row>
    <row r="1052" spans="1:14" x14ac:dyDescent="0.25">
      <c r="A1052">
        <v>1096.1694580000001</v>
      </c>
      <c r="B1052" s="1">
        <f>DATE(2013,5,1) + TIME(4,4,1)</f>
        <v>41395.169456018521</v>
      </c>
      <c r="C1052">
        <v>1388.7866211</v>
      </c>
      <c r="D1052">
        <v>1368.6390381000001</v>
      </c>
      <c r="E1052">
        <v>1321.6783447</v>
      </c>
      <c r="F1052">
        <v>1318.6149902</v>
      </c>
      <c r="G1052">
        <v>80</v>
      </c>
      <c r="H1052">
        <v>59.522933960000003</v>
      </c>
      <c r="I1052">
        <v>50</v>
      </c>
      <c r="J1052">
        <v>49.828948975000003</v>
      </c>
      <c r="K1052">
        <v>1200</v>
      </c>
      <c r="L1052">
        <v>0</v>
      </c>
      <c r="M1052">
        <v>0</v>
      </c>
      <c r="N1052">
        <v>1200</v>
      </c>
    </row>
    <row r="1053" spans="1:14" x14ac:dyDescent="0.25">
      <c r="A1053">
        <v>1096.252158</v>
      </c>
      <c r="B1053" s="1">
        <f>DATE(2013,5,1) + TIME(6,3,6)</f>
        <v>41395.252152777779</v>
      </c>
      <c r="C1053">
        <v>1389.3951416</v>
      </c>
      <c r="D1053">
        <v>1369.4429932</v>
      </c>
      <c r="E1053">
        <v>1322.3791504000001</v>
      </c>
      <c r="F1053">
        <v>1319.3155518000001</v>
      </c>
      <c r="G1053">
        <v>80</v>
      </c>
      <c r="H1053">
        <v>60.251728057999998</v>
      </c>
      <c r="I1053">
        <v>50</v>
      </c>
      <c r="J1053">
        <v>49.810737609999997</v>
      </c>
      <c r="K1053">
        <v>1200</v>
      </c>
      <c r="L1053">
        <v>0</v>
      </c>
      <c r="M1053">
        <v>0</v>
      </c>
      <c r="N1053">
        <v>1200</v>
      </c>
    </row>
    <row r="1054" spans="1:14" x14ac:dyDescent="0.25">
      <c r="A1054">
        <v>1096.3367049999999</v>
      </c>
      <c r="B1054" s="1">
        <f>DATE(2013,5,1) + TIME(8,4,51)</f>
        <v>41395.336701388886</v>
      </c>
      <c r="C1054">
        <v>1389.5853271000001</v>
      </c>
      <c r="D1054">
        <v>1369.8229980000001</v>
      </c>
      <c r="E1054">
        <v>1322.7650146000001</v>
      </c>
      <c r="F1054">
        <v>1319.7010498</v>
      </c>
      <c r="G1054">
        <v>80</v>
      </c>
      <c r="H1054">
        <v>60.969978333</v>
      </c>
      <c r="I1054">
        <v>50</v>
      </c>
      <c r="J1054">
        <v>49.792308806999998</v>
      </c>
      <c r="K1054">
        <v>1200</v>
      </c>
      <c r="L1054">
        <v>0</v>
      </c>
      <c r="M1054">
        <v>0</v>
      </c>
      <c r="N1054">
        <v>1200</v>
      </c>
    </row>
    <row r="1055" spans="1:14" x14ac:dyDescent="0.25">
      <c r="A1055">
        <v>1096.4231749999999</v>
      </c>
      <c r="B1055" s="1">
        <f>DATE(2013,5,1) + TIME(10,9,22)</f>
        <v>41395.423171296294</v>
      </c>
      <c r="C1055">
        <v>1389.5778809000001</v>
      </c>
      <c r="D1055">
        <v>1369.9990233999999</v>
      </c>
      <c r="E1055">
        <v>1322.9805908000001</v>
      </c>
      <c r="F1055">
        <v>1319.9161377</v>
      </c>
      <c r="G1055">
        <v>80</v>
      </c>
      <c r="H1055">
        <v>61.677825927999997</v>
      </c>
      <c r="I1055">
        <v>50</v>
      </c>
      <c r="J1055">
        <v>49.773674010999997</v>
      </c>
      <c r="K1055">
        <v>1200</v>
      </c>
      <c r="L1055">
        <v>0</v>
      </c>
      <c r="M1055">
        <v>0</v>
      </c>
      <c r="N1055">
        <v>1200</v>
      </c>
    </row>
    <row r="1056" spans="1:14" x14ac:dyDescent="0.25">
      <c r="A1056">
        <v>1096.511661</v>
      </c>
      <c r="B1056" s="1">
        <f>DATE(2013,5,1) + TIME(12,16,47)</f>
        <v>41395.511655092596</v>
      </c>
      <c r="C1056">
        <v>1389.4677733999999</v>
      </c>
      <c r="D1056">
        <v>1370.0661620999999</v>
      </c>
      <c r="E1056">
        <v>1323.1009521000001</v>
      </c>
      <c r="F1056">
        <v>1320.0360106999999</v>
      </c>
      <c r="G1056">
        <v>80</v>
      </c>
      <c r="H1056">
        <v>62.375167847</v>
      </c>
      <c r="I1056">
        <v>50</v>
      </c>
      <c r="J1056">
        <v>49.754829407000003</v>
      </c>
      <c r="K1056">
        <v>1200</v>
      </c>
      <c r="L1056">
        <v>0</v>
      </c>
      <c r="M1056">
        <v>0</v>
      </c>
      <c r="N1056">
        <v>1200</v>
      </c>
    </row>
    <row r="1057" spans="1:14" x14ac:dyDescent="0.25">
      <c r="A1057">
        <v>1096.602288</v>
      </c>
      <c r="B1057" s="1">
        <f>DATE(2013,5,1) + TIME(14,27,17)</f>
        <v>41395.602280092593</v>
      </c>
      <c r="C1057">
        <v>1389.3039550999999</v>
      </c>
      <c r="D1057">
        <v>1370.0732422000001</v>
      </c>
      <c r="E1057">
        <v>1323.1676024999999</v>
      </c>
      <c r="F1057">
        <v>1320.1021728999999</v>
      </c>
      <c r="G1057">
        <v>80</v>
      </c>
      <c r="H1057">
        <v>63.062080383000001</v>
      </c>
      <c r="I1057">
        <v>50</v>
      </c>
      <c r="J1057">
        <v>49.735763550000001</v>
      </c>
      <c r="K1057">
        <v>1200</v>
      </c>
      <c r="L1057">
        <v>0</v>
      </c>
      <c r="M1057">
        <v>0</v>
      </c>
      <c r="N1057">
        <v>1200</v>
      </c>
    </row>
    <row r="1058" spans="1:14" x14ac:dyDescent="0.25">
      <c r="A1058">
        <v>1096.6951779999999</v>
      </c>
      <c r="B1058" s="1">
        <f>DATE(2013,5,1) + TIME(16,41,3)</f>
        <v>41395.695173611108</v>
      </c>
      <c r="C1058">
        <v>1389.1134033000001</v>
      </c>
      <c r="D1058">
        <v>1370.0477295000001</v>
      </c>
      <c r="E1058">
        <v>1323.2041016000001</v>
      </c>
      <c r="F1058">
        <v>1320.1381836</v>
      </c>
      <c r="G1058">
        <v>80</v>
      </c>
      <c r="H1058">
        <v>63.738529204999999</v>
      </c>
      <c r="I1058">
        <v>50</v>
      </c>
      <c r="J1058">
        <v>49.716468810999999</v>
      </c>
      <c r="K1058">
        <v>1200</v>
      </c>
      <c r="L1058">
        <v>0</v>
      </c>
      <c r="M1058">
        <v>0</v>
      </c>
      <c r="N1058">
        <v>1200</v>
      </c>
    </row>
    <row r="1059" spans="1:14" x14ac:dyDescent="0.25">
      <c r="A1059">
        <v>1096.790463</v>
      </c>
      <c r="B1059" s="1">
        <f>DATE(2013,5,1) + TIME(18,58,15)</f>
        <v>41395.790451388886</v>
      </c>
      <c r="C1059">
        <v>1388.9108887</v>
      </c>
      <c r="D1059">
        <v>1370.0046387</v>
      </c>
      <c r="E1059">
        <v>1323.2238769999999</v>
      </c>
      <c r="F1059">
        <v>1320.1573486</v>
      </c>
      <c r="G1059">
        <v>80</v>
      </c>
      <c r="H1059">
        <v>64.404464722</v>
      </c>
      <c r="I1059">
        <v>50</v>
      </c>
      <c r="J1059">
        <v>49.696922301999997</v>
      </c>
      <c r="K1059">
        <v>1200</v>
      </c>
      <c r="L1059">
        <v>0</v>
      </c>
      <c r="M1059">
        <v>0</v>
      </c>
      <c r="N1059">
        <v>1200</v>
      </c>
    </row>
    <row r="1060" spans="1:14" x14ac:dyDescent="0.25">
      <c r="A1060">
        <v>1096.888285</v>
      </c>
      <c r="B1060" s="1">
        <f>DATE(2013,5,1) + TIME(21,19,7)</f>
        <v>41395.888275462959</v>
      </c>
      <c r="C1060">
        <v>1388.7048339999999</v>
      </c>
      <c r="D1060">
        <v>1369.9523925999999</v>
      </c>
      <c r="E1060">
        <v>1323.2342529</v>
      </c>
      <c r="F1060">
        <v>1320.1672363</v>
      </c>
      <c r="G1060">
        <v>80</v>
      </c>
      <c r="H1060">
        <v>65.059852599999999</v>
      </c>
      <c r="I1060">
        <v>50</v>
      </c>
      <c r="J1060">
        <v>49.677116394000002</v>
      </c>
      <c r="K1060">
        <v>1200</v>
      </c>
      <c r="L1060">
        <v>0</v>
      </c>
      <c r="M1060">
        <v>0</v>
      </c>
      <c r="N1060">
        <v>1200</v>
      </c>
    </row>
    <row r="1061" spans="1:14" x14ac:dyDescent="0.25">
      <c r="A1061">
        <v>1096.988801</v>
      </c>
      <c r="B1061" s="1">
        <f>DATE(2013,5,1) + TIME(23,43,52)</f>
        <v>41395.988796296297</v>
      </c>
      <c r="C1061">
        <v>1388.4997559000001</v>
      </c>
      <c r="D1061">
        <v>1369.895874</v>
      </c>
      <c r="E1061">
        <v>1323.239624</v>
      </c>
      <c r="F1061">
        <v>1320.1719971</v>
      </c>
      <c r="G1061">
        <v>80</v>
      </c>
      <c r="H1061">
        <v>65.704742432000003</v>
      </c>
      <c r="I1061">
        <v>50</v>
      </c>
      <c r="J1061">
        <v>49.657024384000003</v>
      </c>
      <c r="K1061">
        <v>1200</v>
      </c>
      <c r="L1061">
        <v>0</v>
      </c>
      <c r="M1061">
        <v>0</v>
      </c>
      <c r="N1061">
        <v>1200</v>
      </c>
    </row>
    <row r="1062" spans="1:14" x14ac:dyDescent="0.25">
      <c r="A1062">
        <v>1097.0921780000001</v>
      </c>
      <c r="B1062" s="1">
        <f>DATE(2013,5,2) + TIME(2,12,44)</f>
        <v>41396.092175925929</v>
      </c>
      <c r="C1062">
        <v>1388.2978516000001</v>
      </c>
      <c r="D1062">
        <v>1369.8374022999999</v>
      </c>
      <c r="E1062">
        <v>1323.2421875</v>
      </c>
      <c r="F1062">
        <v>1320.1739502</v>
      </c>
      <c r="G1062">
        <v>80</v>
      </c>
      <c r="H1062">
        <v>66.338928222999996</v>
      </c>
      <c r="I1062">
        <v>50</v>
      </c>
      <c r="J1062">
        <v>49.636634827000002</v>
      </c>
      <c r="K1062">
        <v>1200</v>
      </c>
      <c r="L1062">
        <v>0</v>
      </c>
      <c r="M1062">
        <v>0</v>
      </c>
      <c r="N1062">
        <v>1200</v>
      </c>
    </row>
    <row r="1063" spans="1:14" x14ac:dyDescent="0.25">
      <c r="A1063">
        <v>1097.1985990000001</v>
      </c>
      <c r="B1063" s="1">
        <f>DATE(2013,5,2) + TIME(4,45,58)</f>
        <v>41396.198587962965</v>
      </c>
      <c r="C1063">
        <v>1388.1002197</v>
      </c>
      <c r="D1063">
        <v>1369.7784423999999</v>
      </c>
      <c r="E1063">
        <v>1323.2431641000001</v>
      </c>
      <c r="F1063">
        <v>1320.1744385</v>
      </c>
      <c r="G1063">
        <v>80</v>
      </c>
      <c r="H1063">
        <v>66.962295531999999</v>
      </c>
      <c r="I1063">
        <v>50</v>
      </c>
      <c r="J1063">
        <v>49.615917205999999</v>
      </c>
      <c r="K1063">
        <v>1200</v>
      </c>
      <c r="L1063">
        <v>0</v>
      </c>
      <c r="M1063">
        <v>0</v>
      </c>
      <c r="N1063">
        <v>1200</v>
      </c>
    </row>
    <row r="1064" spans="1:14" x14ac:dyDescent="0.25">
      <c r="A1064">
        <v>1097.308266</v>
      </c>
      <c r="B1064" s="1">
        <f>DATE(2013,5,2) + TIME(7,23,54)</f>
        <v>41396.308263888888</v>
      </c>
      <c r="C1064">
        <v>1387.9074707</v>
      </c>
      <c r="D1064">
        <v>1369.7194824000001</v>
      </c>
      <c r="E1064">
        <v>1323.2432861</v>
      </c>
      <c r="F1064">
        <v>1320.1739502</v>
      </c>
      <c r="G1064">
        <v>80</v>
      </c>
      <c r="H1064">
        <v>67.574745178000001</v>
      </c>
      <c r="I1064">
        <v>50</v>
      </c>
      <c r="J1064">
        <v>49.594856262</v>
      </c>
      <c r="K1064">
        <v>1200</v>
      </c>
      <c r="L1064">
        <v>0</v>
      </c>
      <c r="M1064">
        <v>0</v>
      </c>
      <c r="N1064">
        <v>1200</v>
      </c>
    </row>
    <row r="1065" spans="1:14" x14ac:dyDescent="0.25">
      <c r="A1065">
        <v>1097.4213999999999</v>
      </c>
      <c r="B1065" s="1">
        <f>DATE(2013,5,2) + TIME(10,6,48)</f>
        <v>41396.421388888892</v>
      </c>
      <c r="C1065">
        <v>1387.7196045000001</v>
      </c>
      <c r="D1065">
        <v>1369.6610106999999</v>
      </c>
      <c r="E1065">
        <v>1323.2429199000001</v>
      </c>
      <c r="F1065">
        <v>1320.1729736</v>
      </c>
      <c r="G1065">
        <v>80</v>
      </c>
      <c r="H1065">
        <v>68.176155089999995</v>
      </c>
      <c r="I1065">
        <v>50</v>
      </c>
      <c r="J1065">
        <v>49.573421478</v>
      </c>
      <c r="K1065">
        <v>1200</v>
      </c>
      <c r="L1065">
        <v>0</v>
      </c>
      <c r="M1065">
        <v>0</v>
      </c>
      <c r="N1065">
        <v>1200</v>
      </c>
    </row>
    <row r="1066" spans="1:14" x14ac:dyDescent="0.25">
      <c r="A1066">
        <v>1097.538292</v>
      </c>
      <c r="B1066" s="1">
        <f>DATE(2013,5,2) + TIME(12,55,8)</f>
        <v>41396.538287037038</v>
      </c>
      <c r="C1066">
        <v>1387.536499</v>
      </c>
      <c r="D1066">
        <v>1369.6029053</v>
      </c>
      <c r="E1066">
        <v>1323.2421875</v>
      </c>
      <c r="F1066">
        <v>1320.1716309000001</v>
      </c>
      <c r="G1066">
        <v>80</v>
      </c>
      <c r="H1066">
        <v>68.766639709000003</v>
      </c>
      <c r="I1066">
        <v>50</v>
      </c>
      <c r="J1066">
        <v>49.551578522</v>
      </c>
      <c r="K1066">
        <v>1200</v>
      </c>
      <c r="L1066">
        <v>0</v>
      </c>
      <c r="M1066">
        <v>0</v>
      </c>
      <c r="N1066">
        <v>1200</v>
      </c>
    </row>
    <row r="1067" spans="1:14" x14ac:dyDescent="0.25">
      <c r="A1067">
        <v>1097.659159</v>
      </c>
      <c r="B1067" s="1">
        <f>DATE(2013,5,2) + TIME(15,49,11)</f>
        <v>41396.659155092595</v>
      </c>
      <c r="C1067">
        <v>1387.3580322</v>
      </c>
      <c r="D1067">
        <v>1369.5451660000001</v>
      </c>
      <c r="E1067">
        <v>1323.2413329999999</v>
      </c>
      <c r="F1067">
        <v>1320.1701660000001</v>
      </c>
      <c r="G1067">
        <v>80</v>
      </c>
      <c r="H1067">
        <v>69.345771790000001</v>
      </c>
      <c r="I1067">
        <v>50</v>
      </c>
      <c r="J1067">
        <v>49.529304504000002</v>
      </c>
      <c r="K1067">
        <v>1200</v>
      </c>
      <c r="L1067">
        <v>0</v>
      </c>
      <c r="M1067">
        <v>0</v>
      </c>
      <c r="N1067">
        <v>1200</v>
      </c>
    </row>
    <row r="1068" spans="1:14" x14ac:dyDescent="0.25">
      <c r="A1068">
        <v>1097.784294</v>
      </c>
      <c r="B1068" s="1">
        <f>DATE(2013,5,2) + TIME(18,49,22)</f>
        <v>41396.784282407411</v>
      </c>
      <c r="C1068">
        <v>1387.1842041</v>
      </c>
      <c r="D1068">
        <v>1369.4879149999999</v>
      </c>
      <c r="E1068">
        <v>1323.2403564000001</v>
      </c>
      <c r="F1068">
        <v>1320.168457</v>
      </c>
      <c r="G1068">
        <v>80</v>
      </c>
      <c r="H1068">
        <v>69.913391113000003</v>
      </c>
      <c r="I1068">
        <v>50</v>
      </c>
      <c r="J1068">
        <v>49.506565094000003</v>
      </c>
      <c r="K1068">
        <v>1200</v>
      </c>
      <c r="L1068">
        <v>0</v>
      </c>
      <c r="M1068">
        <v>0</v>
      </c>
      <c r="N1068">
        <v>1200</v>
      </c>
    </row>
    <row r="1069" spans="1:14" x14ac:dyDescent="0.25">
      <c r="A1069">
        <v>1097.914021</v>
      </c>
      <c r="B1069" s="1">
        <f>DATE(2013,5,2) + TIME(21,56,11)</f>
        <v>41396.9140162037</v>
      </c>
      <c r="C1069">
        <v>1387.0145264</v>
      </c>
      <c r="D1069">
        <v>1369.4310303</v>
      </c>
      <c r="E1069">
        <v>1323.2392577999999</v>
      </c>
      <c r="F1069">
        <v>1320.166626</v>
      </c>
      <c r="G1069">
        <v>80</v>
      </c>
      <c r="H1069">
        <v>70.468963622999993</v>
      </c>
      <c r="I1069">
        <v>50</v>
      </c>
      <c r="J1069">
        <v>49.483322143999999</v>
      </c>
      <c r="K1069">
        <v>1200</v>
      </c>
      <c r="L1069">
        <v>0</v>
      </c>
      <c r="M1069">
        <v>0</v>
      </c>
      <c r="N1069">
        <v>1200</v>
      </c>
    </row>
    <row r="1070" spans="1:14" x14ac:dyDescent="0.25">
      <c r="A1070">
        <v>1098.048702</v>
      </c>
      <c r="B1070" s="1">
        <f>DATE(2013,5,3) + TIME(1,10,7)</f>
        <v>41397.048692129632</v>
      </c>
      <c r="C1070">
        <v>1386.8488769999999</v>
      </c>
      <c r="D1070">
        <v>1369.3741454999999</v>
      </c>
      <c r="E1070">
        <v>1323.2379149999999</v>
      </c>
      <c r="F1070">
        <v>1320.1646728999999</v>
      </c>
      <c r="G1070">
        <v>80</v>
      </c>
      <c r="H1070">
        <v>71.012535095000004</v>
      </c>
      <c r="I1070">
        <v>50</v>
      </c>
      <c r="J1070">
        <v>49.459541321000003</v>
      </c>
      <c r="K1070">
        <v>1200</v>
      </c>
      <c r="L1070">
        <v>0</v>
      </c>
      <c r="M1070">
        <v>0</v>
      </c>
      <c r="N1070">
        <v>1200</v>
      </c>
    </row>
    <row r="1071" spans="1:14" x14ac:dyDescent="0.25">
      <c r="A1071">
        <v>1098.1887389999999</v>
      </c>
      <c r="B1071" s="1">
        <f>DATE(2013,5,3) + TIME(4,31,47)</f>
        <v>41397.188738425924</v>
      </c>
      <c r="C1071">
        <v>1386.6868896000001</v>
      </c>
      <c r="D1071">
        <v>1369.3175048999999</v>
      </c>
      <c r="E1071">
        <v>1323.2365723</v>
      </c>
      <c r="F1071">
        <v>1320.1625977000001</v>
      </c>
      <c r="G1071">
        <v>80</v>
      </c>
      <c r="H1071">
        <v>71.543960571</v>
      </c>
      <c r="I1071">
        <v>50</v>
      </c>
      <c r="J1071">
        <v>49.435173034999998</v>
      </c>
      <c r="K1071">
        <v>1200</v>
      </c>
      <c r="L1071">
        <v>0</v>
      </c>
      <c r="M1071">
        <v>0</v>
      </c>
      <c r="N1071">
        <v>1200</v>
      </c>
    </row>
    <row r="1072" spans="1:14" x14ac:dyDescent="0.25">
      <c r="A1072">
        <v>1098.334582</v>
      </c>
      <c r="B1072" s="1">
        <f>DATE(2013,5,3) + TIME(8,1,47)</f>
        <v>41397.33457175926</v>
      </c>
      <c r="C1072">
        <v>1386.5284423999999</v>
      </c>
      <c r="D1072">
        <v>1369.2607422000001</v>
      </c>
      <c r="E1072">
        <v>1323.2351074000001</v>
      </c>
      <c r="F1072">
        <v>1320.1604004000001</v>
      </c>
      <c r="G1072">
        <v>80</v>
      </c>
      <c r="H1072">
        <v>72.062995911000002</v>
      </c>
      <c r="I1072">
        <v>50</v>
      </c>
      <c r="J1072">
        <v>49.410167694000002</v>
      </c>
      <c r="K1072">
        <v>1200</v>
      </c>
      <c r="L1072">
        <v>0</v>
      </c>
      <c r="M1072">
        <v>0</v>
      </c>
      <c r="N1072">
        <v>1200</v>
      </c>
    </row>
    <row r="1073" spans="1:14" x14ac:dyDescent="0.25">
      <c r="A1073">
        <v>1098.486742</v>
      </c>
      <c r="B1073" s="1">
        <f>DATE(2013,5,3) + TIME(11,40,54)</f>
        <v>41397.48673611111</v>
      </c>
      <c r="C1073">
        <v>1386.3732910000001</v>
      </c>
      <c r="D1073">
        <v>1369.2037353999999</v>
      </c>
      <c r="E1073">
        <v>1323.2335204999999</v>
      </c>
      <c r="F1073">
        <v>1320.1580810999999</v>
      </c>
      <c r="G1073">
        <v>80</v>
      </c>
      <c r="H1073">
        <v>72.569381714000002</v>
      </c>
      <c r="I1073">
        <v>50</v>
      </c>
      <c r="J1073">
        <v>49.384468079000001</v>
      </c>
      <c r="K1073">
        <v>1200</v>
      </c>
      <c r="L1073">
        <v>0</v>
      </c>
      <c r="M1073">
        <v>0</v>
      </c>
      <c r="N1073">
        <v>1200</v>
      </c>
    </row>
    <row r="1074" spans="1:14" x14ac:dyDescent="0.25">
      <c r="A1074">
        <v>1098.6457909999999</v>
      </c>
      <c r="B1074" s="1">
        <f>DATE(2013,5,3) + TIME(15,29,56)</f>
        <v>41397.645787037036</v>
      </c>
      <c r="C1074">
        <v>1386.2210693</v>
      </c>
      <c r="D1074">
        <v>1369.1463623</v>
      </c>
      <c r="E1074">
        <v>1323.2318115</v>
      </c>
      <c r="F1074">
        <v>1320.1556396000001</v>
      </c>
      <c r="G1074">
        <v>80</v>
      </c>
      <c r="H1074">
        <v>73.062835692999997</v>
      </c>
      <c r="I1074">
        <v>50</v>
      </c>
      <c r="J1074">
        <v>49.358016968000001</v>
      </c>
      <c r="K1074">
        <v>1200</v>
      </c>
      <c r="L1074">
        <v>0</v>
      </c>
      <c r="M1074">
        <v>0</v>
      </c>
      <c r="N1074">
        <v>1200</v>
      </c>
    </row>
    <row r="1075" spans="1:14" x14ac:dyDescent="0.25">
      <c r="A1075">
        <v>1098.8123849999999</v>
      </c>
      <c r="B1075" s="1">
        <f>DATE(2013,5,3) + TIME(19,29,50)</f>
        <v>41397.812384259261</v>
      </c>
      <c r="C1075">
        <v>1386.0715332</v>
      </c>
      <c r="D1075">
        <v>1369.088501</v>
      </c>
      <c r="E1075">
        <v>1323.2299805</v>
      </c>
      <c r="F1075">
        <v>1320.1529541</v>
      </c>
      <c r="G1075">
        <v>80</v>
      </c>
      <c r="H1075">
        <v>73.543060303000004</v>
      </c>
      <c r="I1075">
        <v>50</v>
      </c>
      <c r="J1075">
        <v>49.330734253000003</v>
      </c>
      <c r="K1075">
        <v>1200</v>
      </c>
      <c r="L1075">
        <v>0</v>
      </c>
      <c r="M1075">
        <v>0</v>
      </c>
      <c r="N1075">
        <v>1200</v>
      </c>
    </row>
    <row r="1076" spans="1:14" x14ac:dyDescent="0.25">
      <c r="A1076">
        <v>1098.987357</v>
      </c>
      <c r="B1076" s="1">
        <f>DATE(2013,5,3) + TIME(23,41,47)</f>
        <v>41397.987349537034</v>
      </c>
      <c r="C1076">
        <v>1385.9244385</v>
      </c>
      <c r="D1076">
        <v>1369.0299072</v>
      </c>
      <c r="E1076">
        <v>1323.2280272999999</v>
      </c>
      <c r="F1076">
        <v>1320.1502685999999</v>
      </c>
      <c r="G1076">
        <v>80</v>
      </c>
      <c r="H1076">
        <v>74.009948730000005</v>
      </c>
      <c r="I1076">
        <v>50</v>
      </c>
      <c r="J1076">
        <v>49.302536011000001</v>
      </c>
      <c r="K1076">
        <v>1200</v>
      </c>
      <c r="L1076">
        <v>0</v>
      </c>
      <c r="M1076">
        <v>0</v>
      </c>
      <c r="N1076">
        <v>1200</v>
      </c>
    </row>
    <row r="1077" spans="1:14" x14ac:dyDescent="0.25">
      <c r="A1077">
        <v>1099.1715429999999</v>
      </c>
      <c r="B1077" s="1">
        <f>DATE(2013,5,4) + TIME(4,7,1)</f>
        <v>41398.171539351853</v>
      </c>
      <c r="C1077">
        <v>1385.7794189000001</v>
      </c>
      <c r="D1077">
        <v>1368.9705810999999</v>
      </c>
      <c r="E1077">
        <v>1323.2259521000001</v>
      </c>
      <c r="F1077">
        <v>1320.1472168</v>
      </c>
      <c r="G1077">
        <v>80</v>
      </c>
      <c r="H1077">
        <v>74.463058472</v>
      </c>
      <c r="I1077">
        <v>50</v>
      </c>
      <c r="J1077">
        <v>49.273326873999999</v>
      </c>
      <c r="K1077">
        <v>1200</v>
      </c>
      <c r="L1077">
        <v>0</v>
      </c>
      <c r="M1077">
        <v>0</v>
      </c>
      <c r="N1077">
        <v>1200</v>
      </c>
    </row>
    <row r="1078" spans="1:14" x14ac:dyDescent="0.25">
      <c r="A1078">
        <v>1099.3659050000001</v>
      </c>
      <c r="B1078" s="1">
        <f>DATE(2013,5,4) + TIME(8,46,54)</f>
        <v>41398.365902777776</v>
      </c>
      <c r="C1078">
        <v>1385.6363524999999</v>
      </c>
      <c r="D1078">
        <v>1368.9101562000001</v>
      </c>
      <c r="E1078">
        <v>1323.2236327999999</v>
      </c>
      <c r="F1078">
        <v>1320.1441649999999</v>
      </c>
      <c r="G1078">
        <v>80</v>
      </c>
      <c r="H1078">
        <v>74.901908875000004</v>
      </c>
      <c r="I1078">
        <v>50</v>
      </c>
      <c r="J1078">
        <v>49.243007660000004</v>
      </c>
      <c r="K1078">
        <v>1200</v>
      </c>
      <c r="L1078">
        <v>0</v>
      </c>
      <c r="M1078">
        <v>0</v>
      </c>
      <c r="N1078">
        <v>1200</v>
      </c>
    </row>
    <row r="1079" spans="1:14" x14ac:dyDescent="0.25">
      <c r="A1079">
        <v>1099.571614</v>
      </c>
      <c r="B1079" s="1">
        <f>DATE(2013,5,4) + TIME(13,43,7)</f>
        <v>41398.571608796294</v>
      </c>
      <c r="C1079">
        <v>1385.4949951000001</v>
      </c>
      <c r="D1079">
        <v>1368.8483887</v>
      </c>
      <c r="E1079">
        <v>1323.2213135</v>
      </c>
      <c r="F1079">
        <v>1320.1407471</v>
      </c>
      <c r="G1079">
        <v>80</v>
      </c>
      <c r="H1079">
        <v>75.325851439999994</v>
      </c>
      <c r="I1079">
        <v>50</v>
      </c>
      <c r="J1079">
        <v>49.211456298999998</v>
      </c>
      <c r="K1079">
        <v>1200</v>
      </c>
      <c r="L1079">
        <v>0</v>
      </c>
      <c r="M1079">
        <v>0</v>
      </c>
      <c r="N1079">
        <v>1200</v>
      </c>
    </row>
    <row r="1080" spans="1:14" x14ac:dyDescent="0.25">
      <c r="A1080">
        <v>1099.7900460000001</v>
      </c>
      <c r="B1080" s="1">
        <f>DATE(2013,5,4) + TIME(18,57,39)</f>
        <v>41398.790034722224</v>
      </c>
      <c r="C1080">
        <v>1385.3548584</v>
      </c>
      <c r="D1080">
        <v>1368.7852783000001</v>
      </c>
      <c r="E1080">
        <v>1323.2186279</v>
      </c>
      <c r="F1080">
        <v>1320.137207</v>
      </c>
      <c r="G1080">
        <v>80</v>
      </c>
      <c r="H1080">
        <v>75.734649657999995</v>
      </c>
      <c r="I1080">
        <v>50</v>
      </c>
      <c r="J1080">
        <v>49.178527832</v>
      </c>
      <c r="K1080">
        <v>1200</v>
      </c>
      <c r="L1080">
        <v>0</v>
      </c>
      <c r="M1080">
        <v>0</v>
      </c>
      <c r="N1080">
        <v>1200</v>
      </c>
    </row>
    <row r="1081" spans="1:14" x14ac:dyDescent="0.25">
      <c r="A1081">
        <v>1100.0228139999999</v>
      </c>
      <c r="B1081" s="1">
        <f>DATE(2013,5,5) + TIME(0,32,51)</f>
        <v>41399.022812499999</v>
      </c>
      <c r="C1081">
        <v>1385.2155762</v>
      </c>
      <c r="D1081">
        <v>1368.7204589999999</v>
      </c>
      <c r="E1081">
        <v>1323.2159423999999</v>
      </c>
      <c r="F1081">
        <v>1320.1334228999999</v>
      </c>
      <c r="G1081">
        <v>80</v>
      </c>
      <c r="H1081">
        <v>76.127876282000003</v>
      </c>
      <c r="I1081">
        <v>50</v>
      </c>
      <c r="J1081">
        <v>49.144058227999999</v>
      </c>
      <c r="K1081">
        <v>1200</v>
      </c>
      <c r="L1081">
        <v>0</v>
      </c>
      <c r="M1081">
        <v>0</v>
      </c>
      <c r="N1081">
        <v>1200</v>
      </c>
    </row>
    <row r="1082" spans="1:14" x14ac:dyDescent="0.25">
      <c r="A1082">
        <v>1100.271857</v>
      </c>
      <c r="B1082" s="1">
        <f>DATE(2013,5,5) + TIME(6,31,28)</f>
        <v>41399.271851851852</v>
      </c>
      <c r="C1082">
        <v>1385.0770264</v>
      </c>
      <c r="D1082">
        <v>1368.6536865</v>
      </c>
      <c r="E1082">
        <v>1323.2128906</v>
      </c>
      <c r="F1082">
        <v>1320.1293945</v>
      </c>
      <c r="G1082">
        <v>80</v>
      </c>
      <c r="H1082">
        <v>76.505035399999997</v>
      </c>
      <c r="I1082">
        <v>50</v>
      </c>
      <c r="J1082">
        <v>49.107841491999999</v>
      </c>
      <c r="K1082">
        <v>1200</v>
      </c>
      <c r="L1082">
        <v>0</v>
      </c>
      <c r="M1082">
        <v>0</v>
      </c>
      <c r="N1082">
        <v>1200</v>
      </c>
    </row>
    <row r="1083" spans="1:14" x14ac:dyDescent="0.25">
      <c r="A1083">
        <v>1100.5395840000001</v>
      </c>
      <c r="B1083" s="1">
        <f>DATE(2013,5,5) + TIME(12,57,0)</f>
        <v>41399.539583333331</v>
      </c>
      <c r="C1083">
        <v>1384.9385986</v>
      </c>
      <c r="D1083">
        <v>1368.5847168</v>
      </c>
      <c r="E1083">
        <v>1323.2097168</v>
      </c>
      <c r="F1083">
        <v>1320.125</v>
      </c>
      <c r="G1083">
        <v>80</v>
      </c>
      <c r="H1083">
        <v>76.865669249999996</v>
      </c>
      <c r="I1083">
        <v>50</v>
      </c>
      <c r="J1083">
        <v>49.069641113000003</v>
      </c>
      <c r="K1083">
        <v>1200</v>
      </c>
      <c r="L1083">
        <v>0</v>
      </c>
      <c r="M1083">
        <v>0</v>
      </c>
      <c r="N1083">
        <v>1200</v>
      </c>
    </row>
    <row r="1084" spans="1:14" x14ac:dyDescent="0.25">
      <c r="A1084">
        <v>1100.8289110000001</v>
      </c>
      <c r="B1084" s="1">
        <f>DATE(2013,5,5) + TIME(19,53,37)</f>
        <v>41399.828900462962</v>
      </c>
      <c r="C1084">
        <v>1384.7999268000001</v>
      </c>
      <c r="D1084">
        <v>1368.5129394999999</v>
      </c>
      <c r="E1084">
        <v>1323.2061768000001</v>
      </c>
      <c r="F1084">
        <v>1320.1202393000001</v>
      </c>
      <c r="G1084">
        <v>80</v>
      </c>
      <c r="H1084">
        <v>77.209213257000002</v>
      </c>
      <c r="I1084">
        <v>50</v>
      </c>
      <c r="J1084">
        <v>49.029159546000002</v>
      </c>
      <c r="K1084">
        <v>1200</v>
      </c>
      <c r="L1084">
        <v>0</v>
      </c>
      <c r="M1084">
        <v>0</v>
      </c>
      <c r="N1084">
        <v>1200</v>
      </c>
    </row>
    <row r="1085" spans="1:14" x14ac:dyDescent="0.25">
      <c r="A1085">
        <v>1101.1228840000001</v>
      </c>
      <c r="B1085" s="1">
        <f>DATE(2013,5,6) + TIME(2,56,57)</f>
        <v>41400.122881944444</v>
      </c>
      <c r="C1085">
        <v>1384.6677245999999</v>
      </c>
      <c r="D1085">
        <v>1368.440918</v>
      </c>
      <c r="E1085">
        <v>1323.2022704999999</v>
      </c>
      <c r="F1085">
        <v>1320.1151123</v>
      </c>
      <c r="G1085">
        <v>80</v>
      </c>
      <c r="H1085">
        <v>77.516334533999995</v>
      </c>
      <c r="I1085">
        <v>50</v>
      </c>
      <c r="J1085">
        <v>48.988590240000001</v>
      </c>
      <c r="K1085">
        <v>1200</v>
      </c>
      <c r="L1085">
        <v>0</v>
      </c>
      <c r="M1085">
        <v>0</v>
      </c>
      <c r="N1085">
        <v>1200</v>
      </c>
    </row>
    <row r="1086" spans="1:14" x14ac:dyDescent="0.25">
      <c r="A1086">
        <v>1101.418733</v>
      </c>
      <c r="B1086" s="1">
        <f>DATE(2013,5,6) + TIME(10,2,58)</f>
        <v>41400.418726851851</v>
      </c>
      <c r="C1086">
        <v>1384.5429687999999</v>
      </c>
      <c r="D1086">
        <v>1368.3704834</v>
      </c>
      <c r="E1086">
        <v>1323.1982422000001</v>
      </c>
      <c r="F1086">
        <v>1320.1098632999999</v>
      </c>
      <c r="G1086">
        <v>80</v>
      </c>
      <c r="H1086">
        <v>77.788047790999997</v>
      </c>
      <c r="I1086">
        <v>50</v>
      </c>
      <c r="J1086">
        <v>48.948265075999998</v>
      </c>
      <c r="K1086">
        <v>1200</v>
      </c>
      <c r="L1086">
        <v>0</v>
      </c>
      <c r="M1086">
        <v>0</v>
      </c>
      <c r="N1086">
        <v>1200</v>
      </c>
    </row>
    <row r="1087" spans="1:14" x14ac:dyDescent="0.25">
      <c r="A1087">
        <v>1101.7175609999999</v>
      </c>
      <c r="B1087" s="1">
        <f>DATE(2013,5,6) + TIME(17,13,17)</f>
        <v>41400.717557870368</v>
      </c>
      <c r="C1087">
        <v>1384.4245605000001</v>
      </c>
      <c r="D1087">
        <v>1368.3016356999999</v>
      </c>
      <c r="E1087">
        <v>1323.1942139</v>
      </c>
      <c r="F1087">
        <v>1320.1046143000001</v>
      </c>
      <c r="G1087">
        <v>80</v>
      </c>
      <c r="H1087">
        <v>78.029029846</v>
      </c>
      <c r="I1087">
        <v>50</v>
      </c>
      <c r="J1087">
        <v>48.908027648999997</v>
      </c>
      <c r="K1087">
        <v>1200</v>
      </c>
      <c r="L1087">
        <v>0</v>
      </c>
      <c r="M1087">
        <v>0</v>
      </c>
      <c r="N1087">
        <v>1200</v>
      </c>
    </row>
    <row r="1088" spans="1:14" x14ac:dyDescent="0.25">
      <c r="A1088">
        <v>1102.020121</v>
      </c>
      <c r="B1088" s="1">
        <f>DATE(2013,5,7) + TIME(0,28,58)</f>
        <v>41401.020115740743</v>
      </c>
      <c r="C1088">
        <v>1384.3115233999999</v>
      </c>
      <c r="D1088">
        <v>1368.2341309000001</v>
      </c>
      <c r="E1088">
        <v>1323.1899414</v>
      </c>
      <c r="F1088">
        <v>1320.0992432</v>
      </c>
      <c r="G1088">
        <v>80</v>
      </c>
      <c r="H1088">
        <v>78.242935181000007</v>
      </c>
      <c r="I1088">
        <v>50</v>
      </c>
      <c r="J1088">
        <v>48.867771148999999</v>
      </c>
      <c r="K1088">
        <v>1200</v>
      </c>
      <c r="L1088">
        <v>0</v>
      </c>
      <c r="M1088">
        <v>0</v>
      </c>
      <c r="N1088">
        <v>1200</v>
      </c>
    </row>
    <row r="1089" spans="1:14" x14ac:dyDescent="0.25">
      <c r="A1089">
        <v>1102.327254</v>
      </c>
      <c r="B1089" s="1">
        <f>DATE(2013,5,7) + TIME(7,51,14)</f>
        <v>41401.327245370368</v>
      </c>
      <c r="C1089">
        <v>1384.2032471</v>
      </c>
      <c r="D1089">
        <v>1368.1677245999999</v>
      </c>
      <c r="E1089">
        <v>1323.1856689000001</v>
      </c>
      <c r="F1089">
        <v>1320.0936279</v>
      </c>
      <c r="G1089">
        <v>80</v>
      </c>
      <c r="H1089">
        <v>78.43296814</v>
      </c>
      <c r="I1089">
        <v>50</v>
      </c>
      <c r="J1089">
        <v>48.827381133999999</v>
      </c>
      <c r="K1089">
        <v>1200</v>
      </c>
      <c r="L1089">
        <v>0</v>
      </c>
      <c r="M1089">
        <v>0</v>
      </c>
      <c r="N1089">
        <v>1200</v>
      </c>
    </row>
    <row r="1090" spans="1:14" x14ac:dyDescent="0.25">
      <c r="A1090">
        <v>1102.6398039999999</v>
      </c>
      <c r="B1090" s="1">
        <f>DATE(2013,5,7) + TIME(15,21,19)</f>
        <v>41401.639803240738</v>
      </c>
      <c r="C1090">
        <v>1384.098999</v>
      </c>
      <c r="D1090">
        <v>1368.1024170000001</v>
      </c>
      <c r="E1090">
        <v>1323.1813964999999</v>
      </c>
      <c r="F1090">
        <v>1320.0880127</v>
      </c>
      <c r="G1090">
        <v>80</v>
      </c>
      <c r="H1090">
        <v>78.601844787999994</v>
      </c>
      <c r="I1090">
        <v>50</v>
      </c>
      <c r="J1090">
        <v>48.786746979</v>
      </c>
      <c r="K1090">
        <v>1200</v>
      </c>
      <c r="L1090">
        <v>0</v>
      </c>
      <c r="M1090">
        <v>0</v>
      </c>
      <c r="N1090">
        <v>1200</v>
      </c>
    </row>
    <row r="1091" spans="1:14" x14ac:dyDescent="0.25">
      <c r="A1091">
        <v>1102.9586389999999</v>
      </c>
      <c r="B1091" s="1">
        <f>DATE(2013,5,7) + TIME(23,0,26)</f>
        <v>41401.958634259259</v>
      </c>
      <c r="C1091">
        <v>1383.9982910000001</v>
      </c>
      <c r="D1091">
        <v>1368.0377197</v>
      </c>
      <c r="E1091">
        <v>1323.1768798999999</v>
      </c>
      <c r="F1091">
        <v>1320.0821533000001</v>
      </c>
      <c r="G1091">
        <v>80</v>
      </c>
      <c r="H1091">
        <v>78.751930236999996</v>
      </c>
      <c r="I1091">
        <v>50</v>
      </c>
      <c r="J1091">
        <v>48.745765685999999</v>
      </c>
      <c r="K1091">
        <v>1200</v>
      </c>
      <c r="L1091">
        <v>0</v>
      </c>
      <c r="M1091">
        <v>0</v>
      </c>
      <c r="N1091">
        <v>1200</v>
      </c>
    </row>
    <row r="1092" spans="1:14" x14ac:dyDescent="0.25">
      <c r="A1092">
        <v>1103.284668</v>
      </c>
      <c r="B1092" s="1">
        <f>DATE(2013,5,8) + TIME(6,49,55)</f>
        <v>41402.28466435185</v>
      </c>
      <c r="C1092">
        <v>1383.9005127</v>
      </c>
      <c r="D1092">
        <v>1367.9737548999999</v>
      </c>
      <c r="E1092">
        <v>1323.1722411999999</v>
      </c>
      <c r="F1092">
        <v>1320.0762939000001</v>
      </c>
      <c r="G1092">
        <v>80</v>
      </c>
      <c r="H1092">
        <v>78.885261536000002</v>
      </c>
      <c r="I1092">
        <v>50</v>
      </c>
      <c r="J1092">
        <v>48.704330444</v>
      </c>
      <c r="K1092">
        <v>1200</v>
      </c>
      <c r="L1092">
        <v>0</v>
      </c>
      <c r="M1092">
        <v>0</v>
      </c>
      <c r="N1092">
        <v>1200</v>
      </c>
    </row>
    <row r="1093" spans="1:14" x14ac:dyDescent="0.25">
      <c r="A1093">
        <v>1103.6188560000001</v>
      </c>
      <c r="B1093" s="1">
        <f>DATE(2013,5,8) + TIME(14,51,9)</f>
        <v>41402.618854166663</v>
      </c>
      <c r="C1093">
        <v>1383.8052978999999</v>
      </c>
      <c r="D1093">
        <v>1367.9102783000001</v>
      </c>
      <c r="E1093">
        <v>1323.1674805</v>
      </c>
      <c r="F1093">
        <v>1320.0700684000001</v>
      </c>
      <c r="G1093">
        <v>80</v>
      </c>
      <c r="H1093">
        <v>79.003639221</v>
      </c>
      <c r="I1093">
        <v>50</v>
      </c>
      <c r="J1093">
        <v>48.662322998</v>
      </c>
      <c r="K1093">
        <v>1200</v>
      </c>
      <c r="L1093">
        <v>0</v>
      </c>
      <c r="M1093">
        <v>0</v>
      </c>
      <c r="N1093">
        <v>1200</v>
      </c>
    </row>
    <row r="1094" spans="1:14" x14ac:dyDescent="0.25">
      <c r="A1094">
        <v>1103.9622460000001</v>
      </c>
      <c r="B1094" s="1">
        <f>DATE(2013,5,8) + TIME(23,5,38)</f>
        <v>41402.962245370371</v>
      </c>
      <c r="C1094">
        <v>1383.7121582</v>
      </c>
      <c r="D1094">
        <v>1367.8470459</v>
      </c>
      <c r="E1094">
        <v>1323.1624756000001</v>
      </c>
      <c r="F1094">
        <v>1320.0637207</v>
      </c>
      <c r="G1094">
        <v>80</v>
      </c>
      <c r="H1094">
        <v>79.108627318999993</v>
      </c>
      <c r="I1094">
        <v>50</v>
      </c>
      <c r="J1094">
        <v>48.619636536000002</v>
      </c>
      <c r="K1094">
        <v>1200</v>
      </c>
      <c r="L1094">
        <v>0</v>
      </c>
      <c r="M1094">
        <v>0</v>
      </c>
      <c r="N1094">
        <v>1200</v>
      </c>
    </row>
    <row r="1095" spans="1:14" x14ac:dyDescent="0.25">
      <c r="A1095">
        <v>1104.3159780000001</v>
      </c>
      <c r="B1095" s="1">
        <f>DATE(2013,5,9) + TIME(7,35,0)</f>
        <v>41403.315972222219</v>
      </c>
      <c r="C1095">
        <v>1383.6208495999999</v>
      </c>
      <c r="D1095">
        <v>1367.7840576000001</v>
      </c>
      <c r="E1095">
        <v>1323.1573486</v>
      </c>
      <c r="F1095">
        <v>1320.057251</v>
      </c>
      <c r="G1095">
        <v>80</v>
      </c>
      <c r="H1095">
        <v>79.201614379999995</v>
      </c>
      <c r="I1095">
        <v>50</v>
      </c>
      <c r="J1095">
        <v>48.576141356999997</v>
      </c>
      <c r="K1095">
        <v>1200</v>
      </c>
      <c r="L1095">
        <v>0</v>
      </c>
      <c r="M1095">
        <v>0</v>
      </c>
      <c r="N1095">
        <v>1200</v>
      </c>
    </row>
    <row r="1096" spans="1:14" x14ac:dyDescent="0.25">
      <c r="A1096">
        <v>1104.6813460000001</v>
      </c>
      <c r="B1096" s="1">
        <f>DATE(2013,5,9) + TIME(16,21,8)</f>
        <v>41403.681342592594</v>
      </c>
      <c r="C1096">
        <v>1383.5310059000001</v>
      </c>
      <c r="D1096">
        <v>1367.7211914</v>
      </c>
      <c r="E1096">
        <v>1323.1520995999999</v>
      </c>
      <c r="F1096">
        <v>1320.0504149999999</v>
      </c>
      <c r="G1096">
        <v>80</v>
      </c>
      <c r="H1096">
        <v>79.283851623999993</v>
      </c>
      <c r="I1096">
        <v>50</v>
      </c>
      <c r="J1096">
        <v>48.531711577999999</v>
      </c>
      <c r="K1096">
        <v>1200</v>
      </c>
      <c r="L1096">
        <v>0</v>
      </c>
      <c r="M1096">
        <v>0</v>
      </c>
      <c r="N1096">
        <v>1200</v>
      </c>
    </row>
    <row r="1097" spans="1:14" x14ac:dyDescent="0.25">
      <c r="A1097">
        <v>1105.059951</v>
      </c>
      <c r="B1097" s="1">
        <f>DATE(2013,5,10) + TIME(1,26,19)</f>
        <v>41404.059942129628</v>
      </c>
      <c r="C1097">
        <v>1383.4422606999999</v>
      </c>
      <c r="D1097">
        <v>1367.6580810999999</v>
      </c>
      <c r="E1097">
        <v>1323.1466064000001</v>
      </c>
      <c r="F1097">
        <v>1320.0433350000001</v>
      </c>
      <c r="G1097">
        <v>80</v>
      </c>
      <c r="H1097">
        <v>79.356460571</v>
      </c>
      <c r="I1097">
        <v>50</v>
      </c>
      <c r="J1097">
        <v>48.486175537000001</v>
      </c>
      <c r="K1097">
        <v>1200</v>
      </c>
      <c r="L1097">
        <v>0</v>
      </c>
      <c r="M1097">
        <v>0</v>
      </c>
      <c r="N1097">
        <v>1200</v>
      </c>
    </row>
    <row r="1098" spans="1:14" x14ac:dyDescent="0.25">
      <c r="A1098">
        <v>1105.4531750000001</v>
      </c>
      <c r="B1098" s="1">
        <f>DATE(2013,5,10) + TIME(10,52,34)</f>
        <v>41404.4531712963</v>
      </c>
      <c r="C1098">
        <v>1383.354126</v>
      </c>
      <c r="D1098">
        <v>1367.5948486</v>
      </c>
      <c r="E1098">
        <v>1323.1407471</v>
      </c>
      <c r="F1098">
        <v>1320.0358887</v>
      </c>
      <c r="G1098">
        <v>80</v>
      </c>
      <c r="H1098">
        <v>79.420379639000004</v>
      </c>
      <c r="I1098">
        <v>50</v>
      </c>
      <c r="J1098">
        <v>48.439407349</v>
      </c>
      <c r="K1098">
        <v>1200</v>
      </c>
      <c r="L1098">
        <v>0</v>
      </c>
      <c r="M1098">
        <v>0</v>
      </c>
      <c r="N1098">
        <v>1200</v>
      </c>
    </row>
    <row r="1099" spans="1:14" x14ac:dyDescent="0.25">
      <c r="A1099">
        <v>1105.8617240000001</v>
      </c>
      <c r="B1099" s="1">
        <f>DATE(2013,5,10) + TIME(20,40,52)</f>
        <v>41404.861712962964</v>
      </c>
      <c r="C1099">
        <v>1383.2667236</v>
      </c>
      <c r="D1099">
        <v>1367.53125</v>
      </c>
      <c r="E1099">
        <v>1323.1347656</v>
      </c>
      <c r="F1099">
        <v>1320.0280762</v>
      </c>
      <c r="G1099">
        <v>80</v>
      </c>
      <c r="H1099">
        <v>79.476364136000001</v>
      </c>
      <c r="I1099">
        <v>50</v>
      </c>
      <c r="J1099">
        <v>48.391338347999998</v>
      </c>
      <c r="K1099">
        <v>1200</v>
      </c>
      <c r="L1099">
        <v>0</v>
      </c>
      <c r="M1099">
        <v>0</v>
      </c>
      <c r="N1099">
        <v>1200</v>
      </c>
    </row>
    <row r="1100" spans="1:14" x14ac:dyDescent="0.25">
      <c r="A1100">
        <v>1106.2871709999999</v>
      </c>
      <c r="B1100" s="1">
        <f>DATE(2013,5,11) + TIME(6,53,31)</f>
        <v>41405.287164351852</v>
      </c>
      <c r="C1100">
        <v>1383.1795654</v>
      </c>
      <c r="D1100">
        <v>1367.4672852000001</v>
      </c>
      <c r="E1100">
        <v>1323.128418</v>
      </c>
      <c r="F1100">
        <v>1320.0200195</v>
      </c>
      <c r="G1100">
        <v>80</v>
      </c>
      <c r="H1100">
        <v>79.525222778</v>
      </c>
      <c r="I1100">
        <v>50</v>
      </c>
      <c r="J1100">
        <v>48.341819762999997</v>
      </c>
      <c r="K1100">
        <v>1200</v>
      </c>
      <c r="L1100">
        <v>0</v>
      </c>
      <c r="M1100">
        <v>0</v>
      </c>
      <c r="N1100">
        <v>1200</v>
      </c>
    </row>
    <row r="1101" spans="1:14" x14ac:dyDescent="0.25">
      <c r="A1101">
        <v>1106.731565</v>
      </c>
      <c r="B1101" s="1">
        <f>DATE(2013,5,11) + TIME(17,33,27)</f>
        <v>41405.731562499997</v>
      </c>
      <c r="C1101">
        <v>1383.0926514</v>
      </c>
      <c r="D1101">
        <v>1367.402832</v>
      </c>
      <c r="E1101">
        <v>1323.1217041</v>
      </c>
      <c r="F1101">
        <v>1320.0114745999999</v>
      </c>
      <c r="G1101">
        <v>80</v>
      </c>
      <c r="H1101">
        <v>79.567718506000006</v>
      </c>
      <c r="I1101">
        <v>50</v>
      </c>
      <c r="J1101">
        <v>48.290668488000001</v>
      </c>
      <c r="K1101">
        <v>1200</v>
      </c>
      <c r="L1101">
        <v>0</v>
      </c>
      <c r="M1101">
        <v>0</v>
      </c>
      <c r="N1101">
        <v>1200</v>
      </c>
    </row>
    <row r="1102" spans="1:14" x14ac:dyDescent="0.25">
      <c r="A1102">
        <v>1107.1973370000001</v>
      </c>
      <c r="B1102" s="1">
        <f>DATE(2013,5,12) + TIME(4,44,9)</f>
        <v>41406.197326388887</v>
      </c>
      <c r="C1102">
        <v>1383.0056152</v>
      </c>
      <c r="D1102">
        <v>1367.3377685999999</v>
      </c>
      <c r="E1102">
        <v>1323.1147461</v>
      </c>
      <c r="F1102">
        <v>1320.0025635</v>
      </c>
      <c r="G1102">
        <v>80</v>
      </c>
      <c r="H1102">
        <v>79.604530334000003</v>
      </c>
      <c r="I1102">
        <v>50</v>
      </c>
      <c r="J1102">
        <v>48.23765564</v>
      </c>
      <c r="K1102">
        <v>1200</v>
      </c>
      <c r="L1102">
        <v>0</v>
      </c>
      <c r="M1102">
        <v>0</v>
      </c>
      <c r="N1102">
        <v>1200</v>
      </c>
    </row>
    <row r="1103" spans="1:14" x14ac:dyDescent="0.25">
      <c r="A1103">
        <v>1107.6873370000001</v>
      </c>
      <c r="B1103" s="1">
        <f>DATE(2013,5,12) + TIME(16,29,45)</f>
        <v>41406.687326388892</v>
      </c>
      <c r="C1103">
        <v>1382.9179687999999</v>
      </c>
      <c r="D1103">
        <v>1367.2718506000001</v>
      </c>
      <c r="E1103">
        <v>1323.1072998</v>
      </c>
      <c r="F1103">
        <v>1319.9930420000001</v>
      </c>
      <c r="G1103">
        <v>80</v>
      </c>
      <c r="H1103">
        <v>79.636283875000004</v>
      </c>
      <c r="I1103">
        <v>50</v>
      </c>
      <c r="J1103">
        <v>48.182525634999998</v>
      </c>
      <c r="K1103">
        <v>1200</v>
      </c>
      <c r="L1103">
        <v>0</v>
      </c>
      <c r="M1103">
        <v>0</v>
      </c>
      <c r="N1103">
        <v>1200</v>
      </c>
    </row>
    <row r="1104" spans="1:14" x14ac:dyDescent="0.25">
      <c r="A1104">
        <v>1108.178308</v>
      </c>
      <c r="B1104" s="1">
        <f>DATE(2013,5,13) + TIME(4,16,45)</f>
        <v>41407.178298611114</v>
      </c>
      <c r="C1104">
        <v>1382.8303223</v>
      </c>
      <c r="D1104">
        <v>1367.2053223</v>
      </c>
      <c r="E1104">
        <v>1323.0993652</v>
      </c>
      <c r="F1104">
        <v>1319.9830322</v>
      </c>
      <c r="G1104">
        <v>80</v>
      </c>
      <c r="H1104">
        <v>79.662376404</v>
      </c>
      <c r="I1104">
        <v>50</v>
      </c>
      <c r="J1104">
        <v>48.127502440999997</v>
      </c>
      <c r="K1104">
        <v>1200</v>
      </c>
      <c r="L1104">
        <v>0</v>
      </c>
      <c r="M1104">
        <v>0</v>
      </c>
      <c r="N1104">
        <v>1200</v>
      </c>
    </row>
    <row r="1105" spans="1:14" x14ac:dyDescent="0.25">
      <c r="A1105">
        <v>1108.6706429999999</v>
      </c>
      <c r="B1105" s="1">
        <f>DATE(2013,5,13) + TIME(16,5,43)</f>
        <v>41407.670636574076</v>
      </c>
      <c r="C1105">
        <v>1382.7457274999999</v>
      </c>
      <c r="D1105">
        <v>1367.1407471</v>
      </c>
      <c r="E1105">
        <v>1323.0913086</v>
      </c>
      <c r="F1105">
        <v>1319.9729004000001</v>
      </c>
      <c r="G1105">
        <v>80</v>
      </c>
      <c r="H1105">
        <v>79.683860779</v>
      </c>
      <c r="I1105">
        <v>50</v>
      </c>
      <c r="J1105">
        <v>48.072570800999998</v>
      </c>
      <c r="K1105">
        <v>1200</v>
      </c>
      <c r="L1105">
        <v>0</v>
      </c>
      <c r="M1105">
        <v>0</v>
      </c>
      <c r="N1105">
        <v>1200</v>
      </c>
    </row>
    <row r="1106" spans="1:14" x14ac:dyDescent="0.25">
      <c r="A1106">
        <v>1109.1659010000001</v>
      </c>
      <c r="B1106" s="1">
        <f>DATE(2013,5,14) + TIME(3,58,53)</f>
        <v>41408.165891203702</v>
      </c>
      <c r="C1106">
        <v>1382.6640625</v>
      </c>
      <c r="D1106">
        <v>1367.078125</v>
      </c>
      <c r="E1106">
        <v>1323.0832519999999</v>
      </c>
      <c r="F1106">
        <v>1319.9626464999999</v>
      </c>
      <c r="G1106">
        <v>80</v>
      </c>
      <c r="H1106">
        <v>79.701591492000006</v>
      </c>
      <c r="I1106">
        <v>50</v>
      </c>
      <c r="J1106">
        <v>48.017597197999997</v>
      </c>
      <c r="K1106">
        <v>1200</v>
      </c>
      <c r="L1106">
        <v>0</v>
      </c>
      <c r="M1106">
        <v>0</v>
      </c>
      <c r="N1106">
        <v>1200</v>
      </c>
    </row>
    <row r="1107" spans="1:14" x14ac:dyDescent="0.25">
      <c r="A1107">
        <v>1109.6656210000001</v>
      </c>
      <c r="B1107" s="1">
        <f>DATE(2013,5,14) + TIME(15,58,29)</f>
        <v>41408.665613425925</v>
      </c>
      <c r="C1107">
        <v>1382.5845947</v>
      </c>
      <c r="D1107">
        <v>1367.0170897999999</v>
      </c>
      <c r="E1107">
        <v>1323.0750731999999</v>
      </c>
      <c r="F1107">
        <v>1319.9521483999999</v>
      </c>
      <c r="G1107">
        <v>80</v>
      </c>
      <c r="H1107">
        <v>79.716262817</v>
      </c>
      <c r="I1107">
        <v>50</v>
      </c>
      <c r="J1107">
        <v>47.962440491000002</v>
      </c>
      <c r="K1107">
        <v>1200</v>
      </c>
      <c r="L1107">
        <v>0</v>
      </c>
      <c r="M1107">
        <v>0</v>
      </c>
      <c r="N1107">
        <v>1200</v>
      </c>
    </row>
    <row r="1108" spans="1:14" x14ac:dyDescent="0.25">
      <c r="A1108">
        <v>1110.171294</v>
      </c>
      <c r="B1108" s="1">
        <f>DATE(2013,5,15) + TIME(4,6,39)</f>
        <v>41409.171284722222</v>
      </c>
      <c r="C1108">
        <v>1382.5072021000001</v>
      </c>
      <c r="D1108">
        <v>1366.9575195</v>
      </c>
      <c r="E1108">
        <v>1323.0666504000001</v>
      </c>
      <c r="F1108">
        <v>1319.9415283000001</v>
      </c>
      <c r="G1108">
        <v>80</v>
      </c>
      <c r="H1108">
        <v>79.728431701999995</v>
      </c>
      <c r="I1108">
        <v>50</v>
      </c>
      <c r="J1108">
        <v>47.906974792</v>
      </c>
      <c r="K1108">
        <v>1200</v>
      </c>
      <c r="L1108">
        <v>0</v>
      </c>
      <c r="M1108">
        <v>0</v>
      </c>
      <c r="N1108">
        <v>1200</v>
      </c>
    </row>
    <row r="1109" spans="1:14" x14ac:dyDescent="0.25">
      <c r="A1109">
        <v>1110.6844000000001</v>
      </c>
      <c r="B1109" s="1">
        <f>DATE(2013,5,15) + TIME(16,25,32)</f>
        <v>41409.684398148151</v>
      </c>
      <c r="C1109">
        <v>1382.4313964999999</v>
      </c>
      <c r="D1109">
        <v>1366.8990478999999</v>
      </c>
      <c r="E1109">
        <v>1323.0581055</v>
      </c>
      <c r="F1109">
        <v>1319.9306641000001</v>
      </c>
      <c r="G1109">
        <v>80</v>
      </c>
      <c r="H1109">
        <v>79.738533020000006</v>
      </c>
      <c r="I1109">
        <v>50</v>
      </c>
      <c r="J1109">
        <v>47.851062775000003</v>
      </c>
      <c r="K1109">
        <v>1200</v>
      </c>
      <c r="L1109">
        <v>0</v>
      </c>
      <c r="M1109">
        <v>0</v>
      </c>
      <c r="N1109">
        <v>1200</v>
      </c>
    </row>
    <row r="1110" spans="1:14" x14ac:dyDescent="0.25">
      <c r="A1110">
        <v>1111.206467</v>
      </c>
      <c r="B1110" s="1">
        <f>DATE(2013,5,16) + TIME(4,57,18)</f>
        <v>41410.206458333334</v>
      </c>
      <c r="C1110">
        <v>1382.3569336</v>
      </c>
      <c r="D1110">
        <v>1366.8415527</v>
      </c>
      <c r="E1110">
        <v>1323.0494385</v>
      </c>
      <c r="F1110">
        <v>1319.9195557</v>
      </c>
      <c r="G1110">
        <v>80</v>
      </c>
      <c r="H1110">
        <v>79.746932982999994</v>
      </c>
      <c r="I1110">
        <v>50</v>
      </c>
      <c r="J1110">
        <v>47.794570923000002</v>
      </c>
      <c r="K1110">
        <v>1200</v>
      </c>
      <c r="L1110">
        <v>0</v>
      </c>
      <c r="M1110">
        <v>0</v>
      </c>
      <c r="N1110">
        <v>1200</v>
      </c>
    </row>
    <row r="1111" spans="1:14" x14ac:dyDescent="0.25">
      <c r="A1111">
        <v>1111.739084</v>
      </c>
      <c r="B1111" s="1">
        <f>DATE(2013,5,16) + TIME(17,44,16)</f>
        <v>41410.739074074074</v>
      </c>
      <c r="C1111">
        <v>1382.2835693</v>
      </c>
      <c r="D1111">
        <v>1366.7847899999999</v>
      </c>
      <c r="E1111">
        <v>1323.0404053</v>
      </c>
      <c r="F1111">
        <v>1319.9082031</v>
      </c>
      <c r="G1111">
        <v>80</v>
      </c>
      <c r="H1111">
        <v>79.753921508999994</v>
      </c>
      <c r="I1111">
        <v>50</v>
      </c>
      <c r="J1111">
        <v>47.737358092999997</v>
      </c>
      <c r="K1111">
        <v>1200</v>
      </c>
      <c r="L1111">
        <v>0</v>
      </c>
      <c r="M1111">
        <v>0</v>
      </c>
      <c r="N1111">
        <v>1200</v>
      </c>
    </row>
    <row r="1112" spans="1:14" x14ac:dyDescent="0.25">
      <c r="A1112">
        <v>1112.283936</v>
      </c>
      <c r="B1112" s="1">
        <f>DATE(2013,5,17) + TIME(6,48,52)</f>
        <v>41411.283935185187</v>
      </c>
      <c r="C1112">
        <v>1382.2108154</v>
      </c>
      <c r="D1112">
        <v>1366.7286377</v>
      </c>
      <c r="E1112">
        <v>1323.03125</v>
      </c>
      <c r="F1112">
        <v>1319.8964844</v>
      </c>
      <c r="G1112">
        <v>80</v>
      </c>
      <c r="H1112">
        <v>79.759735106999997</v>
      </c>
      <c r="I1112">
        <v>50</v>
      </c>
      <c r="J1112">
        <v>47.679267883000001</v>
      </c>
      <c r="K1112">
        <v>1200</v>
      </c>
      <c r="L1112">
        <v>0</v>
      </c>
      <c r="M1112">
        <v>0</v>
      </c>
      <c r="N1112">
        <v>1200</v>
      </c>
    </row>
    <row r="1113" spans="1:14" x14ac:dyDescent="0.25">
      <c r="A1113">
        <v>1112.8428409999999</v>
      </c>
      <c r="B1113" s="1">
        <f>DATE(2013,5,17) + TIME(20,13,41)</f>
        <v>41411.842835648145</v>
      </c>
      <c r="C1113">
        <v>1382.1387939000001</v>
      </c>
      <c r="D1113">
        <v>1366.6727295000001</v>
      </c>
      <c r="E1113">
        <v>1323.0218506000001</v>
      </c>
      <c r="F1113">
        <v>1319.8843993999999</v>
      </c>
      <c r="G1113">
        <v>80</v>
      </c>
      <c r="H1113">
        <v>79.764564514</v>
      </c>
      <c r="I1113">
        <v>50</v>
      </c>
      <c r="J1113">
        <v>47.620147705000001</v>
      </c>
      <c r="K1113">
        <v>1200</v>
      </c>
      <c r="L1113">
        <v>0</v>
      </c>
      <c r="M1113">
        <v>0</v>
      </c>
      <c r="N1113">
        <v>1200</v>
      </c>
    </row>
    <row r="1114" spans="1:14" x14ac:dyDescent="0.25">
      <c r="A1114">
        <v>1113.4180019999999</v>
      </c>
      <c r="B1114" s="1">
        <f>DATE(2013,5,18) + TIME(10,1,55)</f>
        <v>41412.417997685188</v>
      </c>
      <c r="C1114">
        <v>1382.0668945</v>
      </c>
      <c r="D1114">
        <v>1366.6170654</v>
      </c>
      <c r="E1114">
        <v>1323.0119629000001</v>
      </c>
      <c r="F1114">
        <v>1319.8718262</v>
      </c>
      <c r="G1114">
        <v>80</v>
      </c>
      <c r="H1114">
        <v>79.768585204999994</v>
      </c>
      <c r="I1114">
        <v>50</v>
      </c>
      <c r="J1114">
        <v>47.559799194</v>
      </c>
      <c r="K1114">
        <v>1200</v>
      </c>
      <c r="L1114">
        <v>0</v>
      </c>
      <c r="M1114">
        <v>0</v>
      </c>
      <c r="N1114">
        <v>1200</v>
      </c>
    </row>
    <row r="1115" spans="1:14" x14ac:dyDescent="0.25">
      <c r="A1115">
        <v>1114.0116089999999</v>
      </c>
      <c r="B1115" s="1">
        <f>DATE(2013,5,19) + TIME(0,16,43)</f>
        <v>41413.011608796296</v>
      </c>
      <c r="C1115">
        <v>1381.9951172000001</v>
      </c>
      <c r="D1115">
        <v>1366.5615233999999</v>
      </c>
      <c r="E1115">
        <v>1323.0018310999999</v>
      </c>
      <c r="F1115">
        <v>1319.8588867000001</v>
      </c>
      <c r="G1115">
        <v>80</v>
      </c>
      <c r="H1115">
        <v>79.771934509000005</v>
      </c>
      <c r="I1115">
        <v>50</v>
      </c>
      <c r="J1115">
        <v>47.498039245999998</v>
      </c>
      <c r="K1115">
        <v>1200</v>
      </c>
      <c r="L1115">
        <v>0</v>
      </c>
      <c r="M1115">
        <v>0</v>
      </c>
      <c r="N1115">
        <v>1200</v>
      </c>
    </row>
    <row r="1116" spans="1:14" x14ac:dyDescent="0.25">
      <c r="A1116">
        <v>1114.625984</v>
      </c>
      <c r="B1116" s="1">
        <f>DATE(2013,5,19) + TIME(15,1,24)</f>
        <v>41413.625972222224</v>
      </c>
      <c r="C1116">
        <v>1381.9232178</v>
      </c>
      <c r="D1116">
        <v>1366.5057373</v>
      </c>
      <c r="E1116">
        <v>1322.9913329999999</v>
      </c>
      <c r="F1116">
        <v>1319.8453368999999</v>
      </c>
      <c r="G1116">
        <v>80</v>
      </c>
      <c r="H1116">
        <v>79.774711608999993</v>
      </c>
      <c r="I1116">
        <v>50</v>
      </c>
      <c r="J1116">
        <v>47.434665680000002</v>
      </c>
      <c r="K1116">
        <v>1200</v>
      </c>
      <c r="L1116">
        <v>0</v>
      </c>
      <c r="M1116">
        <v>0</v>
      </c>
      <c r="N1116">
        <v>1200</v>
      </c>
    </row>
    <row r="1117" spans="1:14" x14ac:dyDescent="0.25">
      <c r="A1117">
        <v>1115.2639360000001</v>
      </c>
      <c r="B1117" s="1">
        <f>DATE(2013,5,20) + TIME(6,20,4)</f>
        <v>41414.263935185183</v>
      </c>
      <c r="C1117">
        <v>1381.8508300999999</v>
      </c>
      <c r="D1117">
        <v>1366.449707</v>
      </c>
      <c r="E1117">
        <v>1322.9803466999999</v>
      </c>
      <c r="F1117">
        <v>1319.8311768000001</v>
      </c>
      <c r="G1117">
        <v>80</v>
      </c>
      <c r="H1117">
        <v>79.777008057000003</v>
      </c>
      <c r="I1117">
        <v>50</v>
      </c>
      <c r="J1117">
        <v>47.369441985999998</v>
      </c>
      <c r="K1117">
        <v>1200</v>
      </c>
      <c r="L1117">
        <v>0</v>
      </c>
      <c r="M1117">
        <v>0</v>
      </c>
      <c r="N1117">
        <v>1200</v>
      </c>
    </row>
    <row r="1118" spans="1:14" x14ac:dyDescent="0.25">
      <c r="A1118">
        <v>1115.9287039999999</v>
      </c>
      <c r="B1118" s="1">
        <f>DATE(2013,5,20) + TIME(22,17,20)</f>
        <v>41414.928703703707</v>
      </c>
      <c r="C1118">
        <v>1381.777832</v>
      </c>
      <c r="D1118">
        <v>1366.3930664</v>
      </c>
      <c r="E1118">
        <v>1322.96875</v>
      </c>
      <c r="F1118">
        <v>1319.8165283000001</v>
      </c>
      <c r="G1118">
        <v>80</v>
      </c>
      <c r="H1118">
        <v>79.778923035000005</v>
      </c>
      <c r="I1118">
        <v>50</v>
      </c>
      <c r="J1118">
        <v>47.302097320999998</v>
      </c>
      <c r="K1118">
        <v>1200</v>
      </c>
      <c r="L1118">
        <v>0</v>
      </c>
      <c r="M1118">
        <v>0</v>
      </c>
      <c r="N1118">
        <v>1200</v>
      </c>
    </row>
    <row r="1119" spans="1:14" x14ac:dyDescent="0.25">
      <c r="A1119">
        <v>1116.6239949999999</v>
      </c>
      <c r="B1119" s="1">
        <f>DATE(2013,5,21) + TIME(14,58,33)</f>
        <v>41415.623993055553</v>
      </c>
      <c r="C1119">
        <v>1381.7038574000001</v>
      </c>
      <c r="D1119">
        <v>1366.3358154</v>
      </c>
      <c r="E1119">
        <v>1322.9566649999999</v>
      </c>
      <c r="F1119">
        <v>1319.8010254000001</v>
      </c>
      <c r="G1119">
        <v>80</v>
      </c>
      <c r="H1119">
        <v>79.780502318999993</v>
      </c>
      <c r="I1119">
        <v>50</v>
      </c>
      <c r="J1119">
        <v>47.232334137000002</v>
      </c>
      <c r="K1119">
        <v>1200</v>
      </c>
      <c r="L1119">
        <v>0</v>
      </c>
      <c r="M1119">
        <v>0</v>
      </c>
      <c r="N1119">
        <v>1200</v>
      </c>
    </row>
    <row r="1120" spans="1:14" x14ac:dyDescent="0.25">
      <c r="A1120">
        <v>1117.3509120000001</v>
      </c>
      <c r="B1120" s="1">
        <f>DATE(2013,5,22) + TIME(8,25,18)</f>
        <v>41416.350902777776</v>
      </c>
      <c r="C1120">
        <v>1381.6287841999999</v>
      </c>
      <c r="D1120">
        <v>1366.2777100000001</v>
      </c>
      <c r="E1120">
        <v>1322.9439697</v>
      </c>
      <c r="F1120">
        <v>1319.784668</v>
      </c>
      <c r="G1120">
        <v>80</v>
      </c>
      <c r="H1120">
        <v>79.781806946000003</v>
      </c>
      <c r="I1120">
        <v>50</v>
      </c>
      <c r="J1120">
        <v>47.160053253000001</v>
      </c>
      <c r="K1120">
        <v>1200</v>
      </c>
      <c r="L1120">
        <v>0</v>
      </c>
      <c r="M1120">
        <v>0</v>
      </c>
      <c r="N1120">
        <v>1200</v>
      </c>
    </row>
    <row r="1121" spans="1:14" x14ac:dyDescent="0.25">
      <c r="A1121">
        <v>1118.0844239999999</v>
      </c>
      <c r="B1121" s="1">
        <f>DATE(2013,5,23) + TIME(2,1,34)</f>
        <v>41417.084421296298</v>
      </c>
      <c r="C1121">
        <v>1381.5523682</v>
      </c>
      <c r="D1121">
        <v>1366.2186279</v>
      </c>
      <c r="E1121">
        <v>1322.9305420000001</v>
      </c>
      <c r="F1121">
        <v>1319.7674560999999</v>
      </c>
      <c r="G1121">
        <v>80</v>
      </c>
      <c r="H1121">
        <v>79.782852172999995</v>
      </c>
      <c r="I1121">
        <v>50</v>
      </c>
      <c r="J1121">
        <v>47.087215424</v>
      </c>
      <c r="K1121">
        <v>1200</v>
      </c>
      <c r="L1121">
        <v>0</v>
      </c>
      <c r="M1121">
        <v>0</v>
      </c>
      <c r="N1121">
        <v>1200</v>
      </c>
    </row>
    <row r="1122" spans="1:14" x14ac:dyDescent="0.25">
      <c r="A1122">
        <v>1118.819405</v>
      </c>
      <c r="B1122" s="1">
        <f>DATE(2013,5,23) + TIME(19,39,56)</f>
        <v>41417.819398148145</v>
      </c>
      <c r="C1122">
        <v>1381.4775391000001</v>
      </c>
      <c r="D1122">
        <v>1366.1607666</v>
      </c>
      <c r="E1122">
        <v>1322.9168701000001</v>
      </c>
      <c r="F1122">
        <v>1319.75</v>
      </c>
      <c r="G1122">
        <v>80</v>
      </c>
      <c r="H1122">
        <v>79.783676146999994</v>
      </c>
      <c r="I1122">
        <v>50</v>
      </c>
      <c r="J1122">
        <v>47.014289855999998</v>
      </c>
      <c r="K1122">
        <v>1200</v>
      </c>
      <c r="L1122">
        <v>0</v>
      </c>
      <c r="M1122">
        <v>0</v>
      </c>
      <c r="N1122">
        <v>1200</v>
      </c>
    </row>
    <row r="1123" spans="1:14" x14ac:dyDescent="0.25">
      <c r="A1123">
        <v>1119.558227</v>
      </c>
      <c r="B1123" s="1">
        <f>DATE(2013,5,24) + TIME(13,23,50)</f>
        <v>41418.558217592596</v>
      </c>
      <c r="C1123">
        <v>1381.4046631000001</v>
      </c>
      <c r="D1123">
        <v>1366.1043701000001</v>
      </c>
      <c r="E1123">
        <v>1322.9029541</v>
      </c>
      <c r="F1123">
        <v>1319.7321777</v>
      </c>
      <c r="G1123">
        <v>80</v>
      </c>
      <c r="H1123">
        <v>79.784347534000005</v>
      </c>
      <c r="I1123">
        <v>50</v>
      </c>
      <c r="J1123">
        <v>46.941154480000002</v>
      </c>
      <c r="K1123">
        <v>1200</v>
      </c>
      <c r="L1123">
        <v>0</v>
      </c>
      <c r="M1123">
        <v>0</v>
      </c>
      <c r="N1123">
        <v>1200</v>
      </c>
    </row>
    <row r="1124" spans="1:14" x14ac:dyDescent="0.25">
      <c r="A1124">
        <v>1120.3031920000001</v>
      </c>
      <c r="B1124" s="1">
        <f>DATE(2013,5,25) + TIME(7,16,35)</f>
        <v>41419.303182870368</v>
      </c>
      <c r="C1124">
        <v>1381.333374</v>
      </c>
      <c r="D1124">
        <v>1366.0491943</v>
      </c>
      <c r="E1124">
        <v>1322.8889160000001</v>
      </c>
      <c r="F1124">
        <v>1319.7142334</v>
      </c>
      <c r="G1124">
        <v>80</v>
      </c>
      <c r="H1124">
        <v>79.784889221</v>
      </c>
      <c r="I1124">
        <v>50</v>
      </c>
      <c r="J1124">
        <v>46.867675781000003</v>
      </c>
      <c r="K1124">
        <v>1200</v>
      </c>
      <c r="L1124">
        <v>0</v>
      </c>
      <c r="M1124">
        <v>0</v>
      </c>
      <c r="N1124">
        <v>1200</v>
      </c>
    </row>
    <row r="1125" spans="1:14" x14ac:dyDescent="0.25">
      <c r="A1125">
        <v>1121.05656</v>
      </c>
      <c r="B1125" s="1">
        <f>DATE(2013,5,26) + TIME(1,21,26)</f>
        <v>41420.056550925925</v>
      </c>
      <c r="C1125">
        <v>1381.2633057</v>
      </c>
      <c r="D1125">
        <v>1365.9951172000001</v>
      </c>
      <c r="E1125">
        <v>1322.8746338000001</v>
      </c>
      <c r="F1125">
        <v>1319.6958007999999</v>
      </c>
      <c r="G1125">
        <v>80</v>
      </c>
      <c r="H1125">
        <v>79.785331725999995</v>
      </c>
      <c r="I1125">
        <v>50</v>
      </c>
      <c r="J1125">
        <v>46.793701171999999</v>
      </c>
      <c r="K1125">
        <v>1200</v>
      </c>
      <c r="L1125">
        <v>0</v>
      </c>
      <c r="M1125">
        <v>0</v>
      </c>
      <c r="N1125">
        <v>1200</v>
      </c>
    </row>
    <row r="1126" spans="1:14" x14ac:dyDescent="0.25">
      <c r="A1126">
        <v>1121.8205909999999</v>
      </c>
      <c r="B1126" s="1">
        <f>DATE(2013,5,26) + TIME(19,41,39)</f>
        <v>41420.820590277777</v>
      </c>
      <c r="C1126">
        <v>1381.1942139</v>
      </c>
      <c r="D1126">
        <v>1365.9417725000001</v>
      </c>
      <c r="E1126">
        <v>1322.8601074000001</v>
      </c>
      <c r="F1126">
        <v>1319.677124</v>
      </c>
      <c r="G1126">
        <v>80</v>
      </c>
      <c r="H1126">
        <v>79.785705566000004</v>
      </c>
      <c r="I1126">
        <v>50</v>
      </c>
      <c r="J1126">
        <v>46.719070434999999</v>
      </c>
      <c r="K1126">
        <v>1200</v>
      </c>
      <c r="L1126">
        <v>0</v>
      </c>
      <c r="M1126">
        <v>0</v>
      </c>
      <c r="N1126">
        <v>1200</v>
      </c>
    </row>
    <row r="1127" spans="1:14" x14ac:dyDescent="0.25">
      <c r="A1127">
        <v>1122.5976209999999</v>
      </c>
      <c r="B1127" s="1">
        <f>DATE(2013,5,27) + TIME(14,20,34)</f>
        <v>41421.597615740742</v>
      </c>
      <c r="C1127">
        <v>1381.1258545000001</v>
      </c>
      <c r="D1127">
        <v>1365.8890381000001</v>
      </c>
      <c r="E1127">
        <v>1322.8452147999999</v>
      </c>
      <c r="F1127">
        <v>1319.6579589999999</v>
      </c>
      <c r="G1127">
        <v>80</v>
      </c>
      <c r="H1127">
        <v>79.786018372000001</v>
      </c>
      <c r="I1127">
        <v>50</v>
      </c>
      <c r="J1127">
        <v>46.643600464000002</v>
      </c>
      <c r="K1127">
        <v>1200</v>
      </c>
      <c r="L1127">
        <v>0</v>
      </c>
      <c r="M1127">
        <v>0</v>
      </c>
      <c r="N1127">
        <v>1200</v>
      </c>
    </row>
    <row r="1128" spans="1:14" x14ac:dyDescent="0.25">
      <c r="A1128">
        <v>1123.390097</v>
      </c>
      <c r="B1128" s="1">
        <f>DATE(2013,5,28) + TIME(9,21,44)</f>
        <v>41422.390092592592</v>
      </c>
      <c r="C1128">
        <v>1381.0581055</v>
      </c>
      <c r="D1128">
        <v>1365.8367920000001</v>
      </c>
      <c r="E1128">
        <v>1322.8299560999999</v>
      </c>
      <c r="F1128">
        <v>1319.6383057</v>
      </c>
      <c r="G1128">
        <v>80</v>
      </c>
      <c r="H1128">
        <v>79.786285399999997</v>
      </c>
      <c r="I1128">
        <v>50</v>
      </c>
      <c r="J1128">
        <v>46.567108154000003</v>
      </c>
      <c r="K1128">
        <v>1200</v>
      </c>
      <c r="L1128">
        <v>0</v>
      </c>
      <c r="M1128">
        <v>0</v>
      </c>
      <c r="N1128">
        <v>1200</v>
      </c>
    </row>
    <row r="1129" spans="1:14" x14ac:dyDescent="0.25">
      <c r="A1129">
        <v>1124.2006249999999</v>
      </c>
      <c r="B1129" s="1">
        <f>DATE(2013,5,29) + TIME(4,48,54)</f>
        <v>41423.200624999998</v>
      </c>
      <c r="C1129">
        <v>1380.9907227000001</v>
      </c>
      <c r="D1129">
        <v>1365.7847899999999</v>
      </c>
      <c r="E1129">
        <v>1322.8143310999999</v>
      </c>
      <c r="F1129">
        <v>1319.6181641000001</v>
      </c>
      <c r="G1129">
        <v>80</v>
      </c>
      <c r="H1129">
        <v>79.786514281999999</v>
      </c>
      <c r="I1129">
        <v>50</v>
      </c>
      <c r="J1129">
        <v>46.489379882999998</v>
      </c>
      <c r="K1129">
        <v>1200</v>
      </c>
      <c r="L1129">
        <v>0</v>
      </c>
      <c r="M1129">
        <v>0</v>
      </c>
      <c r="N1129">
        <v>1200</v>
      </c>
    </row>
    <row r="1130" spans="1:14" x14ac:dyDescent="0.25">
      <c r="A1130">
        <v>1125.0320139999999</v>
      </c>
      <c r="B1130" s="1">
        <f>DATE(2013,5,30) + TIME(0,46,6)</f>
        <v>41424.032013888886</v>
      </c>
      <c r="C1130">
        <v>1380.9233397999999</v>
      </c>
      <c r="D1130">
        <v>1365.7327881000001</v>
      </c>
      <c r="E1130">
        <v>1322.7982178</v>
      </c>
      <c r="F1130">
        <v>1319.5972899999999</v>
      </c>
      <c r="G1130">
        <v>80</v>
      </c>
      <c r="H1130">
        <v>79.786720275999997</v>
      </c>
      <c r="I1130">
        <v>50</v>
      </c>
      <c r="J1130">
        <v>46.410194396999998</v>
      </c>
      <c r="K1130">
        <v>1200</v>
      </c>
      <c r="L1130">
        <v>0</v>
      </c>
      <c r="M1130">
        <v>0</v>
      </c>
      <c r="N1130">
        <v>1200</v>
      </c>
    </row>
    <row r="1131" spans="1:14" x14ac:dyDescent="0.25">
      <c r="A1131">
        <v>1125.887839</v>
      </c>
      <c r="B1131" s="1">
        <f>DATE(2013,5,30) + TIME(21,18,29)</f>
        <v>41424.887835648151</v>
      </c>
      <c r="C1131">
        <v>1380.8558350000001</v>
      </c>
      <c r="D1131">
        <v>1365.6809082</v>
      </c>
      <c r="E1131">
        <v>1322.7814940999999</v>
      </c>
      <c r="F1131">
        <v>1319.5758057</v>
      </c>
      <c r="G1131">
        <v>80</v>
      </c>
      <c r="H1131">
        <v>79.786911011000001</v>
      </c>
      <c r="I1131">
        <v>50</v>
      </c>
      <c r="J1131">
        <v>46.329261780000003</v>
      </c>
      <c r="K1131">
        <v>1200</v>
      </c>
      <c r="L1131">
        <v>0</v>
      </c>
      <c r="M1131">
        <v>0</v>
      </c>
      <c r="N1131">
        <v>1200</v>
      </c>
    </row>
    <row r="1132" spans="1:14" x14ac:dyDescent="0.25">
      <c r="A1132">
        <v>1126.771225</v>
      </c>
      <c r="B1132" s="1">
        <f>DATE(2013,5,31) + TIME(18,30,33)</f>
        <v>41425.771215277775</v>
      </c>
      <c r="C1132">
        <v>1380.7880858999999</v>
      </c>
      <c r="D1132">
        <v>1365.6286620999999</v>
      </c>
      <c r="E1132">
        <v>1322.7642822</v>
      </c>
      <c r="F1132">
        <v>1319.5534668</v>
      </c>
      <c r="G1132">
        <v>80</v>
      </c>
      <c r="H1132">
        <v>79.787086486999996</v>
      </c>
      <c r="I1132">
        <v>50</v>
      </c>
      <c r="J1132">
        <v>46.246334075999997</v>
      </c>
      <c r="K1132">
        <v>1200</v>
      </c>
      <c r="L1132">
        <v>0</v>
      </c>
      <c r="M1132">
        <v>0</v>
      </c>
      <c r="N1132">
        <v>1200</v>
      </c>
    </row>
    <row r="1133" spans="1:14" x14ac:dyDescent="0.25">
      <c r="A1133">
        <v>1127</v>
      </c>
      <c r="B1133" s="1">
        <f>DATE(2013,6,1) + TIME(0,0,0)</f>
        <v>41426</v>
      </c>
      <c r="C1133">
        <v>1380.7198486</v>
      </c>
      <c r="D1133">
        <v>1365.5760498</v>
      </c>
      <c r="E1133">
        <v>1322.7462158000001</v>
      </c>
      <c r="F1133">
        <v>1319.5330810999999</v>
      </c>
      <c r="G1133">
        <v>80</v>
      </c>
      <c r="H1133">
        <v>79.787109375</v>
      </c>
      <c r="I1133">
        <v>50</v>
      </c>
      <c r="J1133">
        <v>46.220291138</v>
      </c>
      <c r="K1133">
        <v>1200</v>
      </c>
      <c r="L1133">
        <v>0</v>
      </c>
      <c r="M1133">
        <v>0</v>
      </c>
      <c r="N1133">
        <v>1200</v>
      </c>
    </row>
    <row r="1134" spans="1:14" x14ac:dyDescent="0.25">
      <c r="A1134">
        <v>1127.9147559999999</v>
      </c>
      <c r="B1134" s="1">
        <f>DATE(2013,6,1) + TIME(21,57,14)</f>
        <v>41426.91474537037</v>
      </c>
      <c r="C1134">
        <v>1380.7021483999999</v>
      </c>
      <c r="D1134">
        <v>1365.5623779</v>
      </c>
      <c r="E1134">
        <v>1322.7413329999999</v>
      </c>
      <c r="F1134">
        <v>1319.5234375</v>
      </c>
      <c r="G1134">
        <v>80</v>
      </c>
      <c r="H1134">
        <v>79.787277222</v>
      </c>
      <c r="I1134">
        <v>50</v>
      </c>
      <c r="J1134">
        <v>46.136157990000001</v>
      </c>
      <c r="K1134">
        <v>1200</v>
      </c>
      <c r="L1134">
        <v>0</v>
      </c>
      <c r="M1134">
        <v>0</v>
      </c>
      <c r="N1134">
        <v>1200</v>
      </c>
    </row>
    <row r="1135" spans="1:14" x14ac:dyDescent="0.25">
      <c r="A1135">
        <v>1128.8752050000001</v>
      </c>
      <c r="B1135" s="1">
        <f>DATE(2013,6,2) + TIME(21,0,17)</f>
        <v>41427.875196759262</v>
      </c>
      <c r="C1135">
        <v>1380.6337891000001</v>
      </c>
      <c r="D1135">
        <v>1365.5097656</v>
      </c>
      <c r="E1135">
        <v>1322.7227783000001</v>
      </c>
      <c r="F1135">
        <v>1319.4993896000001</v>
      </c>
      <c r="G1135">
        <v>80</v>
      </c>
      <c r="H1135">
        <v>79.787437439000001</v>
      </c>
      <c r="I1135">
        <v>50</v>
      </c>
      <c r="J1135">
        <v>46.048465729</v>
      </c>
      <c r="K1135">
        <v>1200</v>
      </c>
      <c r="L1135">
        <v>0</v>
      </c>
      <c r="M1135">
        <v>0</v>
      </c>
      <c r="N1135">
        <v>1200</v>
      </c>
    </row>
    <row r="1136" spans="1:14" x14ac:dyDescent="0.25">
      <c r="A1136">
        <v>1129.8440820000001</v>
      </c>
      <c r="B1136" s="1">
        <f>DATE(2013,6,3) + TIME(20,15,28)</f>
        <v>41428.844074074077</v>
      </c>
      <c r="C1136">
        <v>1380.5633545000001</v>
      </c>
      <c r="D1136">
        <v>1365.4555664</v>
      </c>
      <c r="E1136">
        <v>1322.7030029</v>
      </c>
      <c r="F1136">
        <v>1319.473999</v>
      </c>
      <c r="G1136">
        <v>80</v>
      </c>
      <c r="H1136">
        <v>79.787590026999993</v>
      </c>
      <c r="I1136">
        <v>50</v>
      </c>
      <c r="J1136">
        <v>45.959701537999997</v>
      </c>
      <c r="K1136">
        <v>1200</v>
      </c>
      <c r="L1136">
        <v>0</v>
      </c>
      <c r="M1136">
        <v>0</v>
      </c>
      <c r="N1136">
        <v>1200</v>
      </c>
    </row>
    <row r="1137" spans="1:14" x14ac:dyDescent="0.25">
      <c r="A1137">
        <v>1130.814431</v>
      </c>
      <c r="B1137" s="1">
        <f>DATE(2013,6,4) + TIME(19,32,46)</f>
        <v>41429.814421296294</v>
      </c>
      <c r="C1137">
        <v>1380.4940185999999</v>
      </c>
      <c r="D1137">
        <v>1365.4020995999999</v>
      </c>
      <c r="E1137">
        <v>1322.6829834</v>
      </c>
      <c r="F1137">
        <v>1319.4479980000001</v>
      </c>
      <c r="G1137">
        <v>80</v>
      </c>
      <c r="H1137">
        <v>79.787727356000005</v>
      </c>
      <c r="I1137">
        <v>50</v>
      </c>
      <c r="J1137">
        <v>45.870494843000003</v>
      </c>
      <c r="K1137">
        <v>1200</v>
      </c>
      <c r="L1137">
        <v>0</v>
      </c>
      <c r="M1137">
        <v>0</v>
      </c>
      <c r="N1137">
        <v>1200</v>
      </c>
    </row>
    <row r="1138" spans="1:14" x14ac:dyDescent="0.25">
      <c r="A1138">
        <v>1131.7891830000001</v>
      </c>
      <c r="B1138" s="1">
        <f>DATE(2013,6,5) + TIME(18,56,25)</f>
        <v>41430.789178240739</v>
      </c>
      <c r="C1138">
        <v>1380.4261475000001</v>
      </c>
      <c r="D1138">
        <v>1365.3498535000001</v>
      </c>
      <c r="E1138">
        <v>1322.6625977000001</v>
      </c>
      <c r="F1138">
        <v>1319.4216309000001</v>
      </c>
      <c r="G1138">
        <v>80</v>
      </c>
      <c r="H1138">
        <v>79.787864685000002</v>
      </c>
      <c r="I1138">
        <v>50</v>
      </c>
      <c r="J1138">
        <v>45.780807494999998</v>
      </c>
      <c r="K1138">
        <v>1200</v>
      </c>
      <c r="L1138">
        <v>0</v>
      </c>
      <c r="M1138">
        <v>0</v>
      </c>
      <c r="N1138">
        <v>1200</v>
      </c>
    </row>
    <row r="1139" spans="1:14" x14ac:dyDescent="0.25">
      <c r="A1139">
        <v>1132.771287</v>
      </c>
      <c r="B1139" s="1">
        <f>DATE(2013,6,6) + TIME(18,30,39)</f>
        <v>41431.771284722221</v>
      </c>
      <c r="C1139">
        <v>1380.3596190999999</v>
      </c>
      <c r="D1139">
        <v>1365.2985839999999</v>
      </c>
      <c r="E1139">
        <v>1322.6420897999999</v>
      </c>
      <c r="F1139">
        <v>1319.3948975000001</v>
      </c>
      <c r="G1139">
        <v>80</v>
      </c>
      <c r="H1139">
        <v>79.788002014</v>
      </c>
      <c r="I1139">
        <v>50</v>
      </c>
      <c r="J1139">
        <v>45.690536498999997</v>
      </c>
      <c r="K1139">
        <v>1200</v>
      </c>
      <c r="L1139">
        <v>0</v>
      </c>
      <c r="M1139">
        <v>0</v>
      </c>
      <c r="N1139">
        <v>1200</v>
      </c>
    </row>
    <row r="1140" spans="1:14" x14ac:dyDescent="0.25">
      <c r="A1140">
        <v>1133.763659</v>
      </c>
      <c r="B1140" s="1">
        <f>DATE(2013,6,7) + TIME(18,19,40)</f>
        <v>41432.763657407406</v>
      </c>
      <c r="C1140">
        <v>1380.2940673999999</v>
      </c>
      <c r="D1140">
        <v>1365.2481689000001</v>
      </c>
      <c r="E1140">
        <v>1322.6210937999999</v>
      </c>
      <c r="F1140">
        <v>1319.3677978999999</v>
      </c>
      <c r="G1140">
        <v>80</v>
      </c>
      <c r="H1140">
        <v>79.788131714000002</v>
      </c>
      <c r="I1140">
        <v>50</v>
      </c>
      <c r="J1140">
        <v>45.599533080999997</v>
      </c>
      <c r="K1140">
        <v>1200</v>
      </c>
      <c r="L1140">
        <v>0</v>
      </c>
      <c r="M1140">
        <v>0</v>
      </c>
      <c r="N1140">
        <v>1200</v>
      </c>
    </row>
    <row r="1141" spans="1:14" x14ac:dyDescent="0.25">
      <c r="A1141">
        <v>1134.7692500000001</v>
      </c>
      <c r="B1141" s="1">
        <f>DATE(2013,6,8) + TIME(18,27,43)</f>
        <v>41433.769247685188</v>
      </c>
      <c r="C1141">
        <v>1380.2292480000001</v>
      </c>
      <c r="D1141">
        <v>1365.1982422000001</v>
      </c>
      <c r="E1141">
        <v>1322.5998535000001</v>
      </c>
      <c r="F1141">
        <v>1319.3400879000001</v>
      </c>
      <c r="G1141">
        <v>80</v>
      </c>
      <c r="H1141">
        <v>79.788269043</v>
      </c>
      <c r="I1141">
        <v>50</v>
      </c>
      <c r="J1141">
        <v>45.507617949999997</v>
      </c>
      <c r="K1141">
        <v>1200</v>
      </c>
      <c r="L1141">
        <v>0</v>
      </c>
      <c r="M1141">
        <v>0</v>
      </c>
      <c r="N1141">
        <v>1200</v>
      </c>
    </row>
    <row r="1142" spans="1:14" x14ac:dyDescent="0.25">
      <c r="A1142">
        <v>1135.791101</v>
      </c>
      <c r="B1142" s="1">
        <f>DATE(2013,6,9) + TIME(18,59,11)</f>
        <v>41434.79109953704</v>
      </c>
      <c r="C1142">
        <v>1380.1649170000001</v>
      </c>
      <c r="D1142">
        <v>1365.1486815999999</v>
      </c>
      <c r="E1142">
        <v>1322.5782471</v>
      </c>
      <c r="F1142">
        <v>1319.3117675999999</v>
      </c>
      <c r="G1142">
        <v>80</v>
      </c>
      <c r="H1142">
        <v>79.788406371999997</v>
      </c>
      <c r="I1142">
        <v>50</v>
      </c>
      <c r="J1142">
        <v>45.414588928000001</v>
      </c>
      <c r="K1142">
        <v>1200</v>
      </c>
      <c r="L1142">
        <v>0</v>
      </c>
      <c r="M1142">
        <v>0</v>
      </c>
      <c r="N1142">
        <v>1200</v>
      </c>
    </row>
    <row r="1143" spans="1:14" x14ac:dyDescent="0.25">
      <c r="A1143">
        <v>1136.8324050000001</v>
      </c>
      <c r="B1143" s="1">
        <f>DATE(2013,6,10) + TIME(19,58,39)</f>
        <v>41435.832395833335</v>
      </c>
      <c r="C1143">
        <v>1380.1010742000001</v>
      </c>
      <c r="D1143">
        <v>1365.0994873</v>
      </c>
      <c r="E1143">
        <v>1322.5561522999999</v>
      </c>
      <c r="F1143">
        <v>1319.2828368999999</v>
      </c>
      <c r="G1143">
        <v>80</v>
      </c>
      <c r="H1143">
        <v>79.788551330999994</v>
      </c>
      <c r="I1143">
        <v>50</v>
      </c>
      <c r="J1143">
        <v>45.320213318</v>
      </c>
      <c r="K1143">
        <v>1200</v>
      </c>
      <c r="L1143">
        <v>0</v>
      </c>
      <c r="M1143">
        <v>0</v>
      </c>
      <c r="N1143">
        <v>1200</v>
      </c>
    </row>
    <row r="1144" spans="1:14" x14ac:dyDescent="0.25">
      <c r="A1144">
        <v>1137.8965410000001</v>
      </c>
      <c r="B1144" s="1">
        <f>DATE(2013,6,11) + TIME(21,31,1)</f>
        <v>41436.896539351852</v>
      </c>
      <c r="C1144">
        <v>1380.0372314000001</v>
      </c>
      <c r="D1144">
        <v>1365.050293</v>
      </c>
      <c r="E1144">
        <v>1322.5334473</v>
      </c>
      <c r="F1144">
        <v>1319.2531738</v>
      </c>
      <c r="G1144">
        <v>80</v>
      </c>
      <c r="H1144">
        <v>79.788696289000001</v>
      </c>
      <c r="I1144">
        <v>50</v>
      </c>
      <c r="J1144">
        <v>45.224231719999999</v>
      </c>
      <c r="K1144">
        <v>1200</v>
      </c>
      <c r="L1144">
        <v>0</v>
      </c>
      <c r="M1144">
        <v>0</v>
      </c>
      <c r="N1144">
        <v>1200</v>
      </c>
    </row>
    <row r="1145" spans="1:14" x14ac:dyDescent="0.25">
      <c r="A1145">
        <v>1138.9871949999999</v>
      </c>
      <c r="B1145" s="1">
        <f>DATE(2013,6,12) + TIME(23,41,33)</f>
        <v>41437.987187500003</v>
      </c>
      <c r="C1145">
        <v>1379.9735106999999</v>
      </c>
      <c r="D1145">
        <v>1365.0010986</v>
      </c>
      <c r="E1145">
        <v>1322.5101318</v>
      </c>
      <c r="F1145">
        <v>1319.2226562000001</v>
      </c>
      <c r="G1145">
        <v>80</v>
      </c>
      <c r="H1145">
        <v>79.788848877000007</v>
      </c>
      <c r="I1145">
        <v>50</v>
      </c>
      <c r="J1145">
        <v>45.126361846999998</v>
      </c>
      <c r="K1145">
        <v>1200</v>
      </c>
      <c r="L1145">
        <v>0</v>
      </c>
      <c r="M1145">
        <v>0</v>
      </c>
      <c r="N1145">
        <v>1200</v>
      </c>
    </row>
    <row r="1146" spans="1:14" x14ac:dyDescent="0.25">
      <c r="A1146">
        <v>1140.1088999999999</v>
      </c>
      <c r="B1146" s="1">
        <f>DATE(2013,6,14) + TIME(2,36,48)</f>
        <v>41439.108888888892</v>
      </c>
      <c r="C1146">
        <v>1379.9095459</v>
      </c>
      <c r="D1146">
        <v>1364.9517822</v>
      </c>
      <c r="E1146">
        <v>1322.4860839999999</v>
      </c>
      <c r="F1146">
        <v>1319.1911620999999</v>
      </c>
      <c r="G1146">
        <v>80</v>
      </c>
      <c r="H1146">
        <v>79.789009093999994</v>
      </c>
      <c r="I1146">
        <v>50</v>
      </c>
      <c r="J1146">
        <v>45.026252747000001</v>
      </c>
      <c r="K1146">
        <v>1200</v>
      </c>
      <c r="L1146">
        <v>0</v>
      </c>
      <c r="M1146">
        <v>0</v>
      </c>
      <c r="N1146">
        <v>1200</v>
      </c>
    </row>
    <row r="1147" spans="1:14" x14ac:dyDescent="0.25">
      <c r="A1147">
        <v>1141.266089</v>
      </c>
      <c r="B1147" s="1">
        <f>DATE(2013,6,15) + TIME(6,23,10)</f>
        <v>41440.266087962962</v>
      </c>
      <c r="C1147">
        <v>1379.8450928</v>
      </c>
      <c r="D1147">
        <v>1364.9020995999999</v>
      </c>
      <c r="E1147">
        <v>1322.4611815999999</v>
      </c>
      <c r="F1147">
        <v>1319.1585693</v>
      </c>
      <c r="G1147">
        <v>80</v>
      </c>
      <c r="H1147">
        <v>79.789176940999994</v>
      </c>
      <c r="I1147">
        <v>50</v>
      </c>
      <c r="J1147">
        <v>44.923553466999998</v>
      </c>
      <c r="K1147">
        <v>1200</v>
      </c>
      <c r="L1147">
        <v>0</v>
      </c>
      <c r="M1147">
        <v>0</v>
      </c>
      <c r="N1147">
        <v>1200</v>
      </c>
    </row>
    <row r="1148" spans="1:14" x14ac:dyDescent="0.25">
      <c r="A1148">
        <v>1142.4636149999999</v>
      </c>
      <c r="B1148" s="1">
        <f>DATE(2013,6,16) + TIME(11,7,36)</f>
        <v>41441.46361111111</v>
      </c>
      <c r="C1148">
        <v>1379.7799072</v>
      </c>
      <c r="D1148">
        <v>1364.8518065999999</v>
      </c>
      <c r="E1148">
        <v>1322.4355469</v>
      </c>
      <c r="F1148">
        <v>1319.1247559000001</v>
      </c>
      <c r="G1148">
        <v>80</v>
      </c>
      <c r="H1148">
        <v>79.789344787999994</v>
      </c>
      <c r="I1148">
        <v>50</v>
      </c>
      <c r="J1148">
        <v>44.817874908</v>
      </c>
      <c r="K1148">
        <v>1200</v>
      </c>
      <c r="L1148">
        <v>0</v>
      </c>
      <c r="M1148">
        <v>0</v>
      </c>
      <c r="N1148">
        <v>1200</v>
      </c>
    </row>
    <row r="1149" spans="1:14" x14ac:dyDescent="0.25">
      <c r="A1149">
        <v>1143.707361</v>
      </c>
      <c r="B1149" s="1">
        <f>DATE(2013,6,17) + TIME(16,58,36)</f>
        <v>41442.707361111112</v>
      </c>
      <c r="C1149">
        <v>1379.7139893000001</v>
      </c>
      <c r="D1149">
        <v>1364.8009033000001</v>
      </c>
      <c r="E1149">
        <v>1322.4086914</v>
      </c>
      <c r="F1149">
        <v>1319.0894774999999</v>
      </c>
      <c r="G1149">
        <v>80</v>
      </c>
      <c r="H1149">
        <v>79.789535521999994</v>
      </c>
      <c r="I1149">
        <v>50</v>
      </c>
      <c r="J1149">
        <v>44.708770752</v>
      </c>
      <c r="K1149">
        <v>1200</v>
      </c>
      <c r="L1149">
        <v>0</v>
      </c>
      <c r="M1149">
        <v>0</v>
      </c>
      <c r="N1149">
        <v>1200</v>
      </c>
    </row>
    <row r="1150" spans="1:14" x14ac:dyDescent="0.25">
      <c r="A1150">
        <v>1144.9740079999999</v>
      </c>
      <c r="B1150" s="1">
        <f>DATE(2013,6,18) + TIME(23,22,34)</f>
        <v>41443.974004629628</v>
      </c>
      <c r="C1150">
        <v>1379.6469727000001</v>
      </c>
      <c r="D1150">
        <v>1364.7491454999999</v>
      </c>
      <c r="E1150">
        <v>1322.3807373</v>
      </c>
      <c r="F1150">
        <v>1319.0528564000001</v>
      </c>
      <c r="G1150">
        <v>80</v>
      </c>
      <c r="H1150">
        <v>79.789718628000003</v>
      </c>
      <c r="I1150">
        <v>50</v>
      </c>
      <c r="J1150">
        <v>44.597534179999997</v>
      </c>
      <c r="K1150">
        <v>1200</v>
      </c>
      <c r="L1150">
        <v>0</v>
      </c>
      <c r="M1150">
        <v>0</v>
      </c>
      <c r="N1150">
        <v>1200</v>
      </c>
    </row>
    <row r="1151" spans="1:14" x14ac:dyDescent="0.25">
      <c r="A1151">
        <v>1146.2433639999999</v>
      </c>
      <c r="B1151" s="1">
        <f>DATE(2013,6,20) + TIME(5,50,26)</f>
        <v>41445.243356481478</v>
      </c>
      <c r="C1151">
        <v>1379.5800781</v>
      </c>
      <c r="D1151">
        <v>1364.6975098</v>
      </c>
      <c r="E1151">
        <v>1322.3521728999999</v>
      </c>
      <c r="F1151">
        <v>1319.0151367000001</v>
      </c>
      <c r="G1151">
        <v>80</v>
      </c>
      <c r="H1151">
        <v>79.789909363000007</v>
      </c>
      <c r="I1151">
        <v>50</v>
      </c>
      <c r="J1151">
        <v>44.485488891999999</v>
      </c>
      <c r="K1151">
        <v>1200</v>
      </c>
      <c r="L1151">
        <v>0</v>
      </c>
      <c r="M1151">
        <v>0</v>
      </c>
      <c r="N1151">
        <v>1200</v>
      </c>
    </row>
    <row r="1152" spans="1:14" x14ac:dyDescent="0.25">
      <c r="A1152">
        <v>1147.5189399999999</v>
      </c>
      <c r="B1152" s="1">
        <f>DATE(2013,6,21) + TIME(12,27,16)</f>
        <v>41446.518935185188</v>
      </c>
      <c r="C1152">
        <v>1379.5145264</v>
      </c>
      <c r="D1152">
        <v>1364.6467285000001</v>
      </c>
      <c r="E1152">
        <v>1322.3232422000001</v>
      </c>
      <c r="F1152">
        <v>1318.9770507999999</v>
      </c>
      <c r="G1152">
        <v>80</v>
      </c>
      <c r="H1152">
        <v>79.790100097999996</v>
      </c>
      <c r="I1152">
        <v>50</v>
      </c>
      <c r="J1152">
        <v>44.372665404999999</v>
      </c>
      <c r="K1152">
        <v>1200</v>
      </c>
      <c r="L1152">
        <v>0</v>
      </c>
      <c r="M1152">
        <v>0</v>
      </c>
      <c r="N1152">
        <v>1200</v>
      </c>
    </row>
    <row r="1153" spans="1:14" x14ac:dyDescent="0.25">
      <c r="A1153">
        <v>1148.804586</v>
      </c>
      <c r="B1153" s="1">
        <f>DATE(2013,6,22) + TIME(19,18,36)</f>
        <v>41447.804583333331</v>
      </c>
      <c r="C1153">
        <v>1379.4500731999999</v>
      </c>
      <c r="D1153">
        <v>1364.5968018000001</v>
      </c>
      <c r="E1153">
        <v>1322.2939452999999</v>
      </c>
      <c r="F1153">
        <v>1318.9384766000001</v>
      </c>
      <c r="G1153">
        <v>80</v>
      </c>
      <c r="H1153">
        <v>79.790290833</v>
      </c>
      <c r="I1153">
        <v>50</v>
      </c>
      <c r="J1153">
        <v>44.258953093999999</v>
      </c>
      <c r="K1153">
        <v>1200</v>
      </c>
      <c r="L1153">
        <v>0</v>
      </c>
      <c r="M1153">
        <v>0</v>
      </c>
      <c r="N1153">
        <v>1200</v>
      </c>
    </row>
    <row r="1154" spans="1:14" x14ac:dyDescent="0.25">
      <c r="A1154">
        <v>1150.1041270000001</v>
      </c>
      <c r="B1154" s="1">
        <f>DATE(2013,6,24) + TIME(2,29,56)</f>
        <v>41449.104120370372</v>
      </c>
      <c r="C1154">
        <v>1379.3863524999999</v>
      </c>
      <c r="D1154">
        <v>1364.5474853999999</v>
      </c>
      <c r="E1154">
        <v>1322.2642822</v>
      </c>
      <c r="F1154">
        <v>1318.8992920000001</v>
      </c>
      <c r="G1154">
        <v>80</v>
      </c>
      <c r="H1154">
        <v>79.790489196999999</v>
      </c>
      <c r="I1154">
        <v>50</v>
      </c>
      <c r="J1154">
        <v>44.144172668000003</v>
      </c>
      <c r="K1154">
        <v>1200</v>
      </c>
      <c r="L1154">
        <v>0</v>
      </c>
      <c r="M1154">
        <v>0</v>
      </c>
      <c r="N1154">
        <v>1200</v>
      </c>
    </row>
    <row r="1155" spans="1:14" x14ac:dyDescent="0.25">
      <c r="A1155">
        <v>1151.4214629999999</v>
      </c>
      <c r="B1155" s="1">
        <f>DATE(2013,6,25) + TIME(10,6,54)</f>
        <v>41450.421458333331</v>
      </c>
      <c r="C1155">
        <v>1379.3232422000001</v>
      </c>
      <c r="D1155">
        <v>1364.4985352000001</v>
      </c>
      <c r="E1155">
        <v>1322.2342529</v>
      </c>
      <c r="F1155">
        <v>1318.8594971</v>
      </c>
      <c r="G1155">
        <v>80</v>
      </c>
      <c r="H1155">
        <v>79.790687560999999</v>
      </c>
      <c r="I1155">
        <v>50</v>
      </c>
      <c r="J1155">
        <v>44.028099060000002</v>
      </c>
      <c r="K1155">
        <v>1200</v>
      </c>
      <c r="L1155">
        <v>0</v>
      </c>
      <c r="M1155">
        <v>0</v>
      </c>
      <c r="N1155">
        <v>1200</v>
      </c>
    </row>
    <row r="1156" spans="1:14" x14ac:dyDescent="0.25">
      <c r="A1156">
        <v>1152.7606290000001</v>
      </c>
      <c r="B1156" s="1">
        <f>DATE(2013,6,26) + TIME(18,15,18)</f>
        <v>41451.760625000003</v>
      </c>
      <c r="C1156">
        <v>1379.2604980000001</v>
      </c>
      <c r="D1156">
        <v>1364.4499512</v>
      </c>
      <c r="E1156">
        <v>1322.2036132999999</v>
      </c>
      <c r="F1156">
        <v>1318.8188477000001</v>
      </c>
      <c r="G1156">
        <v>80</v>
      </c>
      <c r="H1156">
        <v>79.790901184000006</v>
      </c>
      <c r="I1156">
        <v>50</v>
      </c>
      <c r="J1156">
        <v>43.910457610999998</v>
      </c>
      <c r="K1156">
        <v>1200</v>
      </c>
      <c r="L1156">
        <v>0</v>
      </c>
      <c r="M1156">
        <v>0</v>
      </c>
      <c r="N1156">
        <v>1200</v>
      </c>
    </row>
    <row r="1157" spans="1:14" x14ac:dyDescent="0.25">
      <c r="A1157">
        <v>1154.125884</v>
      </c>
      <c r="B1157" s="1">
        <f>DATE(2013,6,28) + TIME(3,1,16)</f>
        <v>41453.125879629632</v>
      </c>
      <c r="C1157">
        <v>1379.1979980000001</v>
      </c>
      <c r="D1157">
        <v>1364.4014893000001</v>
      </c>
      <c r="E1157">
        <v>1322.1723632999999</v>
      </c>
      <c r="F1157">
        <v>1318.7773437999999</v>
      </c>
      <c r="G1157">
        <v>80</v>
      </c>
      <c r="H1157">
        <v>79.791114807</v>
      </c>
      <c r="I1157">
        <v>50</v>
      </c>
      <c r="J1157">
        <v>43.790931702000002</v>
      </c>
      <c r="K1157">
        <v>1200</v>
      </c>
      <c r="L1157">
        <v>0</v>
      </c>
      <c r="M1157">
        <v>0</v>
      </c>
      <c r="N1157">
        <v>1200</v>
      </c>
    </row>
    <row r="1158" spans="1:14" x14ac:dyDescent="0.25">
      <c r="A1158">
        <v>1155.5217829999999</v>
      </c>
      <c r="B1158" s="1">
        <f>DATE(2013,6,29) + TIME(12,31,22)</f>
        <v>41454.521782407406</v>
      </c>
      <c r="C1158">
        <v>1379.1356201000001</v>
      </c>
      <c r="D1158">
        <v>1364.3529053</v>
      </c>
      <c r="E1158">
        <v>1322.1403809000001</v>
      </c>
      <c r="F1158">
        <v>1318.7347411999999</v>
      </c>
      <c r="G1158">
        <v>80</v>
      </c>
      <c r="H1158">
        <v>79.791336060000006</v>
      </c>
      <c r="I1158">
        <v>50</v>
      </c>
      <c r="J1158">
        <v>43.669178008999999</v>
      </c>
      <c r="K1158">
        <v>1200</v>
      </c>
      <c r="L1158">
        <v>0</v>
      </c>
      <c r="M1158">
        <v>0</v>
      </c>
      <c r="N1158">
        <v>1200</v>
      </c>
    </row>
    <row r="1159" spans="1:14" x14ac:dyDescent="0.25">
      <c r="A1159">
        <v>1156.260892</v>
      </c>
      <c r="B1159" s="1">
        <f>DATE(2013,6,30) + TIME(6,15,41)</f>
        <v>41455.260891203703</v>
      </c>
      <c r="C1159">
        <v>1379.0723877</v>
      </c>
      <c r="D1159">
        <v>1364.3037108999999</v>
      </c>
      <c r="E1159">
        <v>1322.1076660000001</v>
      </c>
      <c r="F1159">
        <v>1318.6940918</v>
      </c>
      <c r="G1159">
        <v>80</v>
      </c>
      <c r="H1159">
        <v>79.791419982999997</v>
      </c>
      <c r="I1159">
        <v>50</v>
      </c>
      <c r="J1159">
        <v>43.592590332</v>
      </c>
      <c r="K1159">
        <v>1200</v>
      </c>
      <c r="L1159">
        <v>0</v>
      </c>
      <c r="M1159">
        <v>0</v>
      </c>
      <c r="N1159">
        <v>1200</v>
      </c>
    </row>
    <row r="1160" spans="1:14" x14ac:dyDescent="0.25">
      <c r="A1160">
        <v>1157</v>
      </c>
      <c r="B1160" s="1">
        <f>DATE(2013,7,1) + TIME(0,0,0)</f>
        <v>41456</v>
      </c>
      <c r="C1160">
        <v>1379.0396728999999</v>
      </c>
      <c r="D1160">
        <v>1364.2780762</v>
      </c>
      <c r="E1160">
        <v>1322.0891113</v>
      </c>
      <c r="F1160">
        <v>1318.6689452999999</v>
      </c>
      <c r="G1160">
        <v>80</v>
      </c>
      <c r="H1160">
        <v>79.791526794000006</v>
      </c>
      <c r="I1160">
        <v>50</v>
      </c>
      <c r="J1160">
        <v>43.518325806</v>
      </c>
      <c r="K1160">
        <v>1200</v>
      </c>
      <c r="L1160">
        <v>0</v>
      </c>
      <c r="M1160">
        <v>0</v>
      </c>
      <c r="N1160">
        <v>1200</v>
      </c>
    </row>
    <row r="1161" spans="1:14" x14ac:dyDescent="0.25">
      <c r="A1161">
        <v>1158.4719749999999</v>
      </c>
      <c r="B1161" s="1">
        <f>DATE(2013,7,2) + TIME(11,19,38)</f>
        <v>41457.471967592595</v>
      </c>
      <c r="C1161">
        <v>1379.0079346</v>
      </c>
      <c r="D1161">
        <v>1364.2535399999999</v>
      </c>
      <c r="E1161">
        <v>1322.0709228999999</v>
      </c>
      <c r="F1161">
        <v>1318.6412353999999</v>
      </c>
      <c r="G1161">
        <v>80</v>
      </c>
      <c r="H1161">
        <v>79.791778563999998</v>
      </c>
      <c r="I1161">
        <v>50</v>
      </c>
      <c r="J1161">
        <v>43.398532867</v>
      </c>
      <c r="K1161">
        <v>1200</v>
      </c>
      <c r="L1161">
        <v>0</v>
      </c>
      <c r="M1161">
        <v>0</v>
      </c>
      <c r="N1161">
        <v>1200</v>
      </c>
    </row>
    <row r="1162" spans="1:14" x14ac:dyDescent="0.25">
      <c r="A1162">
        <v>1159.991505</v>
      </c>
      <c r="B1162" s="1">
        <f>DATE(2013,7,3) + TIME(23,47,46)</f>
        <v>41458.99150462963</v>
      </c>
      <c r="C1162">
        <v>1378.9445800999999</v>
      </c>
      <c r="D1162">
        <v>1364.2042236</v>
      </c>
      <c r="E1162">
        <v>1322.0368652</v>
      </c>
      <c r="F1162">
        <v>1318.5960693</v>
      </c>
      <c r="G1162">
        <v>80</v>
      </c>
      <c r="H1162">
        <v>79.792037964000002</v>
      </c>
      <c r="I1162">
        <v>50</v>
      </c>
      <c r="J1162">
        <v>43.272708893000001</v>
      </c>
      <c r="K1162">
        <v>1200</v>
      </c>
      <c r="L1162">
        <v>0</v>
      </c>
      <c r="M1162">
        <v>0</v>
      </c>
      <c r="N1162">
        <v>1200</v>
      </c>
    </row>
    <row r="1163" spans="1:14" x14ac:dyDescent="0.25">
      <c r="A1163">
        <v>1161.525842</v>
      </c>
      <c r="B1163" s="1">
        <f>DATE(2013,7,5) + TIME(12,37,12)</f>
        <v>41460.525833333333</v>
      </c>
      <c r="C1163">
        <v>1378.8803711</v>
      </c>
      <c r="D1163">
        <v>1364.1541748</v>
      </c>
      <c r="E1163">
        <v>1322.0013428</v>
      </c>
      <c r="F1163">
        <v>1318.5488281</v>
      </c>
      <c r="G1163">
        <v>80</v>
      </c>
      <c r="H1163">
        <v>79.792289733999993</v>
      </c>
      <c r="I1163">
        <v>50</v>
      </c>
      <c r="J1163">
        <v>43.143268585000001</v>
      </c>
      <c r="K1163">
        <v>1200</v>
      </c>
      <c r="L1163">
        <v>0</v>
      </c>
      <c r="M1163">
        <v>0</v>
      </c>
      <c r="N1163">
        <v>1200</v>
      </c>
    </row>
    <row r="1164" spans="1:14" x14ac:dyDescent="0.25">
      <c r="A1164">
        <v>1163.0765710000001</v>
      </c>
      <c r="B1164" s="1">
        <f>DATE(2013,7,7) + TIME(1,50,15)</f>
        <v>41462.076562499999</v>
      </c>
      <c r="C1164">
        <v>1378.8166504000001</v>
      </c>
      <c r="D1164">
        <v>1364.1044922000001</v>
      </c>
      <c r="E1164">
        <v>1321.9650879000001</v>
      </c>
      <c r="F1164">
        <v>1318.5004882999999</v>
      </c>
      <c r="G1164">
        <v>80</v>
      </c>
      <c r="H1164">
        <v>79.792549132999994</v>
      </c>
      <c r="I1164">
        <v>50</v>
      </c>
      <c r="J1164">
        <v>43.010971069</v>
      </c>
      <c r="K1164">
        <v>1200</v>
      </c>
      <c r="L1164">
        <v>0</v>
      </c>
      <c r="M1164">
        <v>0</v>
      </c>
      <c r="N1164">
        <v>1200</v>
      </c>
    </row>
    <row r="1165" spans="1:14" x14ac:dyDescent="0.25">
      <c r="A1165">
        <v>1164.6486259999999</v>
      </c>
      <c r="B1165" s="1">
        <f>DATE(2013,7,8) + TIME(15,34,1)</f>
        <v>41463.648622685185</v>
      </c>
      <c r="C1165">
        <v>1378.7535399999999</v>
      </c>
      <c r="D1165">
        <v>1364.0551757999999</v>
      </c>
      <c r="E1165">
        <v>1321.9282227000001</v>
      </c>
      <c r="F1165">
        <v>1318.4511719</v>
      </c>
      <c r="G1165">
        <v>80</v>
      </c>
      <c r="H1165">
        <v>79.792808532999999</v>
      </c>
      <c r="I1165">
        <v>50</v>
      </c>
      <c r="J1165">
        <v>42.876079558999997</v>
      </c>
      <c r="K1165">
        <v>1200</v>
      </c>
      <c r="L1165">
        <v>0</v>
      </c>
      <c r="M1165">
        <v>0</v>
      </c>
      <c r="N1165">
        <v>1200</v>
      </c>
    </row>
    <row r="1166" spans="1:14" x14ac:dyDescent="0.25">
      <c r="A1166">
        <v>1166.234007</v>
      </c>
      <c r="B1166" s="1">
        <f>DATE(2013,7,10) + TIME(5,36,58)</f>
        <v>41465.23400462963</v>
      </c>
      <c r="C1166">
        <v>1378.6907959</v>
      </c>
      <c r="D1166">
        <v>1364.0061035000001</v>
      </c>
      <c r="E1166">
        <v>1321.890625</v>
      </c>
      <c r="F1166">
        <v>1318.4008789</v>
      </c>
      <c r="G1166">
        <v>80</v>
      </c>
      <c r="H1166">
        <v>79.793067932</v>
      </c>
      <c r="I1166">
        <v>50</v>
      </c>
      <c r="J1166">
        <v>42.739341736</v>
      </c>
      <c r="K1166">
        <v>1200</v>
      </c>
      <c r="L1166">
        <v>0</v>
      </c>
      <c r="M1166">
        <v>0</v>
      </c>
      <c r="N1166">
        <v>1200</v>
      </c>
    </row>
    <row r="1167" spans="1:14" x14ac:dyDescent="0.25">
      <c r="A1167">
        <v>1167.8352010000001</v>
      </c>
      <c r="B1167" s="1">
        <f>DATE(2013,7,11) + TIME(20,2,41)</f>
        <v>41466.835196759261</v>
      </c>
      <c r="C1167">
        <v>1378.6286620999999</v>
      </c>
      <c r="D1167">
        <v>1363.9575195</v>
      </c>
      <c r="E1167">
        <v>1321.8525391000001</v>
      </c>
      <c r="F1167">
        <v>1318.3497314000001</v>
      </c>
      <c r="G1167">
        <v>80</v>
      </c>
      <c r="H1167">
        <v>79.793327332000004</v>
      </c>
      <c r="I1167">
        <v>50</v>
      </c>
      <c r="J1167">
        <v>42.600898743000002</v>
      </c>
      <c r="K1167">
        <v>1200</v>
      </c>
      <c r="L1167">
        <v>0</v>
      </c>
      <c r="M1167">
        <v>0</v>
      </c>
      <c r="N1167">
        <v>1200</v>
      </c>
    </row>
    <row r="1168" spans="1:14" x14ac:dyDescent="0.25">
      <c r="A1168">
        <v>1169.4570550000001</v>
      </c>
      <c r="B1168" s="1">
        <f>DATE(2013,7,13) + TIME(10,58,9)</f>
        <v>41468.457048611112</v>
      </c>
      <c r="C1168">
        <v>1378.5671387</v>
      </c>
      <c r="D1168">
        <v>1363.9091797000001</v>
      </c>
      <c r="E1168">
        <v>1321.8140868999999</v>
      </c>
      <c r="F1168">
        <v>1318.2978516000001</v>
      </c>
      <c r="G1168">
        <v>80</v>
      </c>
      <c r="H1168">
        <v>79.79359436</v>
      </c>
      <c r="I1168">
        <v>50</v>
      </c>
      <c r="J1168">
        <v>42.460651398000003</v>
      </c>
      <c r="K1168">
        <v>1200</v>
      </c>
      <c r="L1168">
        <v>0</v>
      </c>
      <c r="M1168">
        <v>0</v>
      </c>
      <c r="N1168">
        <v>1200</v>
      </c>
    </row>
    <row r="1169" spans="1:14" x14ac:dyDescent="0.25">
      <c r="A1169">
        <v>1171.104562</v>
      </c>
      <c r="B1169" s="1">
        <f>DATE(2013,7,15) + TIME(2,30,34)</f>
        <v>41470.104560185187</v>
      </c>
      <c r="C1169">
        <v>1378.5058594</v>
      </c>
      <c r="D1169">
        <v>1363.8612060999999</v>
      </c>
      <c r="E1169">
        <v>1321.7750243999999</v>
      </c>
      <c r="F1169">
        <v>1318.2451172000001</v>
      </c>
      <c r="G1169">
        <v>80</v>
      </c>
      <c r="H1169">
        <v>79.793861389</v>
      </c>
      <c r="I1169">
        <v>50</v>
      </c>
      <c r="J1169">
        <v>42.318378447999997</v>
      </c>
      <c r="K1169">
        <v>1200</v>
      </c>
      <c r="L1169">
        <v>0</v>
      </c>
      <c r="M1169">
        <v>0</v>
      </c>
      <c r="N1169">
        <v>1200</v>
      </c>
    </row>
    <row r="1170" spans="1:14" x14ac:dyDescent="0.25">
      <c r="A1170">
        <v>1172.78297</v>
      </c>
      <c r="B1170" s="1">
        <f>DATE(2013,7,16) + TIME(18,47,28)</f>
        <v>41471.782962962963</v>
      </c>
      <c r="C1170">
        <v>1378.4448242000001</v>
      </c>
      <c r="D1170">
        <v>1363.8131103999999</v>
      </c>
      <c r="E1170">
        <v>1321.7352295000001</v>
      </c>
      <c r="F1170">
        <v>1318.1914062000001</v>
      </c>
      <c r="G1170">
        <v>80</v>
      </c>
      <c r="H1170">
        <v>79.794143676999994</v>
      </c>
      <c r="I1170">
        <v>50</v>
      </c>
      <c r="J1170">
        <v>42.173774719000001</v>
      </c>
      <c r="K1170">
        <v>1200</v>
      </c>
      <c r="L1170">
        <v>0</v>
      </c>
      <c r="M1170">
        <v>0</v>
      </c>
      <c r="N1170">
        <v>1200</v>
      </c>
    </row>
    <row r="1171" spans="1:14" x14ac:dyDescent="0.25">
      <c r="A1171">
        <v>1174.4979040000001</v>
      </c>
      <c r="B1171" s="1">
        <f>DATE(2013,7,18) + TIME(11,56,58)</f>
        <v>41473.497893518521</v>
      </c>
      <c r="C1171">
        <v>1378.3837891000001</v>
      </c>
      <c r="D1171">
        <v>1363.7651367000001</v>
      </c>
      <c r="E1171">
        <v>1321.6947021000001</v>
      </c>
      <c r="F1171">
        <v>1318.1364745999999</v>
      </c>
      <c r="G1171">
        <v>80</v>
      </c>
      <c r="H1171">
        <v>79.794425963999998</v>
      </c>
      <c r="I1171">
        <v>50</v>
      </c>
      <c r="J1171">
        <v>42.026466370000001</v>
      </c>
      <c r="K1171">
        <v>1200</v>
      </c>
      <c r="L1171">
        <v>0</v>
      </c>
      <c r="M1171">
        <v>0</v>
      </c>
      <c r="N1171">
        <v>1200</v>
      </c>
    </row>
    <row r="1172" spans="1:14" x14ac:dyDescent="0.25">
      <c r="A1172">
        <v>1176.2554729999999</v>
      </c>
      <c r="B1172" s="1">
        <f>DATE(2013,7,20) + TIME(6,7,52)</f>
        <v>41475.255462962959</v>
      </c>
      <c r="C1172">
        <v>1378.3223877</v>
      </c>
      <c r="D1172">
        <v>1363.7167969</v>
      </c>
      <c r="E1172">
        <v>1321.6531981999999</v>
      </c>
      <c r="F1172">
        <v>1318.0803223</v>
      </c>
      <c r="G1172">
        <v>80</v>
      </c>
      <c r="H1172">
        <v>79.794715881000002</v>
      </c>
      <c r="I1172">
        <v>50</v>
      </c>
      <c r="J1172">
        <v>41.876026154000002</v>
      </c>
      <c r="K1172">
        <v>1200</v>
      </c>
      <c r="L1172">
        <v>0</v>
      </c>
      <c r="M1172">
        <v>0</v>
      </c>
      <c r="N1172">
        <v>1200</v>
      </c>
    </row>
    <row r="1173" spans="1:14" x14ac:dyDescent="0.25">
      <c r="A1173">
        <v>1178.0624130000001</v>
      </c>
      <c r="B1173" s="1">
        <f>DATE(2013,7,22) + TIME(1,29,52)</f>
        <v>41477.062407407408</v>
      </c>
      <c r="C1173">
        <v>1378.2607422000001</v>
      </c>
      <c r="D1173">
        <v>1363.6680908000001</v>
      </c>
      <c r="E1173">
        <v>1321.6107178</v>
      </c>
      <c r="F1173">
        <v>1318.0225829999999</v>
      </c>
      <c r="G1173">
        <v>80</v>
      </c>
      <c r="H1173">
        <v>79.795013428000004</v>
      </c>
      <c r="I1173">
        <v>50</v>
      </c>
      <c r="J1173">
        <v>41.721965789999999</v>
      </c>
      <c r="K1173">
        <v>1200</v>
      </c>
      <c r="L1173">
        <v>0</v>
      </c>
      <c r="M1173">
        <v>0</v>
      </c>
      <c r="N1173">
        <v>1200</v>
      </c>
    </row>
    <row r="1174" spans="1:14" x14ac:dyDescent="0.25">
      <c r="A1174">
        <v>1179.9048379999999</v>
      </c>
      <c r="B1174" s="1">
        <f>DATE(2013,7,23) + TIME(21,42,58)</f>
        <v>41478.90483796296</v>
      </c>
      <c r="C1174">
        <v>1378.1983643000001</v>
      </c>
      <c r="D1174">
        <v>1363.6188964999999</v>
      </c>
      <c r="E1174">
        <v>1321.5671387</v>
      </c>
      <c r="F1174">
        <v>1317.9632568</v>
      </c>
      <c r="G1174">
        <v>80</v>
      </c>
      <c r="H1174">
        <v>79.795318604000002</v>
      </c>
      <c r="I1174">
        <v>50</v>
      </c>
      <c r="J1174">
        <v>41.564842224000003</v>
      </c>
      <c r="K1174">
        <v>1200</v>
      </c>
      <c r="L1174">
        <v>0</v>
      </c>
      <c r="M1174">
        <v>0</v>
      </c>
      <c r="N1174">
        <v>1200</v>
      </c>
    </row>
    <row r="1175" spans="1:14" x14ac:dyDescent="0.25">
      <c r="A1175">
        <v>1181.7630899999999</v>
      </c>
      <c r="B1175" s="1">
        <f>DATE(2013,7,25) + TIME(18,18,51)</f>
        <v>41480.763090277775</v>
      </c>
      <c r="C1175">
        <v>1378.1359863</v>
      </c>
      <c r="D1175">
        <v>1363.5695800999999</v>
      </c>
      <c r="E1175">
        <v>1321.5225829999999</v>
      </c>
      <c r="F1175">
        <v>1317.9027100000001</v>
      </c>
      <c r="G1175">
        <v>80</v>
      </c>
      <c r="H1175">
        <v>79.795623778999996</v>
      </c>
      <c r="I1175">
        <v>50</v>
      </c>
      <c r="J1175">
        <v>41.405754088999998</v>
      </c>
      <c r="K1175">
        <v>1200</v>
      </c>
      <c r="L1175">
        <v>0</v>
      </c>
      <c r="M1175">
        <v>0</v>
      </c>
      <c r="N1175">
        <v>1200</v>
      </c>
    </row>
    <row r="1176" spans="1:14" x14ac:dyDescent="0.25">
      <c r="A1176">
        <v>1183.643028</v>
      </c>
      <c r="B1176" s="1">
        <f>DATE(2013,7,27) + TIME(15,25,57)</f>
        <v>41482.643020833333</v>
      </c>
      <c r="C1176">
        <v>1378.0740966999999</v>
      </c>
      <c r="D1176">
        <v>1363.5205077999999</v>
      </c>
      <c r="E1176">
        <v>1321.4776611</v>
      </c>
      <c r="F1176">
        <v>1317.8414307</v>
      </c>
      <c r="G1176">
        <v>80</v>
      </c>
      <c r="H1176">
        <v>79.795928954999994</v>
      </c>
      <c r="I1176">
        <v>50</v>
      </c>
      <c r="J1176">
        <v>41.244731903000002</v>
      </c>
      <c r="K1176">
        <v>1200</v>
      </c>
      <c r="L1176">
        <v>0</v>
      </c>
      <c r="M1176">
        <v>0</v>
      </c>
      <c r="N1176">
        <v>1200</v>
      </c>
    </row>
    <row r="1177" spans="1:14" x14ac:dyDescent="0.25">
      <c r="A1177">
        <v>1185.550532</v>
      </c>
      <c r="B1177" s="1">
        <f>DATE(2013,7,29) + TIME(13,12,45)</f>
        <v>41484.550520833334</v>
      </c>
      <c r="C1177">
        <v>1378.0125731999999</v>
      </c>
      <c r="D1177">
        <v>1363.4718018000001</v>
      </c>
      <c r="E1177">
        <v>1321.4321289</v>
      </c>
      <c r="F1177">
        <v>1317.7792969</v>
      </c>
      <c r="G1177">
        <v>80</v>
      </c>
      <c r="H1177">
        <v>79.796241760000001</v>
      </c>
      <c r="I1177">
        <v>50</v>
      </c>
      <c r="J1177">
        <v>41.081604003999999</v>
      </c>
      <c r="K1177">
        <v>1200</v>
      </c>
      <c r="L1177">
        <v>0</v>
      </c>
      <c r="M1177">
        <v>0</v>
      </c>
      <c r="N1177">
        <v>1200</v>
      </c>
    </row>
    <row r="1178" spans="1:14" x14ac:dyDescent="0.25">
      <c r="A1178">
        <v>1187.491777</v>
      </c>
      <c r="B1178" s="1">
        <f>DATE(2013,7,31) + TIME(11,48,9)</f>
        <v>41486.491770833331</v>
      </c>
      <c r="C1178">
        <v>1377.9512939000001</v>
      </c>
      <c r="D1178">
        <v>1363.4230957</v>
      </c>
      <c r="E1178">
        <v>1321.3861084</v>
      </c>
      <c r="F1178">
        <v>1317.7160644999999</v>
      </c>
      <c r="G1178">
        <v>80</v>
      </c>
      <c r="H1178">
        <v>79.796562195000007</v>
      </c>
      <c r="I1178">
        <v>50</v>
      </c>
      <c r="J1178">
        <v>40.916080475000001</v>
      </c>
      <c r="K1178">
        <v>1200</v>
      </c>
      <c r="L1178">
        <v>0</v>
      </c>
      <c r="M1178">
        <v>0</v>
      </c>
      <c r="N1178">
        <v>1200</v>
      </c>
    </row>
    <row r="1179" spans="1:14" x14ac:dyDescent="0.25">
      <c r="A1179">
        <v>1188</v>
      </c>
      <c r="B1179" s="1">
        <f>DATE(2013,8,1) + TIME(0,0,0)</f>
        <v>41487</v>
      </c>
      <c r="C1179">
        <v>1377.8896483999999</v>
      </c>
      <c r="D1179">
        <v>1363.3740233999999</v>
      </c>
      <c r="E1179">
        <v>1321.3400879000001</v>
      </c>
      <c r="F1179">
        <v>1317.6601562000001</v>
      </c>
      <c r="G1179">
        <v>80</v>
      </c>
      <c r="H1179">
        <v>79.796615600999999</v>
      </c>
      <c r="I1179">
        <v>50</v>
      </c>
      <c r="J1179">
        <v>40.853656768999997</v>
      </c>
      <c r="K1179">
        <v>1200</v>
      </c>
      <c r="L1179">
        <v>0</v>
      </c>
      <c r="M1179">
        <v>0</v>
      </c>
      <c r="N1179">
        <v>1200</v>
      </c>
    </row>
    <row r="1180" spans="1:14" x14ac:dyDescent="0.25">
      <c r="A1180">
        <v>1189.981544</v>
      </c>
      <c r="B1180" s="1">
        <f>DATE(2013,8,2) + TIME(23,33,25)</f>
        <v>41488.981539351851</v>
      </c>
      <c r="C1180">
        <v>1377.8737793</v>
      </c>
      <c r="D1180">
        <v>1363.3614502</v>
      </c>
      <c r="E1180">
        <v>1321.3251952999999</v>
      </c>
      <c r="F1180">
        <v>1317.6318358999999</v>
      </c>
      <c r="G1180">
        <v>80</v>
      </c>
      <c r="H1180">
        <v>79.796958923000005</v>
      </c>
      <c r="I1180">
        <v>50</v>
      </c>
      <c r="J1180">
        <v>40.693088531000001</v>
      </c>
      <c r="K1180">
        <v>1200</v>
      </c>
      <c r="L1180">
        <v>0</v>
      </c>
      <c r="M1180">
        <v>0</v>
      </c>
      <c r="N1180">
        <v>1200</v>
      </c>
    </row>
    <row r="1181" spans="1:14" x14ac:dyDescent="0.25">
      <c r="A1181">
        <v>1192.001792</v>
      </c>
      <c r="B1181" s="1">
        <f>DATE(2013,8,5) + TIME(0,2,34)</f>
        <v>41491.001782407409</v>
      </c>
      <c r="C1181">
        <v>1377.8127440999999</v>
      </c>
      <c r="D1181">
        <v>1363.3127440999999</v>
      </c>
      <c r="E1181">
        <v>1321.2784423999999</v>
      </c>
      <c r="F1181">
        <v>1317.5676269999999</v>
      </c>
      <c r="G1181">
        <v>80</v>
      </c>
      <c r="H1181">
        <v>79.797294617000006</v>
      </c>
      <c r="I1181">
        <v>50</v>
      </c>
      <c r="J1181">
        <v>40.526550293</v>
      </c>
      <c r="K1181">
        <v>1200</v>
      </c>
      <c r="L1181">
        <v>0</v>
      </c>
      <c r="M1181">
        <v>0</v>
      </c>
      <c r="N1181">
        <v>1200</v>
      </c>
    </row>
    <row r="1182" spans="1:14" x14ac:dyDescent="0.25">
      <c r="A1182">
        <v>1194.0557550000001</v>
      </c>
      <c r="B1182" s="1">
        <f>DATE(2013,8,7) + TIME(1,20,17)</f>
        <v>41493.055752314816</v>
      </c>
      <c r="C1182">
        <v>1377.7513428</v>
      </c>
      <c r="D1182">
        <v>1363.2637939000001</v>
      </c>
      <c r="E1182">
        <v>1321.2303466999999</v>
      </c>
      <c r="F1182">
        <v>1317.5015868999999</v>
      </c>
      <c r="G1182">
        <v>80</v>
      </c>
      <c r="H1182">
        <v>79.797630310000002</v>
      </c>
      <c r="I1182">
        <v>50</v>
      </c>
      <c r="J1182">
        <v>40.355529785000002</v>
      </c>
      <c r="K1182">
        <v>1200</v>
      </c>
      <c r="L1182">
        <v>0</v>
      </c>
      <c r="M1182">
        <v>0</v>
      </c>
      <c r="N1182">
        <v>1200</v>
      </c>
    </row>
    <row r="1183" spans="1:14" x14ac:dyDescent="0.25">
      <c r="A1183">
        <v>1196.150257</v>
      </c>
      <c r="B1183" s="1">
        <f>DATE(2013,8,9) + TIME(3,36,22)</f>
        <v>41495.150254629632</v>
      </c>
      <c r="C1183">
        <v>1377.6898193</v>
      </c>
      <c r="D1183">
        <v>1363.2145995999999</v>
      </c>
      <c r="E1183">
        <v>1321.1812743999999</v>
      </c>
      <c r="F1183">
        <v>1317.4339600000001</v>
      </c>
      <c r="G1183">
        <v>80</v>
      </c>
      <c r="H1183">
        <v>79.797966002999999</v>
      </c>
      <c r="I1183">
        <v>50</v>
      </c>
      <c r="J1183">
        <v>40.180564879999999</v>
      </c>
      <c r="K1183">
        <v>1200</v>
      </c>
      <c r="L1183">
        <v>0</v>
      </c>
      <c r="M1183">
        <v>0</v>
      </c>
      <c r="N1183">
        <v>1200</v>
      </c>
    </row>
    <row r="1184" spans="1:14" x14ac:dyDescent="0.25">
      <c r="A1184">
        <v>1198.278245</v>
      </c>
      <c r="B1184" s="1">
        <f>DATE(2013,8,11) + TIME(6,40,40)</f>
        <v>41497.278240740743</v>
      </c>
      <c r="C1184">
        <v>1377.6282959</v>
      </c>
      <c r="D1184">
        <v>1363.1652832</v>
      </c>
      <c r="E1184">
        <v>1321.1314697</v>
      </c>
      <c r="F1184">
        <v>1317.3649902</v>
      </c>
      <c r="G1184">
        <v>80</v>
      </c>
      <c r="H1184">
        <v>79.798316955999994</v>
      </c>
      <c r="I1184">
        <v>50</v>
      </c>
      <c r="J1184">
        <v>40.002433777</v>
      </c>
      <c r="K1184">
        <v>1200</v>
      </c>
      <c r="L1184">
        <v>0</v>
      </c>
      <c r="M1184">
        <v>0</v>
      </c>
      <c r="N1184">
        <v>1200</v>
      </c>
    </row>
    <row r="1185" spans="1:14" x14ac:dyDescent="0.25">
      <c r="A1185">
        <v>1200.41776</v>
      </c>
      <c r="B1185" s="1">
        <f>DATE(2013,8,13) + TIME(10,1,34)</f>
        <v>41499.417754629627</v>
      </c>
      <c r="C1185">
        <v>1377.5666504000001</v>
      </c>
      <c r="D1185">
        <v>1363.1158447</v>
      </c>
      <c r="E1185">
        <v>1321.0809326000001</v>
      </c>
      <c r="F1185">
        <v>1317.2950439000001</v>
      </c>
      <c r="G1185">
        <v>80</v>
      </c>
      <c r="H1185">
        <v>79.798652649000005</v>
      </c>
      <c r="I1185">
        <v>50</v>
      </c>
      <c r="J1185">
        <v>39.822631835999999</v>
      </c>
      <c r="K1185">
        <v>1200</v>
      </c>
      <c r="L1185">
        <v>0</v>
      </c>
      <c r="M1185">
        <v>0</v>
      </c>
      <c r="N1185">
        <v>1200</v>
      </c>
    </row>
    <row r="1186" spans="1:14" x14ac:dyDescent="0.25">
      <c r="A1186">
        <v>1202.57528</v>
      </c>
      <c r="B1186" s="1">
        <f>DATE(2013,8,15) + TIME(13,48,24)</f>
        <v>41501.575277777774</v>
      </c>
      <c r="C1186">
        <v>1377.5057373</v>
      </c>
      <c r="D1186">
        <v>1363.0668945</v>
      </c>
      <c r="E1186">
        <v>1321.0301514</v>
      </c>
      <c r="F1186">
        <v>1317.2244873</v>
      </c>
      <c r="G1186">
        <v>80</v>
      </c>
      <c r="H1186">
        <v>79.799003600999995</v>
      </c>
      <c r="I1186">
        <v>50</v>
      </c>
      <c r="J1186">
        <v>39.641407012999998</v>
      </c>
      <c r="K1186">
        <v>1200</v>
      </c>
      <c r="L1186">
        <v>0</v>
      </c>
      <c r="M1186">
        <v>0</v>
      </c>
      <c r="N1186">
        <v>1200</v>
      </c>
    </row>
    <row r="1187" spans="1:14" x14ac:dyDescent="0.25">
      <c r="A1187">
        <v>1204.757337</v>
      </c>
      <c r="B1187" s="1">
        <f>DATE(2013,8,17) + TIME(18,10,33)</f>
        <v>41503.757326388892</v>
      </c>
      <c r="C1187">
        <v>1377.4453125</v>
      </c>
      <c r="D1187">
        <v>1363.0181885</v>
      </c>
      <c r="E1187">
        <v>1320.979126</v>
      </c>
      <c r="F1187">
        <v>1317.1534423999999</v>
      </c>
      <c r="G1187">
        <v>80</v>
      </c>
      <c r="H1187">
        <v>79.799346924000005</v>
      </c>
      <c r="I1187">
        <v>50</v>
      </c>
      <c r="J1187">
        <v>39.458724975999999</v>
      </c>
      <c r="K1187">
        <v>1200</v>
      </c>
      <c r="L1187">
        <v>0</v>
      </c>
      <c r="M1187">
        <v>0</v>
      </c>
      <c r="N1187">
        <v>1200</v>
      </c>
    </row>
    <row r="1188" spans="1:14" x14ac:dyDescent="0.25">
      <c r="A1188">
        <v>1206.970677</v>
      </c>
      <c r="B1188" s="1">
        <f>DATE(2013,8,19) + TIME(23,17,46)</f>
        <v>41505.970671296294</v>
      </c>
      <c r="C1188">
        <v>1377.3851318</v>
      </c>
      <c r="D1188">
        <v>1362.9697266000001</v>
      </c>
      <c r="E1188">
        <v>1320.9278564000001</v>
      </c>
      <c r="F1188">
        <v>1317.0817870999999</v>
      </c>
      <c r="G1188">
        <v>80</v>
      </c>
      <c r="H1188">
        <v>79.799697875999996</v>
      </c>
      <c r="I1188">
        <v>50</v>
      </c>
      <c r="J1188">
        <v>39.274356842000003</v>
      </c>
      <c r="K1188">
        <v>1200</v>
      </c>
      <c r="L1188">
        <v>0</v>
      </c>
      <c r="M1188">
        <v>0</v>
      </c>
      <c r="N1188">
        <v>1200</v>
      </c>
    </row>
    <row r="1189" spans="1:14" x14ac:dyDescent="0.25">
      <c r="A1189">
        <v>1209.2223670000001</v>
      </c>
      <c r="B1189" s="1">
        <f>DATE(2013,8,22) + TIME(5,20,12)</f>
        <v>41508.222361111111</v>
      </c>
      <c r="C1189">
        <v>1377.3249512</v>
      </c>
      <c r="D1189">
        <v>1362.9211425999999</v>
      </c>
      <c r="E1189">
        <v>1320.8759766000001</v>
      </c>
      <c r="F1189">
        <v>1317.0092772999999</v>
      </c>
      <c r="G1189">
        <v>80</v>
      </c>
      <c r="H1189">
        <v>79.800048828000001</v>
      </c>
      <c r="I1189">
        <v>50</v>
      </c>
      <c r="J1189">
        <v>39.087951660000002</v>
      </c>
      <c r="K1189">
        <v>1200</v>
      </c>
      <c r="L1189">
        <v>0</v>
      </c>
      <c r="M1189">
        <v>0</v>
      </c>
      <c r="N1189">
        <v>1200</v>
      </c>
    </row>
    <row r="1190" spans="1:14" x14ac:dyDescent="0.25">
      <c r="A1190">
        <v>1211.519873</v>
      </c>
      <c r="B1190" s="1">
        <f>DATE(2013,8,24) + TIME(12,28,37)</f>
        <v>41510.519872685189</v>
      </c>
      <c r="C1190">
        <v>1377.2647704999999</v>
      </c>
      <c r="D1190">
        <v>1362.8724365</v>
      </c>
      <c r="E1190">
        <v>1320.8236084</v>
      </c>
      <c r="F1190">
        <v>1316.9357910000001</v>
      </c>
      <c r="G1190">
        <v>80</v>
      </c>
      <c r="H1190">
        <v>79.800407410000005</v>
      </c>
      <c r="I1190">
        <v>50</v>
      </c>
      <c r="J1190">
        <v>38.899089813000003</v>
      </c>
      <c r="K1190">
        <v>1200</v>
      </c>
      <c r="L1190">
        <v>0</v>
      </c>
      <c r="M1190">
        <v>0</v>
      </c>
      <c r="N1190">
        <v>1200</v>
      </c>
    </row>
    <row r="1191" spans="1:14" x14ac:dyDescent="0.25">
      <c r="A1191">
        <v>1213.8713210000001</v>
      </c>
      <c r="B1191" s="1">
        <f>DATE(2013,8,26) + TIME(20,54,42)</f>
        <v>41512.871319444443</v>
      </c>
      <c r="C1191">
        <v>1377.2042236</v>
      </c>
      <c r="D1191">
        <v>1362.8233643000001</v>
      </c>
      <c r="E1191">
        <v>1320.7705077999999</v>
      </c>
      <c r="F1191">
        <v>1316.8610839999999</v>
      </c>
      <c r="G1191">
        <v>80</v>
      </c>
      <c r="H1191">
        <v>79.800773621000005</v>
      </c>
      <c r="I1191">
        <v>50</v>
      </c>
      <c r="J1191">
        <v>38.707298279</v>
      </c>
      <c r="K1191">
        <v>1200</v>
      </c>
      <c r="L1191">
        <v>0</v>
      </c>
      <c r="M1191">
        <v>0</v>
      </c>
      <c r="N1191">
        <v>1200</v>
      </c>
    </row>
    <row r="1192" spans="1:14" x14ac:dyDescent="0.25">
      <c r="A1192">
        <v>1216.2856280000001</v>
      </c>
      <c r="B1192" s="1">
        <f>DATE(2013,8,29) + TIME(6,51,18)</f>
        <v>41515.285624999997</v>
      </c>
      <c r="C1192">
        <v>1377.1431885</v>
      </c>
      <c r="D1192">
        <v>1362.7738036999999</v>
      </c>
      <c r="E1192">
        <v>1320.7166748</v>
      </c>
      <c r="F1192">
        <v>1316.7850341999999</v>
      </c>
      <c r="G1192">
        <v>80</v>
      </c>
      <c r="H1192">
        <v>79.801147460999999</v>
      </c>
      <c r="I1192">
        <v>50</v>
      </c>
      <c r="J1192">
        <v>38.512042999000002</v>
      </c>
      <c r="K1192">
        <v>1200</v>
      </c>
      <c r="L1192">
        <v>0</v>
      </c>
      <c r="M1192">
        <v>0</v>
      </c>
      <c r="N1192">
        <v>1200</v>
      </c>
    </row>
    <row r="1193" spans="1:14" x14ac:dyDescent="0.25">
      <c r="A1193">
        <v>1218.7540770000001</v>
      </c>
      <c r="B1193" s="1">
        <f>DATE(2013,8,31) + TIME(18,5,52)</f>
        <v>41517.754074074073</v>
      </c>
      <c r="C1193">
        <v>1377.081543</v>
      </c>
      <c r="D1193">
        <v>1362.7236327999999</v>
      </c>
      <c r="E1193">
        <v>1320.6617432</v>
      </c>
      <c r="F1193">
        <v>1316.7075195</v>
      </c>
      <c r="G1193">
        <v>80</v>
      </c>
      <c r="H1193">
        <v>79.801528931000007</v>
      </c>
      <c r="I1193">
        <v>50</v>
      </c>
      <c r="J1193">
        <v>38.313537598000003</v>
      </c>
      <c r="K1193">
        <v>1200</v>
      </c>
      <c r="L1193">
        <v>0</v>
      </c>
      <c r="M1193">
        <v>0</v>
      </c>
      <c r="N1193">
        <v>1200</v>
      </c>
    </row>
    <row r="1194" spans="1:14" x14ac:dyDescent="0.25">
      <c r="A1194">
        <v>1219</v>
      </c>
      <c r="B1194" s="1">
        <f>DATE(2013,9,1) + TIME(0,0,0)</f>
        <v>41518</v>
      </c>
      <c r="C1194">
        <v>1377.0206298999999</v>
      </c>
      <c r="D1194">
        <v>1362.6740723</v>
      </c>
      <c r="E1194">
        <v>1320.6082764</v>
      </c>
      <c r="F1194">
        <v>1316.644043</v>
      </c>
      <c r="G1194">
        <v>80</v>
      </c>
      <c r="H1194">
        <v>79.801551818999997</v>
      </c>
      <c r="I1194">
        <v>50</v>
      </c>
      <c r="J1194">
        <v>38.278839111000003</v>
      </c>
      <c r="K1194">
        <v>1200</v>
      </c>
      <c r="L1194">
        <v>0</v>
      </c>
      <c r="M1194">
        <v>0</v>
      </c>
      <c r="N1194">
        <v>1200</v>
      </c>
    </row>
    <row r="1195" spans="1:14" x14ac:dyDescent="0.25">
      <c r="A1195">
        <v>1221.4834780000001</v>
      </c>
      <c r="B1195" s="1">
        <f>DATE(2013,9,3) + TIME(11,36,12)</f>
        <v>41520.483472222222</v>
      </c>
      <c r="C1195">
        <v>1377.0129394999999</v>
      </c>
      <c r="D1195">
        <v>1362.6676024999999</v>
      </c>
      <c r="E1195">
        <v>1320.5991211</v>
      </c>
      <c r="F1195">
        <v>1316.6184082</v>
      </c>
      <c r="G1195">
        <v>80</v>
      </c>
      <c r="H1195">
        <v>79.801940918</v>
      </c>
      <c r="I1195">
        <v>50</v>
      </c>
      <c r="J1195">
        <v>38.085960387999997</v>
      </c>
      <c r="K1195">
        <v>1200</v>
      </c>
      <c r="L1195">
        <v>0</v>
      </c>
      <c r="M1195">
        <v>0</v>
      </c>
      <c r="N1195">
        <v>1200</v>
      </c>
    </row>
    <row r="1196" spans="1:14" x14ac:dyDescent="0.25">
      <c r="A1196">
        <v>1223.981139</v>
      </c>
      <c r="B1196" s="1">
        <f>DATE(2013,9,5) + TIME(23,32,50)</f>
        <v>41522.981134259258</v>
      </c>
      <c r="C1196">
        <v>1376.9516602000001</v>
      </c>
      <c r="D1196">
        <v>1362.6175536999999</v>
      </c>
      <c r="E1196">
        <v>1320.5441894999999</v>
      </c>
      <c r="F1196">
        <v>1316.5406493999999</v>
      </c>
      <c r="G1196">
        <v>80</v>
      </c>
      <c r="H1196">
        <v>79.802322387999993</v>
      </c>
      <c r="I1196">
        <v>50</v>
      </c>
      <c r="J1196">
        <v>37.889156342</v>
      </c>
      <c r="K1196">
        <v>1200</v>
      </c>
      <c r="L1196">
        <v>0</v>
      </c>
      <c r="M1196">
        <v>0</v>
      </c>
      <c r="N1196">
        <v>1200</v>
      </c>
    </row>
    <row r="1197" spans="1:14" x14ac:dyDescent="0.25">
      <c r="A1197">
        <v>1226.4989989999999</v>
      </c>
      <c r="B1197" s="1">
        <f>DATE(2013,9,8) + TIME(11,58,33)</f>
        <v>41525.498993055553</v>
      </c>
      <c r="C1197">
        <v>1376.8907471</v>
      </c>
      <c r="D1197">
        <v>1362.5676269999999</v>
      </c>
      <c r="E1197">
        <v>1320.4890137</v>
      </c>
      <c r="F1197">
        <v>1316.4621582</v>
      </c>
      <c r="G1197">
        <v>80</v>
      </c>
      <c r="H1197">
        <v>79.802703856999997</v>
      </c>
      <c r="I1197">
        <v>50</v>
      </c>
      <c r="J1197">
        <v>37.690280913999999</v>
      </c>
      <c r="K1197">
        <v>1200</v>
      </c>
      <c r="L1197">
        <v>0</v>
      </c>
      <c r="M1197">
        <v>0</v>
      </c>
      <c r="N1197">
        <v>1200</v>
      </c>
    </row>
    <row r="1198" spans="1:14" x14ac:dyDescent="0.25">
      <c r="A1198">
        <v>1229.0446890000001</v>
      </c>
      <c r="B1198" s="1">
        <f>DATE(2013,9,11) + TIME(1,4,21)</f>
        <v>41528.044687499998</v>
      </c>
      <c r="C1198">
        <v>1376.8300781</v>
      </c>
      <c r="D1198">
        <v>1362.5179443</v>
      </c>
      <c r="E1198">
        <v>1320.4335937999999</v>
      </c>
      <c r="F1198">
        <v>1316.3831786999999</v>
      </c>
      <c r="G1198">
        <v>80</v>
      </c>
      <c r="H1198">
        <v>79.803077697999996</v>
      </c>
      <c r="I1198">
        <v>50</v>
      </c>
      <c r="J1198">
        <v>37.490074157999999</v>
      </c>
      <c r="K1198">
        <v>1200</v>
      </c>
      <c r="L1198">
        <v>0</v>
      </c>
      <c r="M1198">
        <v>0</v>
      </c>
      <c r="N1198">
        <v>1200</v>
      </c>
    </row>
    <row r="1199" spans="1:14" x14ac:dyDescent="0.25">
      <c r="A1199">
        <v>1231.626045</v>
      </c>
      <c r="B1199" s="1">
        <f>DATE(2013,9,13) + TIME(15,1,30)</f>
        <v>41530.62604166667</v>
      </c>
      <c r="C1199">
        <v>1376.7696533000001</v>
      </c>
      <c r="D1199">
        <v>1362.4682617000001</v>
      </c>
      <c r="E1199">
        <v>1320.3781738</v>
      </c>
      <c r="F1199">
        <v>1316.3037108999999</v>
      </c>
      <c r="G1199">
        <v>80</v>
      </c>
      <c r="H1199">
        <v>79.803466796999999</v>
      </c>
      <c r="I1199">
        <v>50</v>
      </c>
      <c r="J1199">
        <v>37.288700104</v>
      </c>
      <c r="K1199">
        <v>1200</v>
      </c>
      <c r="L1199">
        <v>0</v>
      </c>
      <c r="M1199">
        <v>0</v>
      </c>
      <c r="N1199">
        <v>1200</v>
      </c>
    </row>
    <row r="1200" spans="1:14" x14ac:dyDescent="0.25">
      <c r="A1200">
        <v>1234.2512260000001</v>
      </c>
      <c r="B1200" s="1">
        <f>DATE(2013,9,16) + TIME(6,1,45)</f>
        <v>41533.251215277778</v>
      </c>
      <c r="C1200">
        <v>1376.7092285000001</v>
      </c>
      <c r="D1200">
        <v>1362.418457</v>
      </c>
      <c r="E1200">
        <v>1320.3226318</v>
      </c>
      <c r="F1200">
        <v>1316.2237548999999</v>
      </c>
      <c r="G1200">
        <v>80</v>
      </c>
      <c r="H1200">
        <v>79.803848267000006</v>
      </c>
      <c r="I1200">
        <v>50</v>
      </c>
      <c r="J1200">
        <v>37.086025237999998</v>
      </c>
      <c r="K1200">
        <v>1200</v>
      </c>
      <c r="L1200">
        <v>0</v>
      </c>
      <c r="M1200">
        <v>0</v>
      </c>
      <c r="N1200">
        <v>1200</v>
      </c>
    </row>
    <row r="1201" spans="1:14" x14ac:dyDescent="0.25">
      <c r="A1201">
        <v>1236.9289040000001</v>
      </c>
      <c r="B1201" s="1">
        <f>DATE(2013,9,18) + TIME(22,17,37)</f>
        <v>41535.928900462961</v>
      </c>
      <c r="C1201">
        <v>1376.6486815999999</v>
      </c>
      <c r="D1201">
        <v>1362.3684082</v>
      </c>
      <c r="E1201">
        <v>1320.2667236</v>
      </c>
      <c r="F1201">
        <v>1316.1431885</v>
      </c>
      <c r="G1201">
        <v>80</v>
      </c>
      <c r="H1201">
        <v>79.804244995000005</v>
      </c>
      <c r="I1201">
        <v>50</v>
      </c>
      <c r="J1201">
        <v>36.881755828999999</v>
      </c>
      <c r="K1201">
        <v>1200</v>
      </c>
      <c r="L1201">
        <v>0</v>
      </c>
      <c r="M1201">
        <v>0</v>
      </c>
      <c r="N1201">
        <v>1200</v>
      </c>
    </row>
    <row r="1202" spans="1:14" x14ac:dyDescent="0.25">
      <c r="A1202">
        <v>1239.6684700000001</v>
      </c>
      <c r="B1202" s="1">
        <f>DATE(2013,9,21) + TIME(16,2,35)</f>
        <v>41538.66846064815</v>
      </c>
      <c r="C1202">
        <v>1376.5876464999999</v>
      </c>
      <c r="D1202">
        <v>1362.3179932</v>
      </c>
      <c r="E1202">
        <v>1320.2104492000001</v>
      </c>
      <c r="F1202">
        <v>1316.0617675999999</v>
      </c>
      <c r="G1202">
        <v>80</v>
      </c>
      <c r="H1202">
        <v>79.804641724000007</v>
      </c>
      <c r="I1202">
        <v>50</v>
      </c>
      <c r="J1202">
        <v>36.675510406000001</v>
      </c>
      <c r="K1202">
        <v>1200</v>
      </c>
      <c r="L1202">
        <v>0</v>
      </c>
      <c r="M1202">
        <v>0</v>
      </c>
      <c r="N1202">
        <v>1200</v>
      </c>
    </row>
    <row r="1203" spans="1:14" x14ac:dyDescent="0.25">
      <c r="A1203">
        <v>1242.4392519999999</v>
      </c>
      <c r="B1203" s="1">
        <f>DATE(2013,9,24) + TIME(10,32,31)</f>
        <v>41541.439247685186</v>
      </c>
      <c r="C1203">
        <v>1376.526001</v>
      </c>
      <c r="D1203">
        <v>1362.2668457</v>
      </c>
      <c r="E1203">
        <v>1320.1535644999999</v>
      </c>
      <c r="F1203">
        <v>1315.9794922000001</v>
      </c>
      <c r="G1203">
        <v>80</v>
      </c>
      <c r="H1203">
        <v>79.805038452000005</v>
      </c>
      <c r="I1203">
        <v>50</v>
      </c>
      <c r="J1203">
        <v>36.468353270999998</v>
      </c>
      <c r="K1203">
        <v>1200</v>
      </c>
      <c r="L1203">
        <v>0</v>
      </c>
      <c r="M1203">
        <v>0</v>
      </c>
      <c r="N1203">
        <v>1200</v>
      </c>
    </row>
    <row r="1204" spans="1:14" x14ac:dyDescent="0.25">
      <c r="A1204">
        <v>1245.2481399999999</v>
      </c>
      <c r="B1204" s="1">
        <f>DATE(2013,9,27) + TIME(5,57,19)</f>
        <v>41544.248136574075</v>
      </c>
      <c r="C1204">
        <v>1376.4645995999999</v>
      </c>
      <c r="D1204">
        <v>1362.2158202999999</v>
      </c>
      <c r="E1204">
        <v>1320.0968018000001</v>
      </c>
      <c r="F1204">
        <v>1315.8968506000001</v>
      </c>
      <c r="G1204">
        <v>80</v>
      </c>
      <c r="H1204">
        <v>79.805435181000007</v>
      </c>
      <c r="I1204">
        <v>50</v>
      </c>
      <c r="J1204">
        <v>36.260677338000001</v>
      </c>
      <c r="K1204">
        <v>1200</v>
      </c>
      <c r="L1204">
        <v>0</v>
      </c>
      <c r="M1204">
        <v>0</v>
      </c>
      <c r="N1204">
        <v>1200</v>
      </c>
    </row>
    <row r="1205" spans="1:14" x14ac:dyDescent="0.25">
      <c r="A1205">
        <v>1248.0840330000001</v>
      </c>
      <c r="B1205" s="1">
        <f>DATE(2013,9,30) + TIME(2,1,0)</f>
        <v>41547.084027777775</v>
      </c>
      <c r="C1205">
        <v>1376.4029541</v>
      </c>
      <c r="D1205">
        <v>1362.1645507999999</v>
      </c>
      <c r="E1205">
        <v>1320.0401611</v>
      </c>
      <c r="F1205">
        <v>1315.8140868999999</v>
      </c>
      <c r="G1205">
        <v>80</v>
      </c>
      <c r="H1205">
        <v>79.805839539000004</v>
      </c>
      <c r="I1205">
        <v>50</v>
      </c>
      <c r="J1205">
        <v>36.053176880000002</v>
      </c>
      <c r="K1205">
        <v>1200</v>
      </c>
      <c r="L1205">
        <v>0</v>
      </c>
      <c r="M1205">
        <v>0</v>
      </c>
      <c r="N1205">
        <v>1200</v>
      </c>
    </row>
    <row r="1206" spans="1:14" x14ac:dyDescent="0.25">
      <c r="A1206">
        <v>1249</v>
      </c>
      <c r="B1206" s="1">
        <f>DATE(2013,10,1) + TIME(0,0,0)</f>
        <v>41548</v>
      </c>
      <c r="C1206">
        <v>1376.3413086</v>
      </c>
      <c r="D1206">
        <v>1362.1130370999999</v>
      </c>
      <c r="E1206">
        <v>1319.9844971</v>
      </c>
      <c r="F1206">
        <v>1315.7413329999999</v>
      </c>
      <c r="G1206">
        <v>80</v>
      </c>
      <c r="H1206">
        <v>79.805938721000004</v>
      </c>
      <c r="I1206">
        <v>50</v>
      </c>
      <c r="J1206">
        <v>35.951198578000003</v>
      </c>
      <c r="K1206">
        <v>1200</v>
      </c>
      <c r="L1206">
        <v>0</v>
      </c>
      <c r="M1206">
        <v>0</v>
      </c>
      <c r="N1206">
        <v>1200</v>
      </c>
    </row>
    <row r="1207" spans="1:14" x14ac:dyDescent="0.25">
      <c r="A1207">
        <v>1251.8577009999999</v>
      </c>
      <c r="B1207" s="1">
        <f>DATE(2013,10,3) + TIME(20,35,5)</f>
        <v>41550.85769675926</v>
      </c>
      <c r="C1207">
        <v>1376.3217772999999</v>
      </c>
      <c r="D1207">
        <v>1362.0966797000001</v>
      </c>
      <c r="E1207">
        <v>1319.9630127</v>
      </c>
      <c r="F1207">
        <v>1315.6998291</v>
      </c>
      <c r="G1207">
        <v>80</v>
      </c>
      <c r="H1207">
        <v>79.806358337000006</v>
      </c>
      <c r="I1207">
        <v>50</v>
      </c>
      <c r="J1207">
        <v>35.763595580999997</v>
      </c>
      <c r="K1207">
        <v>1200</v>
      </c>
      <c r="L1207">
        <v>0</v>
      </c>
      <c r="M1207">
        <v>0</v>
      </c>
      <c r="N1207">
        <v>1200</v>
      </c>
    </row>
    <row r="1208" spans="1:14" x14ac:dyDescent="0.25">
      <c r="A1208">
        <v>1254.7577249999999</v>
      </c>
      <c r="B1208" s="1">
        <f>DATE(2013,10,6) + TIME(18,11,7)</f>
        <v>41553.757719907408</v>
      </c>
      <c r="C1208">
        <v>1376.2612305</v>
      </c>
      <c r="D1208">
        <v>1362.0460204999999</v>
      </c>
      <c r="E1208">
        <v>1319.9089355000001</v>
      </c>
      <c r="F1208">
        <v>1315.6207274999999</v>
      </c>
      <c r="G1208">
        <v>80</v>
      </c>
      <c r="H1208">
        <v>79.806762695000003</v>
      </c>
      <c r="I1208">
        <v>50</v>
      </c>
      <c r="J1208">
        <v>35.567184447999999</v>
      </c>
      <c r="K1208">
        <v>1200</v>
      </c>
      <c r="L1208">
        <v>0</v>
      </c>
      <c r="M1208">
        <v>0</v>
      </c>
      <c r="N1208">
        <v>1200</v>
      </c>
    </row>
    <row r="1209" spans="1:14" x14ac:dyDescent="0.25">
      <c r="A1209">
        <v>1257.6993809999999</v>
      </c>
      <c r="B1209" s="1">
        <f>DATE(2013,10,9) + TIME(16,47,6)</f>
        <v>41556.699374999997</v>
      </c>
      <c r="C1209">
        <v>1376.2003173999999</v>
      </c>
      <c r="D1209">
        <v>1361.9948730000001</v>
      </c>
      <c r="E1209">
        <v>1319.854126</v>
      </c>
      <c r="F1209">
        <v>1315.5399170000001</v>
      </c>
      <c r="G1209">
        <v>80</v>
      </c>
      <c r="H1209">
        <v>79.807167053000001</v>
      </c>
      <c r="I1209">
        <v>50</v>
      </c>
      <c r="J1209">
        <v>35.366767883000001</v>
      </c>
      <c r="K1209">
        <v>1200</v>
      </c>
      <c r="L1209">
        <v>0</v>
      </c>
      <c r="M1209">
        <v>0</v>
      </c>
      <c r="N1209">
        <v>1200</v>
      </c>
    </row>
    <row r="1210" spans="1:14" x14ac:dyDescent="0.25">
      <c r="A1210">
        <v>1260.692227</v>
      </c>
      <c r="B1210" s="1">
        <f>DATE(2013,10,12) + TIME(16,36,48)</f>
        <v>41559.69222222222</v>
      </c>
      <c r="C1210">
        <v>1376.1391602000001</v>
      </c>
      <c r="D1210">
        <v>1361.9436035000001</v>
      </c>
      <c r="E1210">
        <v>1319.7991943</v>
      </c>
      <c r="F1210">
        <v>1315.4586182</v>
      </c>
      <c r="G1210">
        <v>80</v>
      </c>
      <c r="H1210">
        <v>79.807579040999997</v>
      </c>
      <c r="I1210">
        <v>50</v>
      </c>
      <c r="J1210">
        <v>35.164524077999999</v>
      </c>
      <c r="K1210">
        <v>1200</v>
      </c>
      <c r="L1210">
        <v>0</v>
      </c>
      <c r="M1210">
        <v>0</v>
      </c>
      <c r="N1210">
        <v>1200</v>
      </c>
    </row>
    <row r="1211" spans="1:14" x14ac:dyDescent="0.25">
      <c r="A1211">
        <v>1263.746222</v>
      </c>
      <c r="B1211" s="1">
        <f>DATE(2013,10,15) + TIME(17,54,33)</f>
        <v>41562.746215277781</v>
      </c>
      <c r="C1211">
        <v>1376.0777588000001</v>
      </c>
      <c r="D1211">
        <v>1361.8918457</v>
      </c>
      <c r="E1211">
        <v>1319.7443848</v>
      </c>
      <c r="F1211">
        <v>1315.3768310999999</v>
      </c>
      <c r="G1211">
        <v>80</v>
      </c>
      <c r="H1211">
        <v>79.807991028000004</v>
      </c>
      <c r="I1211">
        <v>50</v>
      </c>
      <c r="J1211">
        <v>34.961322783999996</v>
      </c>
      <c r="K1211">
        <v>1200</v>
      </c>
      <c r="L1211">
        <v>0</v>
      </c>
      <c r="M1211">
        <v>0</v>
      </c>
      <c r="N1211">
        <v>1200</v>
      </c>
    </row>
    <row r="1212" spans="1:14" x14ac:dyDescent="0.25">
      <c r="A1212">
        <v>1266.8369749999999</v>
      </c>
      <c r="B1212" s="1">
        <f>DATE(2013,10,18) + TIME(20,5,14)</f>
        <v>41565.836967592593</v>
      </c>
      <c r="C1212">
        <v>1376.0158690999999</v>
      </c>
      <c r="D1212">
        <v>1361.8394774999999</v>
      </c>
      <c r="E1212">
        <v>1319.6894531</v>
      </c>
      <c r="F1212">
        <v>1315.2946777</v>
      </c>
      <c r="G1212">
        <v>80</v>
      </c>
      <c r="H1212">
        <v>79.808403014999996</v>
      </c>
      <c r="I1212">
        <v>50</v>
      </c>
      <c r="J1212">
        <v>34.758472443000002</v>
      </c>
      <c r="K1212">
        <v>1200</v>
      </c>
      <c r="L1212">
        <v>0</v>
      </c>
      <c r="M1212">
        <v>0</v>
      </c>
      <c r="N1212">
        <v>1200</v>
      </c>
    </row>
    <row r="1213" spans="1:14" x14ac:dyDescent="0.25">
      <c r="A1213">
        <v>1269.9652860000001</v>
      </c>
      <c r="B1213" s="1">
        <f>DATE(2013,10,21) + TIME(23,10,0)</f>
        <v>41568.965277777781</v>
      </c>
      <c r="C1213">
        <v>1375.9538574000001</v>
      </c>
      <c r="D1213">
        <v>1361.7871094</v>
      </c>
      <c r="E1213">
        <v>1319.6350098</v>
      </c>
      <c r="F1213">
        <v>1315.2127685999999</v>
      </c>
      <c r="G1213">
        <v>80</v>
      </c>
      <c r="H1213">
        <v>79.808815002000003</v>
      </c>
      <c r="I1213">
        <v>50</v>
      </c>
      <c r="J1213">
        <v>34.556831359999997</v>
      </c>
      <c r="K1213">
        <v>1200</v>
      </c>
      <c r="L1213">
        <v>0</v>
      </c>
      <c r="M1213">
        <v>0</v>
      </c>
      <c r="N1213">
        <v>1200</v>
      </c>
    </row>
    <row r="1214" spans="1:14" x14ac:dyDescent="0.25">
      <c r="A1214">
        <v>1273.141102</v>
      </c>
      <c r="B1214" s="1">
        <f>DATE(2013,10,25) + TIME(3,23,11)</f>
        <v>41572.141099537039</v>
      </c>
      <c r="C1214">
        <v>1375.8918457</v>
      </c>
      <c r="D1214">
        <v>1361.7344971</v>
      </c>
      <c r="E1214">
        <v>1319.5810547000001</v>
      </c>
      <c r="F1214">
        <v>1315.1313477000001</v>
      </c>
      <c r="G1214">
        <v>80</v>
      </c>
      <c r="H1214">
        <v>79.809234618999994</v>
      </c>
      <c r="I1214">
        <v>50</v>
      </c>
      <c r="J1214">
        <v>34.356681823999999</v>
      </c>
      <c r="K1214">
        <v>1200</v>
      </c>
      <c r="L1214">
        <v>0</v>
      </c>
      <c r="M1214">
        <v>0</v>
      </c>
      <c r="N1214">
        <v>1200</v>
      </c>
    </row>
    <row r="1215" spans="1:14" x14ac:dyDescent="0.25">
      <c r="A1215">
        <v>1276.3747739999999</v>
      </c>
      <c r="B1215" s="1">
        <f>DATE(2013,10,28) + TIME(8,59,40)</f>
        <v>41575.374768518515</v>
      </c>
      <c r="C1215">
        <v>1375.8295897999999</v>
      </c>
      <c r="D1215">
        <v>1361.6815185999999</v>
      </c>
      <c r="E1215">
        <v>1319.5277100000001</v>
      </c>
      <c r="F1215">
        <v>1315.050293</v>
      </c>
      <c r="G1215">
        <v>80</v>
      </c>
      <c r="H1215">
        <v>79.809654236</v>
      </c>
      <c r="I1215">
        <v>50</v>
      </c>
      <c r="J1215">
        <v>34.157989502</v>
      </c>
      <c r="K1215">
        <v>1200</v>
      </c>
      <c r="L1215">
        <v>0</v>
      </c>
      <c r="M1215">
        <v>0</v>
      </c>
      <c r="N1215">
        <v>1200</v>
      </c>
    </row>
    <row r="1216" spans="1:14" x14ac:dyDescent="0.25">
      <c r="A1216">
        <v>1279.6543449999999</v>
      </c>
      <c r="B1216" s="1">
        <f>DATE(2013,10,31) + TIME(15,42,15)</f>
        <v>41578.654340277775</v>
      </c>
      <c r="C1216">
        <v>1375.7668457</v>
      </c>
      <c r="D1216">
        <v>1361.6280518000001</v>
      </c>
      <c r="E1216">
        <v>1319.4748535000001</v>
      </c>
      <c r="F1216">
        <v>1314.9694824000001</v>
      </c>
      <c r="G1216">
        <v>80</v>
      </c>
      <c r="H1216">
        <v>79.810073853000006</v>
      </c>
      <c r="I1216">
        <v>50</v>
      </c>
      <c r="J1216">
        <v>33.961231232000003</v>
      </c>
      <c r="K1216">
        <v>1200</v>
      </c>
      <c r="L1216">
        <v>0</v>
      </c>
      <c r="M1216">
        <v>0</v>
      </c>
      <c r="N1216">
        <v>1200</v>
      </c>
    </row>
    <row r="1217" spans="1:14" x14ac:dyDescent="0.25">
      <c r="A1217">
        <v>1280</v>
      </c>
      <c r="B1217" s="1">
        <f>DATE(2013,11,1) + TIME(0,0,0)</f>
        <v>41579</v>
      </c>
      <c r="C1217">
        <v>1375.7055664</v>
      </c>
      <c r="D1217">
        <v>1361.5759277</v>
      </c>
      <c r="E1217">
        <v>1319.425293</v>
      </c>
      <c r="F1217">
        <v>1314.9068603999999</v>
      </c>
      <c r="G1217">
        <v>80</v>
      </c>
      <c r="H1217">
        <v>79.810096740999995</v>
      </c>
      <c r="I1217">
        <v>50</v>
      </c>
      <c r="J1217">
        <v>33.920776367000002</v>
      </c>
      <c r="K1217">
        <v>1200</v>
      </c>
      <c r="L1217">
        <v>0</v>
      </c>
      <c r="M1217">
        <v>0</v>
      </c>
      <c r="N1217">
        <v>1200</v>
      </c>
    </row>
    <row r="1218" spans="1:14" x14ac:dyDescent="0.25">
      <c r="A1218">
        <v>1280.0000010000001</v>
      </c>
      <c r="B1218" s="1">
        <f>DATE(2013,11,1) + TIME(0,0,0)</f>
        <v>41579</v>
      </c>
      <c r="C1218">
        <v>1361.2869873</v>
      </c>
      <c r="D1218">
        <v>1348.6872559000001</v>
      </c>
      <c r="E1218">
        <v>1324.2391356999999</v>
      </c>
      <c r="F1218">
        <v>1319.7114257999999</v>
      </c>
      <c r="G1218">
        <v>80</v>
      </c>
      <c r="H1218">
        <v>79.810058593999997</v>
      </c>
      <c r="I1218">
        <v>50</v>
      </c>
      <c r="J1218">
        <v>33.920818328999999</v>
      </c>
      <c r="K1218">
        <v>0</v>
      </c>
      <c r="L1218">
        <v>1200</v>
      </c>
      <c r="M1218">
        <v>1200</v>
      </c>
      <c r="N1218">
        <v>0</v>
      </c>
    </row>
    <row r="1219" spans="1:14" x14ac:dyDescent="0.25">
      <c r="A1219">
        <v>1280.000004</v>
      </c>
      <c r="B1219" s="1">
        <f>DATE(2013,11,1) + TIME(0,0,0)</f>
        <v>41579</v>
      </c>
      <c r="C1219">
        <v>1360.4860839999999</v>
      </c>
      <c r="D1219">
        <v>1347.8851318</v>
      </c>
      <c r="E1219">
        <v>1325.0242920000001</v>
      </c>
      <c r="F1219">
        <v>1320.5051269999999</v>
      </c>
      <c r="G1219">
        <v>80</v>
      </c>
      <c r="H1219">
        <v>79.809944153000004</v>
      </c>
      <c r="I1219">
        <v>50</v>
      </c>
      <c r="J1219">
        <v>33.920925140000001</v>
      </c>
      <c r="K1219">
        <v>0</v>
      </c>
      <c r="L1219">
        <v>1200</v>
      </c>
      <c r="M1219">
        <v>1200</v>
      </c>
      <c r="N1219">
        <v>0</v>
      </c>
    </row>
    <row r="1220" spans="1:14" x14ac:dyDescent="0.25">
      <c r="A1220">
        <v>1280.0000130000001</v>
      </c>
      <c r="B1220" s="1">
        <f>DATE(2013,11,1) + TIME(0,0,1)</f>
        <v>41579.000011574077</v>
      </c>
      <c r="C1220">
        <v>1358.5200195</v>
      </c>
      <c r="D1220">
        <v>1345.9169922000001</v>
      </c>
      <c r="E1220">
        <v>1326.9439697</v>
      </c>
      <c r="F1220">
        <v>1322.4390868999999</v>
      </c>
      <c r="G1220">
        <v>80</v>
      </c>
      <c r="H1220">
        <v>79.809661864999995</v>
      </c>
      <c r="I1220">
        <v>50</v>
      </c>
      <c r="J1220">
        <v>33.921203613000003</v>
      </c>
      <c r="K1220">
        <v>0</v>
      </c>
      <c r="L1220">
        <v>1200</v>
      </c>
      <c r="M1220">
        <v>1200</v>
      </c>
      <c r="N1220">
        <v>0</v>
      </c>
    </row>
    <row r="1221" spans="1:14" x14ac:dyDescent="0.25">
      <c r="A1221">
        <v>1280.0000399999999</v>
      </c>
      <c r="B1221" s="1">
        <f>DATE(2013,11,1) + TIME(0,0,3)</f>
        <v>41579.000034722223</v>
      </c>
      <c r="C1221">
        <v>1354.6680908000001</v>
      </c>
      <c r="D1221">
        <v>1342.0637207</v>
      </c>
      <c r="E1221">
        <v>1330.5540771000001</v>
      </c>
      <c r="F1221">
        <v>1326.0556641000001</v>
      </c>
      <c r="G1221">
        <v>80</v>
      </c>
      <c r="H1221">
        <v>79.809112549000005</v>
      </c>
      <c r="I1221">
        <v>50</v>
      </c>
      <c r="J1221">
        <v>33.921791077000002</v>
      </c>
      <c r="K1221">
        <v>0</v>
      </c>
      <c r="L1221">
        <v>1200</v>
      </c>
      <c r="M1221">
        <v>1200</v>
      </c>
      <c r="N1221">
        <v>0</v>
      </c>
    </row>
    <row r="1222" spans="1:14" x14ac:dyDescent="0.25">
      <c r="A1222">
        <v>1280.000121</v>
      </c>
      <c r="B1222" s="1">
        <f>DATE(2013,11,1) + TIME(0,0,10)</f>
        <v>41579.000115740739</v>
      </c>
      <c r="C1222">
        <v>1348.9851074000001</v>
      </c>
      <c r="D1222">
        <v>1336.3829346</v>
      </c>
      <c r="E1222">
        <v>1335.2000731999999</v>
      </c>
      <c r="F1222">
        <v>1330.7050781</v>
      </c>
      <c r="G1222">
        <v>80</v>
      </c>
      <c r="H1222">
        <v>79.808303832999997</v>
      </c>
      <c r="I1222">
        <v>50</v>
      </c>
      <c r="J1222">
        <v>33.922828674000002</v>
      </c>
      <c r="K1222">
        <v>0</v>
      </c>
      <c r="L1222">
        <v>1200</v>
      </c>
      <c r="M1222">
        <v>1200</v>
      </c>
      <c r="N1222">
        <v>0</v>
      </c>
    </row>
    <row r="1223" spans="1:14" x14ac:dyDescent="0.25">
      <c r="A1223">
        <v>1280.000364</v>
      </c>
      <c r="B1223" s="1">
        <f>DATE(2013,11,1) + TIME(0,0,31)</f>
        <v>41579.000358796293</v>
      </c>
      <c r="C1223">
        <v>1342.2750243999999</v>
      </c>
      <c r="D1223">
        <v>1329.6876221</v>
      </c>
      <c r="E1223">
        <v>1339.6737060999999</v>
      </c>
      <c r="F1223">
        <v>1335.1606445</v>
      </c>
      <c r="G1223">
        <v>80</v>
      </c>
      <c r="H1223">
        <v>79.807304381999998</v>
      </c>
      <c r="I1223">
        <v>50</v>
      </c>
      <c r="J1223">
        <v>33.924831390000001</v>
      </c>
      <c r="K1223">
        <v>0</v>
      </c>
      <c r="L1223">
        <v>1200</v>
      </c>
      <c r="M1223">
        <v>1200</v>
      </c>
      <c r="N1223">
        <v>0</v>
      </c>
    </row>
    <row r="1224" spans="1:14" x14ac:dyDescent="0.25">
      <c r="A1224">
        <v>1280.0010930000001</v>
      </c>
      <c r="B1224" s="1">
        <f>DATE(2013,11,1) + TIME(0,1,34)</f>
        <v>41579.001087962963</v>
      </c>
      <c r="C1224">
        <v>1335.1425781</v>
      </c>
      <c r="D1224">
        <v>1322.5516356999999</v>
      </c>
      <c r="E1224">
        <v>1343.7979736</v>
      </c>
      <c r="F1224">
        <v>1339.2764893000001</v>
      </c>
      <c r="G1224">
        <v>80</v>
      </c>
      <c r="H1224">
        <v>79.806137085000003</v>
      </c>
      <c r="I1224">
        <v>50</v>
      </c>
      <c r="J1224">
        <v>33.929771422999998</v>
      </c>
      <c r="K1224">
        <v>0</v>
      </c>
      <c r="L1224">
        <v>1200</v>
      </c>
      <c r="M1224">
        <v>1200</v>
      </c>
      <c r="N1224">
        <v>0</v>
      </c>
    </row>
    <row r="1225" spans="1:14" x14ac:dyDescent="0.25">
      <c r="A1225">
        <v>1280.0032799999999</v>
      </c>
      <c r="B1225" s="1">
        <f>DATE(2013,11,1) + TIME(0,4,43)</f>
        <v>41579.003275462965</v>
      </c>
      <c r="C1225">
        <v>1327.7077637</v>
      </c>
      <c r="D1225">
        <v>1315.0223389</v>
      </c>
      <c r="E1225">
        <v>1347.6911620999999</v>
      </c>
      <c r="F1225">
        <v>1343.1469727000001</v>
      </c>
      <c r="G1225">
        <v>80</v>
      </c>
      <c r="H1225">
        <v>79.804618834999999</v>
      </c>
      <c r="I1225">
        <v>50</v>
      </c>
      <c r="J1225">
        <v>33.943660735999998</v>
      </c>
      <c r="K1225">
        <v>0</v>
      </c>
      <c r="L1225">
        <v>1200</v>
      </c>
      <c r="M1225">
        <v>1200</v>
      </c>
      <c r="N1225">
        <v>0</v>
      </c>
    </row>
    <row r="1226" spans="1:14" x14ac:dyDescent="0.25">
      <c r="A1226">
        <v>1280.0098410000001</v>
      </c>
      <c r="B1226" s="1">
        <f>DATE(2013,11,1) + TIME(0,14,10)</f>
        <v>41579.009837962964</v>
      </c>
      <c r="C1226">
        <v>1320.2949219</v>
      </c>
      <c r="D1226">
        <v>1307.4532471</v>
      </c>
      <c r="E1226">
        <v>1350.2299805</v>
      </c>
      <c r="F1226">
        <v>1345.6472168</v>
      </c>
      <c r="G1226">
        <v>80</v>
      </c>
      <c r="H1226">
        <v>79.802146911999998</v>
      </c>
      <c r="I1226">
        <v>50</v>
      </c>
      <c r="J1226">
        <v>33.984546661000003</v>
      </c>
      <c r="K1226">
        <v>0</v>
      </c>
      <c r="L1226">
        <v>1200</v>
      </c>
      <c r="M1226">
        <v>1200</v>
      </c>
      <c r="N1226">
        <v>0</v>
      </c>
    </row>
    <row r="1227" spans="1:14" x14ac:dyDescent="0.25">
      <c r="A1227">
        <v>1280.029524</v>
      </c>
      <c r="B1227" s="1">
        <f>DATE(2013,11,1) + TIME(0,42,30)</f>
        <v>41579.029513888891</v>
      </c>
      <c r="C1227">
        <v>1314.1295166</v>
      </c>
      <c r="D1227">
        <v>1301.1960449000001</v>
      </c>
      <c r="E1227">
        <v>1350.1439209</v>
      </c>
      <c r="F1227">
        <v>1345.5439452999999</v>
      </c>
      <c r="G1227">
        <v>80</v>
      </c>
      <c r="H1227">
        <v>79.797012328999998</v>
      </c>
      <c r="I1227">
        <v>50</v>
      </c>
      <c r="J1227">
        <v>34.106132506999998</v>
      </c>
      <c r="K1227">
        <v>0</v>
      </c>
      <c r="L1227">
        <v>1200</v>
      </c>
      <c r="M1227">
        <v>1200</v>
      </c>
      <c r="N1227">
        <v>0</v>
      </c>
    </row>
    <row r="1228" spans="1:14" x14ac:dyDescent="0.25">
      <c r="A1228">
        <v>1280.088573</v>
      </c>
      <c r="B1228" s="1">
        <f>DATE(2013,11,1) + TIME(2,7,32)</f>
        <v>41579.088564814818</v>
      </c>
      <c r="C1228">
        <v>1310.0280762</v>
      </c>
      <c r="D1228">
        <v>1297.0645752</v>
      </c>
      <c r="E1228">
        <v>1348.3446045000001</v>
      </c>
      <c r="F1228">
        <v>1343.7667236</v>
      </c>
      <c r="G1228">
        <v>80</v>
      </c>
      <c r="H1228">
        <v>79.783805846999996</v>
      </c>
      <c r="I1228">
        <v>50</v>
      </c>
      <c r="J1228">
        <v>34.463294982999997</v>
      </c>
      <c r="K1228">
        <v>0</v>
      </c>
      <c r="L1228">
        <v>1200</v>
      </c>
      <c r="M1228">
        <v>1200</v>
      </c>
      <c r="N1228">
        <v>0</v>
      </c>
    </row>
    <row r="1229" spans="1:14" x14ac:dyDescent="0.25">
      <c r="A1229">
        <v>1280.2294879999999</v>
      </c>
      <c r="B1229" s="1">
        <f>DATE(2013,11,1) + TIME(5,30,27)</f>
        <v>41579.229479166665</v>
      </c>
      <c r="C1229">
        <v>1307.8361815999999</v>
      </c>
      <c r="D1229">
        <v>1294.8643798999999</v>
      </c>
      <c r="E1229">
        <v>1346.6290283000001</v>
      </c>
      <c r="F1229">
        <v>1342.1138916</v>
      </c>
      <c r="G1229">
        <v>80</v>
      </c>
      <c r="H1229">
        <v>79.754379271999994</v>
      </c>
      <c r="I1229">
        <v>50</v>
      </c>
      <c r="J1229">
        <v>35.272975922000001</v>
      </c>
      <c r="K1229">
        <v>0</v>
      </c>
      <c r="L1229">
        <v>1200</v>
      </c>
      <c r="M1229">
        <v>1200</v>
      </c>
      <c r="N1229">
        <v>0</v>
      </c>
    </row>
    <row r="1230" spans="1:14" x14ac:dyDescent="0.25">
      <c r="A1230">
        <v>1280.3766129999999</v>
      </c>
      <c r="B1230" s="1">
        <f>DATE(2013,11,1) + TIME(9,2,19)</f>
        <v>41579.376608796294</v>
      </c>
      <c r="C1230">
        <v>1307.0637207</v>
      </c>
      <c r="D1230">
        <v>1294.0891113</v>
      </c>
      <c r="E1230">
        <v>1345.8929443</v>
      </c>
      <c r="F1230">
        <v>1341.4294434000001</v>
      </c>
      <c r="G1230">
        <v>80</v>
      </c>
      <c r="H1230">
        <v>79.724174500000004</v>
      </c>
      <c r="I1230">
        <v>50</v>
      </c>
      <c r="J1230">
        <v>36.075630187999998</v>
      </c>
      <c r="K1230">
        <v>0</v>
      </c>
      <c r="L1230">
        <v>1200</v>
      </c>
      <c r="M1230">
        <v>1200</v>
      </c>
      <c r="N1230">
        <v>0</v>
      </c>
    </row>
    <row r="1231" spans="1:14" x14ac:dyDescent="0.25">
      <c r="A1231">
        <v>1280.5308199999999</v>
      </c>
      <c r="B1231" s="1">
        <f>DATE(2013,11,1) + TIME(12,44,22)</f>
        <v>41579.530810185184</v>
      </c>
      <c r="C1231">
        <v>1306.7509766000001</v>
      </c>
      <c r="D1231">
        <v>1293.7744141000001</v>
      </c>
      <c r="E1231">
        <v>1345.536499</v>
      </c>
      <c r="F1231">
        <v>1341.1225586</v>
      </c>
      <c r="G1231">
        <v>80</v>
      </c>
      <c r="H1231">
        <v>79.692939757999994</v>
      </c>
      <c r="I1231">
        <v>50</v>
      </c>
      <c r="J1231">
        <v>36.872009276999997</v>
      </c>
      <c r="K1231">
        <v>0</v>
      </c>
      <c r="L1231">
        <v>1200</v>
      </c>
      <c r="M1231">
        <v>1200</v>
      </c>
      <c r="N1231">
        <v>0</v>
      </c>
    </row>
    <row r="1232" spans="1:14" x14ac:dyDescent="0.25">
      <c r="A1232">
        <v>1280.69282</v>
      </c>
      <c r="B1232" s="1">
        <f>DATE(2013,11,1) + TIME(16,37,39)</f>
        <v>41579.692812499998</v>
      </c>
      <c r="C1232">
        <v>1306.6204834</v>
      </c>
      <c r="D1232">
        <v>1293.6420897999999</v>
      </c>
      <c r="E1232">
        <v>1345.3426514</v>
      </c>
      <c r="F1232">
        <v>1340.9759521000001</v>
      </c>
      <c r="G1232">
        <v>80</v>
      </c>
      <c r="H1232">
        <v>79.660514832000004</v>
      </c>
      <c r="I1232">
        <v>50</v>
      </c>
      <c r="J1232">
        <v>37.661418914999999</v>
      </c>
      <c r="K1232">
        <v>0</v>
      </c>
      <c r="L1232">
        <v>1200</v>
      </c>
      <c r="M1232">
        <v>1200</v>
      </c>
      <c r="N1232">
        <v>0</v>
      </c>
    </row>
    <row r="1233" spans="1:14" x14ac:dyDescent="0.25">
      <c r="A1233">
        <v>1280.863486</v>
      </c>
      <c r="B1233" s="1">
        <f>DATE(2013,11,1) + TIME(20,43,25)</f>
        <v>41579.863483796296</v>
      </c>
      <c r="C1233">
        <v>1306.5655518000001</v>
      </c>
      <c r="D1233">
        <v>1293.5852050999999</v>
      </c>
      <c r="E1233">
        <v>1345.2196045000001</v>
      </c>
      <c r="F1233">
        <v>1340.8981934000001</v>
      </c>
      <c r="G1233">
        <v>80</v>
      </c>
      <c r="H1233">
        <v>79.626762389999996</v>
      </c>
      <c r="I1233">
        <v>50</v>
      </c>
      <c r="J1233">
        <v>38.443309784</v>
      </c>
      <c r="K1233">
        <v>0</v>
      </c>
      <c r="L1233">
        <v>1200</v>
      </c>
      <c r="M1233">
        <v>1200</v>
      </c>
      <c r="N1233">
        <v>0</v>
      </c>
    </row>
    <row r="1234" spans="1:14" x14ac:dyDescent="0.25">
      <c r="A1234">
        <v>1281.0438119999999</v>
      </c>
      <c r="B1234" s="1">
        <f>DATE(2013,11,2) + TIME(1,3,5)</f>
        <v>41580.043807870374</v>
      </c>
      <c r="C1234">
        <v>1306.5413818</v>
      </c>
      <c r="D1234">
        <v>1293.5592041</v>
      </c>
      <c r="E1234">
        <v>1345.128418</v>
      </c>
      <c r="F1234">
        <v>1340.8500977000001</v>
      </c>
      <c r="G1234">
        <v>80</v>
      </c>
      <c r="H1234">
        <v>79.591537475999999</v>
      </c>
      <c r="I1234">
        <v>50</v>
      </c>
      <c r="J1234">
        <v>39.216945647999999</v>
      </c>
      <c r="K1234">
        <v>0</v>
      </c>
      <c r="L1234">
        <v>1200</v>
      </c>
      <c r="M1234">
        <v>1200</v>
      </c>
      <c r="N1234">
        <v>0</v>
      </c>
    </row>
    <row r="1235" spans="1:14" x14ac:dyDescent="0.25">
      <c r="A1235">
        <v>1281.23495</v>
      </c>
      <c r="B1235" s="1">
        <f>DATE(2013,11,2) + TIME(5,38,19)</f>
        <v>41580.234942129631</v>
      </c>
      <c r="C1235">
        <v>1306.5295410000001</v>
      </c>
      <c r="D1235">
        <v>1293.5454102000001</v>
      </c>
      <c r="E1235">
        <v>1345.052124</v>
      </c>
      <c r="F1235">
        <v>1340.8151855000001</v>
      </c>
      <c r="G1235">
        <v>80</v>
      </c>
      <c r="H1235">
        <v>79.554664611999996</v>
      </c>
      <c r="I1235">
        <v>50</v>
      </c>
      <c r="J1235">
        <v>39.981422424000002</v>
      </c>
      <c r="K1235">
        <v>0</v>
      </c>
      <c r="L1235">
        <v>1200</v>
      </c>
      <c r="M1235">
        <v>1200</v>
      </c>
      <c r="N1235">
        <v>0</v>
      </c>
    </row>
    <row r="1236" spans="1:14" x14ac:dyDescent="0.25">
      <c r="A1236">
        <v>1281.4382579999999</v>
      </c>
      <c r="B1236" s="1">
        <f>DATE(2013,11,2) + TIME(10,31,5)</f>
        <v>41580.438252314816</v>
      </c>
      <c r="C1236">
        <v>1306.5219727000001</v>
      </c>
      <c r="D1236">
        <v>1293.5358887</v>
      </c>
      <c r="E1236">
        <v>1344.9838867000001</v>
      </c>
      <c r="F1236">
        <v>1340.7862548999999</v>
      </c>
      <c r="G1236">
        <v>80</v>
      </c>
      <c r="H1236">
        <v>79.515953064000001</v>
      </c>
      <c r="I1236">
        <v>50</v>
      </c>
      <c r="J1236">
        <v>40.735889434999997</v>
      </c>
      <c r="K1236">
        <v>0</v>
      </c>
      <c r="L1236">
        <v>1200</v>
      </c>
      <c r="M1236">
        <v>1200</v>
      </c>
      <c r="N1236">
        <v>0</v>
      </c>
    </row>
    <row r="1237" spans="1:14" x14ac:dyDescent="0.25">
      <c r="A1237">
        <v>1281.655348</v>
      </c>
      <c r="B1237" s="1">
        <f>DATE(2013,11,2) + TIME(15,43,42)</f>
        <v>41580.655347222222</v>
      </c>
      <c r="C1237">
        <v>1306.5159911999999</v>
      </c>
      <c r="D1237">
        <v>1293.5277100000001</v>
      </c>
      <c r="E1237">
        <v>1344.9207764</v>
      </c>
      <c r="F1237">
        <v>1340.7606201000001</v>
      </c>
      <c r="G1237">
        <v>80</v>
      </c>
      <c r="H1237">
        <v>79.475173949999999</v>
      </c>
      <c r="I1237">
        <v>50</v>
      </c>
      <c r="J1237">
        <v>41.478988647000001</v>
      </c>
      <c r="K1237">
        <v>0</v>
      </c>
      <c r="L1237">
        <v>1200</v>
      </c>
      <c r="M1237">
        <v>1200</v>
      </c>
      <c r="N1237">
        <v>0</v>
      </c>
    </row>
    <row r="1238" spans="1:14" x14ac:dyDescent="0.25">
      <c r="A1238">
        <v>1281.8881570000001</v>
      </c>
      <c r="B1238" s="1">
        <f>DATE(2013,11,2) + TIME(21,18,56)</f>
        <v>41580.888148148151</v>
      </c>
      <c r="C1238">
        <v>1306.5100098</v>
      </c>
      <c r="D1238">
        <v>1293.5195312000001</v>
      </c>
      <c r="E1238">
        <v>1344.8614502</v>
      </c>
      <c r="F1238">
        <v>1340.7370605000001</v>
      </c>
      <c r="G1238">
        <v>80</v>
      </c>
      <c r="H1238">
        <v>79.432060242000006</v>
      </c>
      <c r="I1238">
        <v>50</v>
      </c>
      <c r="J1238">
        <v>42.209339141999997</v>
      </c>
      <c r="K1238">
        <v>0</v>
      </c>
      <c r="L1238">
        <v>1200</v>
      </c>
      <c r="M1238">
        <v>1200</v>
      </c>
      <c r="N1238">
        <v>0</v>
      </c>
    </row>
    <row r="1239" spans="1:14" x14ac:dyDescent="0.25">
      <c r="A1239">
        <v>1282.139038</v>
      </c>
      <c r="B1239" s="1">
        <f>DATE(2013,11,3) + TIME(3,20,12)</f>
        <v>41581.139027777775</v>
      </c>
      <c r="C1239">
        <v>1306.5037841999999</v>
      </c>
      <c r="D1239">
        <v>1293.5109863</v>
      </c>
      <c r="E1239">
        <v>1344.8054199000001</v>
      </c>
      <c r="F1239">
        <v>1340.7148437999999</v>
      </c>
      <c r="G1239">
        <v>80</v>
      </c>
      <c r="H1239">
        <v>79.386283875000004</v>
      </c>
      <c r="I1239">
        <v>50</v>
      </c>
      <c r="J1239">
        <v>42.925380707000002</v>
      </c>
      <c r="K1239">
        <v>0</v>
      </c>
      <c r="L1239">
        <v>1200</v>
      </c>
      <c r="M1239">
        <v>1200</v>
      </c>
      <c r="N1239">
        <v>0</v>
      </c>
    </row>
    <row r="1240" spans="1:14" x14ac:dyDescent="0.25">
      <c r="A1240">
        <v>1282.410883</v>
      </c>
      <c r="B1240" s="1">
        <f>DATE(2013,11,3) + TIME(9,51,40)</f>
        <v>41581.410879629628</v>
      </c>
      <c r="C1240">
        <v>1306.4970702999999</v>
      </c>
      <c r="D1240">
        <v>1293.5017089999999</v>
      </c>
      <c r="E1240">
        <v>1344.7520752</v>
      </c>
      <c r="F1240">
        <v>1340.6936035000001</v>
      </c>
      <c r="G1240">
        <v>80</v>
      </c>
      <c r="H1240">
        <v>79.337471007999994</v>
      </c>
      <c r="I1240">
        <v>50</v>
      </c>
      <c r="J1240">
        <v>43.62531662</v>
      </c>
      <c r="K1240">
        <v>0</v>
      </c>
      <c r="L1240">
        <v>1200</v>
      </c>
      <c r="M1240">
        <v>1200</v>
      </c>
      <c r="N1240">
        <v>0</v>
      </c>
    </row>
    <row r="1241" spans="1:14" x14ac:dyDescent="0.25">
      <c r="A1241">
        <v>1282.707302</v>
      </c>
      <c r="B1241" s="1">
        <f>DATE(2013,11,3) + TIME(16,58,30)</f>
        <v>41581.707291666666</v>
      </c>
      <c r="C1241">
        <v>1306.4897461</v>
      </c>
      <c r="D1241">
        <v>1293.4916992000001</v>
      </c>
      <c r="E1241">
        <v>1344.7012939000001</v>
      </c>
      <c r="F1241">
        <v>1340.6732178</v>
      </c>
      <c r="G1241">
        <v>80</v>
      </c>
      <c r="H1241">
        <v>79.285125731999997</v>
      </c>
      <c r="I1241">
        <v>50</v>
      </c>
      <c r="J1241">
        <v>44.307086945000002</v>
      </c>
      <c r="K1241">
        <v>0</v>
      </c>
      <c r="L1241">
        <v>1200</v>
      </c>
      <c r="M1241">
        <v>1200</v>
      </c>
      <c r="N1241">
        <v>0</v>
      </c>
    </row>
    <row r="1242" spans="1:14" x14ac:dyDescent="0.25">
      <c r="A1242">
        <v>1283.0328609999999</v>
      </c>
      <c r="B1242" s="1">
        <f>DATE(2013,11,4) + TIME(0,47,19)</f>
        <v>41582.032858796294</v>
      </c>
      <c r="C1242">
        <v>1306.4815673999999</v>
      </c>
      <c r="D1242">
        <v>1293.4805908000001</v>
      </c>
      <c r="E1242">
        <v>1344.652832</v>
      </c>
      <c r="F1242">
        <v>1340.6531981999999</v>
      </c>
      <c r="G1242">
        <v>80</v>
      </c>
      <c r="H1242">
        <v>79.228675842000001</v>
      </c>
      <c r="I1242">
        <v>50</v>
      </c>
      <c r="J1242">
        <v>44.968326568999998</v>
      </c>
      <c r="K1242">
        <v>0</v>
      </c>
      <c r="L1242">
        <v>1200</v>
      </c>
      <c r="M1242">
        <v>1200</v>
      </c>
      <c r="N1242">
        <v>0</v>
      </c>
    </row>
    <row r="1243" spans="1:14" x14ac:dyDescent="0.25">
      <c r="A1243">
        <v>1283.393399</v>
      </c>
      <c r="B1243" s="1">
        <f>DATE(2013,11,4) + TIME(9,26,29)</f>
        <v>41582.393391203703</v>
      </c>
      <c r="C1243">
        <v>1306.4725341999999</v>
      </c>
      <c r="D1243">
        <v>1293.4685059000001</v>
      </c>
      <c r="E1243">
        <v>1344.6062012</v>
      </c>
      <c r="F1243">
        <v>1340.6334228999999</v>
      </c>
      <c r="G1243">
        <v>80</v>
      </c>
      <c r="H1243">
        <v>79.167366028000004</v>
      </c>
      <c r="I1243">
        <v>50</v>
      </c>
      <c r="J1243">
        <v>45.606227875000002</v>
      </c>
      <c r="K1243">
        <v>0</v>
      </c>
      <c r="L1243">
        <v>1200</v>
      </c>
      <c r="M1243">
        <v>1200</v>
      </c>
      <c r="N1243">
        <v>0</v>
      </c>
    </row>
    <row r="1244" spans="1:14" x14ac:dyDescent="0.25">
      <c r="A1244">
        <v>1283.796777</v>
      </c>
      <c r="B1244" s="1">
        <f>DATE(2013,11,4) + TIME(19,7,21)</f>
        <v>41582.796770833331</v>
      </c>
      <c r="C1244">
        <v>1306.4624022999999</v>
      </c>
      <c r="D1244">
        <v>1293.4549560999999</v>
      </c>
      <c r="E1244">
        <v>1344.5611572</v>
      </c>
      <c r="F1244">
        <v>1340.6134033000001</v>
      </c>
      <c r="G1244">
        <v>80</v>
      </c>
      <c r="H1244">
        <v>79.100227356000005</v>
      </c>
      <c r="I1244">
        <v>50</v>
      </c>
      <c r="J1244">
        <v>46.217819214000002</v>
      </c>
      <c r="K1244">
        <v>0</v>
      </c>
      <c r="L1244">
        <v>1200</v>
      </c>
      <c r="M1244">
        <v>1200</v>
      </c>
      <c r="N1244">
        <v>0</v>
      </c>
    </row>
    <row r="1245" spans="1:14" x14ac:dyDescent="0.25">
      <c r="A1245">
        <v>1284.253563</v>
      </c>
      <c r="B1245" s="1">
        <f>DATE(2013,11,5) + TIME(6,5,7)</f>
        <v>41583.253553240742</v>
      </c>
      <c r="C1245">
        <v>1306.4509277</v>
      </c>
      <c r="D1245">
        <v>1293.4396973</v>
      </c>
      <c r="E1245">
        <v>1344.5174560999999</v>
      </c>
      <c r="F1245">
        <v>1340.5927733999999</v>
      </c>
      <c r="G1245">
        <v>80</v>
      </c>
      <c r="H1245">
        <v>79.025993346999996</v>
      </c>
      <c r="I1245">
        <v>50</v>
      </c>
      <c r="J1245">
        <v>46.799545287999997</v>
      </c>
      <c r="K1245">
        <v>0</v>
      </c>
      <c r="L1245">
        <v>1200</v>
      </c>
      <c r="M1245">
        <v>1200</v>
      </c>
      <c r="N1245">
        <v>0</v>
      </c>
    </row>
    <row r="1246" spans="1:14" x14ac:dyDescent="0.25">
      <c r="A1246">
        <v>1284.7785260000001</v>
      </c>
      <c r="B1246" s="1">
        <f>DATE(2013,11,5) + TIME(18,41,4)</f>
        <v>41583.77851851852</v>
      </c>
      <c r="C1246">
        <v>1306.4378661999999</v>
      </c>
      <c r="D1246">
        <v>1293.4223632999999</v>
      </c>
      <c r="E1246">
        <v>1344.4744873</v>
      </c>
      <c r="F1246">
        <v>1340.5710449000001</v>
      </c>
      <c r="G1246">
        <v>80</v>
      </c>
      <c r="H1246">
        <v>78.942955017000003</v>
      </c>
      <c r="I1246">
        <v>50</v>
      </c>
      <c r="J1246">
        <v>47.347293854</v>
      </c>
      <c r="K1246">
        <v>0</v>
      </c>
      <c r="L1246">
        <v>1200</v>
      </c>
      <c r="M1246">
        <v>1200</v>
      </c>
      <c r="N1246">
        <v>0</v>
      </c>
    </row>
    <row r="1247" spans="1:14" x14ac:dyDescent="0.25">
      <c r="A1247">
        <v>1285.3930769999999</v>
      </c>
      <c r="B1247" s="1">
        <f>DATE(2013,11,6) + TIME(9,26,1)</f>
        <v>41584.393067129633</v>
      </c>
      <c r="C1247">
        <v>1306.4227295000001</v>
      </c>
      <c r="D1247">
        <v>1293.4024658000001</v>
      </c>
      <c r="E1247">
        <v>1344.4317627</v>
      </c>
      <c r="F1247">
        <v>1340.5477295000001</v>
      </c>
      <c r="G1247">
        <v>80</v>
      </c>
      <c r="H1247">
        <v>78.848731994999994</v>
      </c>
      <c r="I1247">
        <v>50</v>
      </c>
      <c r="J1247">
        <v>47.856327057000001</v>
      </c>
      <c r="K1247">
        <v>0</v>
      </c>
      <c r="L1247">
        <v>1200</v>
      </c>
      <c r="M1247">
        <v>1200</v>
      </c>
      <c r="N1247">
        <v>0</v>
      </c>
    </row>
    <row r="1248" spans="1:14" x14ac:dyDescent="0.25">
      <c r="A1248">
        <v>1286.1297059999999</v>
      </c>
      <c r="B1248" s="1">
        <f>DATE(2013,11,7) + TIME(3,6,46)</f>
        <v>41585.129699074074</v>
      </c>
      <c r="C1248">
        <v>1306.4049072</v>
      </c>
      <c r="D1248">
        <v>1293.3790283000001</v>
      </c>
      <c r="E1248">
        <v>1344.3886719</v>
      </c>
      <c r="F1248">
        <v>1340.5218506000001</v>
      </c>
      <c r="G1248">
        <v>80</v>
      </c>
      <c r="H1248">
        <v>78.739906310999999</v>
      </c>
      <c r="I1248">
        <v>50</v>
      </c>
      <c r="J1248">
        <v>48.321159363</v>
      </c>
      <c r="K1248">
        <v>0</v>
      </c>
      <c r="L1248">
        <v>1200</v>
      </c>
      <c r="M1248">
        <v>1200</v>
      </c>
      <c r="N1248">
        <v>0</v>
      </c>
    </row>
    <row r="1249" spans="1:14" x14ac:dyDescent="0.25">
      <c r="A1249">
        <v>1286.994449</v>
      </c>
      <c r="B1249" s="1">
        <f>DATE(2013,11,7) + TIME(23,52,0)</f>
        <v>41585.994444444441</v>
      </c>
      <c r="C1249">
        <v>1306.3831786999999</v>
      </c>
      <c r="D1249">
        <v>1293.3510742000001</v>
      </c>
      <c r="E1249">
        <v>1344.3464355000001</v>
      </c>
      <c r="F1249">
        <v>1340.4938964999999</v>
      </c>
      <c r="G1249">
        <v>80</v>
      </c>
      <c r="H1249">
        <v>78.616233825999998</v>
      </c>
      <c r="I1249">
        <v>50</v>
      </c>
      <c r="J1249">
        <v>48.720169067</v>
      </c>
      <c r="K1249">
        <v>0</v>
      </c>
      <c r="L1249">
        <v>1200</v>
      </c>
      <c r="M1249">
        <v>1200</v>
      </c>
      <c r="N1249">
        <v>0</v>
      </c>
    </row>
    <row r="1250" spans="1:14" x14ac:dyDescent="0.25">
      <c r="A1250">
        <v>1287.871392</v>
      </c>
      <c r="B1250" s="1">
        <f>DATE(2013,11,8) + TIME(20,54,48)</f>
        <v>41586.871388888889</v>
      </c>
      <c r="C1250">
        <v>1306.3564452999999</v>
      </c>
      <c r="D1250">
        <v>1293.3184814000001</v>
      </c>
      <c r="E1250">
        <v>1344.309082</v>
      </c>
      <c r="F1250">
        <v>1340.4655762</v>
      </c>
      <c r="G1250">
        <v>80</v>
      </c>
      <c r="H1250">
        <v>78.490043639999996</v>
      </c>
      <c r="I1250">
        <v>50</v>
      </c>
      <c r="J1250">
        <v>49.015037536999998</v>
      </c>
      <c r="K1250">
        <v>0</v>
      </c>
      <c r="L1250">
        <v>1200</v>
      </c>
      <c r="M1250">
        <v>1200</v>
      </c>
      <c r="N1250">
        <v>0</v>
      </c>
    </row>
    <row r="1251" spans="1:14" x14ac:dyDescent="0.25">
      <c r="A1251">
        <v>1288.7807580000001</v>
      </c>
      <c r="B1251" s="1">
        <f>DATE(2013,11,9) + TIME(18,44,17)</f>
        <v>41587.780752314815</v>
      </c>
      <c r="C1251">
        <v>1306.3292236</v>
      </c>
      <c r="D1251">
        <v>1293.2847899999999</v>
      </c>
      <c r="E1251">
        <v>1344.2731934000001</v>
      </c>
      <c r="F1251">
        <v>1340.4368896000001</v>
      </c>
      <c r="G1251">
        <v>80</v>
      </c>
      <c r="H1251">
        <v>78.359970093000001</v>
      </c>
      <c r="I1251">
        <v>50</v>
      </c>
      <c r="J1251">
        <v>49.235790252999998</v>
      </c>
      <c r="K1251">
        <v>0</v>
      </c>
      <c r="L1251">
        <v>1200</v>
      </c>
      <c r="M1251">
        <v>1200</v>
      </c>
      <c r="N1251">
        <v>0</v>
      </c>
    </row>
    <row r="1252" spans="1:14" x14ac:dyDescent="0.25">
      <c r="A1252">
        <v>1289.731618</v>
      </c>
      <c r="B1252" s="1">
        <f>DATE(2013,11,10) + TIME(17,33,31)</f>
        <v>41588.731608796297</v>
      </c>
      <c r="C1252">
        <v>1306.3006591999999</v>
      </c>
      <c r="D1252">
        <v>1293.2493896000001</v>
      </c>
      <c r="E1252">
        <v>1344.2384033000001</v>
      </c>
      <c r="F1252">
        <v>1340.4077147999999</v>
      </c>
      <c r="G1252">
        <v>80</v>
      </c>
      <c r="H1252">
        <v>78.225532532000003</v>
      </c>
      <c r="I1252">
        <v>50</v>
      </c>
      <c r="J1252">
        <v>49.400650024000001</v>
      </c>
      <c r="K1252">
        <v>0</v>
      </c>
      <c r="L1252">
        <v>1200</v>
      </c>
      <c r="M1252">
        <v>1200</v>
      </c>
      <c r="N1252">
        <v>0</v>
      </c>
    </row>
    <row r="1253" spans="1:14" x14ac:dyDescent="0.25">
      <c r="A1253">
        <v>1290.7347259999999</v>
      </c>
      <c r="B1253" s="1">
        <f>DATE(2013,11,11) + TIME(17,38,0)</f>
        <v>41589.734722222223</v>
      </c>
      <c r="C1253">
        <v>1306.2706298999999</v>
      </c>
      <c r="D1253">
        <v>1293.2119141000001</v>
      </c>
      <c r="E1253">
        <v>1344.2043457</v>
      </c>
      <c r="F1253">
        <v>1340.3781738</v>
      </c>
      <c r="G1253">
        <v>80</v>
      </c>
      <c r="H1253">
        <v>78.086021423000005</v>
      </c>
      <c r="I1253">
        <v>50</v>
      </c>
      <c r="J1253">
        <v>49.523326873999999</v>
      </c>
      <c r="K1253">
        <v>0</v>
      </c>
      <c r="L1253">
        <v>1200</v>
      </c>
      <c r="M1253">
        <v>1200</v>
      </c>
      <c r="N1253">
        <v>0</v>
      </c>
    </row>
    <row r="1254" spans="1:14" x14ac:dyDescent="0.25">
      <c r="A1254">
        <v>1291.8022559999999</v>
      </c>
      <c r="B1254" s="1">
        <f>DATE(2013,11,12) + TIME(19,15,14)</f>
        <v>41590.802245370367</v>
      </c>
      <c r="C1254">
        <v>1306.2385254000001</v>
      </c>
      <c r="D1254">
        <v>1293.1719971</v>
      </c>
      <c r="E1254">
        <v>1344.1706543</v>
      </c>
      <c r="F1254">
        <v>1340.3481445</v>
      </c>
      <c r="G1254">
        <v>80</v>
      </c>
      <c r="H1254">
        <v>77.940528869999994</v>
      </c>
      <c r="I1254">
        <v>50</v>
      </c>
      <c r="J1254">
        <v>49.614147185999997</v>
      </c>
      <c r="K1254">
        <v>0</v>
      </c>
      <c r="L1254">
        <v>1200</v>
      </c>
      <c r="M1254">
        <v>1200</v>
      </c>
      <c r="N1254">
        <v>0</v>
      </c>
    </row>
    <row r="1255" spans="1:14" x14ac:dyDescent="0.25">
      <c r="A1255">
        <v>1292.9486959999999</v>
      </c>
      <c r="B1255" s="1">
        <f>DATE(2013,11,13) + TIME(22,46,7)</f>
        <v>41591.948692129627</v>
      </c>
      <c r="C1255">
        <v>1306.2041016000001</v>
      </c>
      <c r="D1255">
        <v>1293.1289062000001</v>
      </c>
      <c r="E1255">
        <v>1344.137207</v>
      </c>
      <c r="F1255">
        <v>1340.3178711</v>
      </c>
      <c r="G1255">
        <v>80</v>
      </c>
      <c r="H1255">
        <v>77.787948607999994</v>
      </c>
      <c r="I1255">
        <v>50</v>
      </c>
      <c r="J1255">
        <v>49.680988311999997</v>
      </c>
      <c r="K1255">
        <v>0</v>
      </c>
      <c r="L1255">
        <v>1200</v>
      </c>
      <c r="M1255">
        <v>1200</v>
      </c>
      <c r="N1255">
        <v>0</v>
      </c>
    </row>
    <row r="1256" spans="1:14" x14ac:dyDescent="0.25">
      <c r="A1256">
        <v>1294.179697</v>
      </c>
      <c r="B1256" s="1">
        <f>DATE(2013,11,15) + TIME(4,18,45)</f>
        <v>41593.1796875</v>
      </c>
      <c r="C1256">
        <v>1306.1665039</v>
      </c>
      <c r="D1256">
        <v>1293.0820312000001</v>
      </c>
      <c r="E1256">
        <v>1344.1035156</v>
      </c>
      <c r="F1256">
        <v>1340.2869873</v>
      </c>
      <c r="G1256">
        <v>80</v>
      </c>
      <c r="H1256">
        <v>77.627975464000002</v>
      </c>
      <c r="I1256">
        <v>50</v>
      </c>
      <c r="J1256">
        <v>49.729553223000003</v>
      </c>
      <c r="K1256">
        <v>0</v>
      </c>
      <c r="L1256">
        <v>1200</v>
      </c>
      <c r="M1256">
        <v>1200</v>
      </c>
      <c r="N1256">
        <v>0</v>
      </c>
    </row>
    <row r="1257" spans="1:14" x14ac:dyDescent="0.25">
      <c r="A1257">
        <v>1295.5025189999999</v>
      </c>
      <c r="B1257" s="1">
        <f>DATE(2013,11,16) + TIME(12,3,37)</f>
        <v>41594.502511574072</v>
      </c>
      <c r="C1257">
        <v>1306.1256103999999</v>
      </c>
      <c r="D1257">
        <v>1293.0311279</v>
      </c>
      <c r="E1257">
        <v>1344.0699463000001</v>
      </c>
      <c r="F1257">
        <v>1340.2558594</v>
      </c>
      <c r="G1257">
        <v>80</v>
      </c>
      <c r="H1257">
        <v>77.460205078000001</v>
      </c>
      <c r="I1257">
        <v>50</v>
      </c>
      <c r="J1257">
        <v>49.764541626000003</v>
      </c>
      <c r="K1257">
        <v>0</v>
      </c>
      <c r="L1257">
        <v>1200</v>
      </c>
      <c r="M1257">
        <v>1200</v>
      </c>
      <c r="N1257">
        <v>0</v>
      </c>
    </row>
    <row r="1258" spans="1:14" x14ac:dyDescent="0.25">
      <c r="A1258">
        <v>1296.93631</v>
      </c>
      <c r="B1258" s="1">
        <f>DATE(2013,11,17) + TIME(22,28,17)</f>
        <v>41595.936307870368</v>
      </c>
      <c r="C1258">
        <v>1306.0809326000001</v>
      </c>
      <c r="D1258">
        <v>1292.9753418</v>
      </c>
      <c r="E1258">
        <v>1344.0361327999999</v>
      </c>
      <c r="F1258">
        <v>1340.2243652</v>
      </c>
      <c r="G1258">
        <v>80</v>
      </c>
      <c r="H1258">
        <v>77.283348083000007</v>
      </c>
      <c r="I1258">
        <v>50</v>
      </c>
      <c r="J1258">
        <v>49.789783477999997</v>
      </c>
      <c r="K1258">
        <v>0</v>
      </c>
      <c r="L1258">
        <v>1200</v>
      </c>
      <c r="M1258">
        <v>1200</v>
      </c>
      <c r="N1258">
        <v>0</v>
      </c>
    </row>
    <row r="1259" spans="1:14" x14ac:dyDescent="0.25">
      <c r="A1259">
        <v>1298.5043479999999</v>
      </c>
      <c r="B1259" s="1">
        <f>DATE(2013,11,19) + TIME(12,6,15)</f>
        <v>41597.504340277781</v>
      </c>
      <c r="C1259">
        <v>1306.0318603999999</v>
      </c>
      <c r="D1259">
        <v>1292.9139404</v>
      </c>
      <c r="E1259">
        <v>1344.0019531</v>
      </c>
      <c r="F1259">
        <v>1340.1926269999999</v>
      </c>
      <c r="G1259">
        <v>80</v>
      </c>
      <c r="H1259">
        <v>77.095809936999999</v>
      </c>
      <c r="I1259">
        <v>50</v>
      </c>
      <c r="J1259">
        <v>49.808090210000003</v>
      </c>
      <c r="K1259">
        <v>0</v>
      </c>
      <c r="L1259">
        <v>1200</v>
      </c>
      <c r="M1259">
        <v>1200</v>
      </c>
      <c r="N1259">
        <v>0</v>
      </c>
    </row>
    <row r="1260" spans="1:14" x14ac:dyDescent="0.25">
      <c r="A1260">
        <v>1300.236504</v>
      </c>
      <c r="B1260" s="1">
        <f>DATE(2013,11,21) + TIME(5,40,33)</f>
        <v>41599.236493055556</v>
      </c>
      <c r="C1260">
        <v>1305.9772949000001</v>
      </c>
      <c r="D1260">
        <v>1292.8454589999999</v>
      </c>
      <c r="E1260">
        <v>1343.9672852000001</v>
      </c>
      <c r="F1260">
        <v>1340.1604004000001</v>
      </c>
      <c r="G1260">
        <v>80</v>
      </c>
      <c r="H1260">
        <v>76.895568847999996</v>
      </c>
      <c r="I1260">
        <v>50</v>
      </c>
      <c r="J1260">
        <v>49.821529388000002</v>
      </c>
      <c r="K1260">
        <v>0</v>
      </c>
      <c r="L1260">
        <v>1200</v>
      </c>
      <c r="M1260">
        <v>1200</v>
      </c>
      <c r="N1260">
        <v>0</v>
      </c>
    </row>
    <row r="1261" spans="1:14" x14ac:dyDescent="0.25">
      <c r="A1261">
        <v>1302.087256</v>
      </c>
      <c r="B1261" s="1">
        <f>DATE(2013,11,23) + TIME(2,5,38)</f>
        <v>41601.087245370371</v>
      </c>
      <c r="C1261">
        <v>1305.9155272999999</v>
      </c>
      <c r="D1261">
        <v>1292.7683105000001</v>
      </c>
      <c r="E1261">
        <v>1343.9317627</v>
      </c>
      <c r="F1261">
        <v>1340.1273193</v>
      </c>
      <c r="G1261">
        <v>80</v>
      </c>
      <c r="H1261">
        <v>76.685623168999996</v>
      </c>
      <c r="I1261">
        <v>50</v>
      </c>
      <c r="J1261">
        <v>49.831245422000002</v>
      </c>
      <c r="K1261">
        <v>0</v>
      </c>
      <c r="L1261">
        <v>1200</v>
      </c>
      <c r="M1261">
        <v>1200</v>
      </c>
      <c r="N1261">
        <v>0</v>
      </c>
    </row>
    <row r="1262" spans="1:14" x14ac:dyDescent="0.25">
      <c r="A1262">
        <v>1303.980364</v>
      </c>
      <c r="B1262" s="1">
        <f>DATE(2013,11,24) + TIME(23,31,43)</f>
        <v>41602.980358796296</v>
      </c>
      <c r="C1262">
        <v>1305.8477783000001</v>
      </c>
      <c r="D1262">
        <v>1292.6839600000001</v>
      </c>
      <c r="E1262">
        <v>1343.8966064000001</v>
      </c>
      <c r="F1262">
        <v>1340.0947266000001</v>
      </c>
      <c r="G1262">
        <v>80</v>
      </c>
      <c r="H1262">
        <v>76.471862793</v>
      </c>
      <c r="I1262">
        <v>50</v>
      </c>
      <c r="J1262">
        <v>49.83820343</v>
      </c>
      <c r="K1262">
        <v>0</v>
      </c>
      <c r="L1262">
        <v>1200</v>
      </c>
      <c r="M1262">
        <v>1200</v>
      </c>
      <c r="N1262">
        <v>0</v>
      </c>
    </row>
    <row r="1263" spans="1:14" x14ac:dyDescent="0.25">
      <c r="A1263">
        <v>1305.9445410000001</v>
      </c>
      <c r="B1263" s="1">
        <f>DATE(2013,11,26) + TIME(22,40,8)</f>
        <v>41604.944537037038</v>
      </c>
      <c r="C1263">
        <v>1305.7769774999999</v>
      </c>
      <c r="D1263">
        <v>1292.5948486</v>
      </c>
      <c r="E1263">
        <v>1343.8632812000001</v>
      </c>
      <c r="F1263">
        <v>1340.0639647999999</v>
      </c>
      <c r="G1263">
        <v>80</v>
      </c>
      <c r="H1263">
        <v>76.254455566000004</v>
      </c>
      <c r="I1263">
        <v>50</v>
      </c>
      <c r="J1263">
        <v>49.843414307000003</v>
      </c>
      <c r="K1263">
        <v>0</v>
      </c>
      <c r="L1263">
        <v>1200</v>
      </c>
      <c r="M1263">
        <v>1200</v>
      </c>
      <c r="N1263">
        <v>0</v>
      </c>
    </row>
    <row r="1264" spans="1:14" x14ac:dyDescent="0.25">
      <c r="A1264">
        <v>1308.0079760000001</v>
      </c>
      <c r="B1264" s="1">
        <f>DATE(2013,11,29) + TIME(0,11,29)</f>
        <v>41607.007974537039</v>
      </c>
      <c r="C1264">
        <v>1305.7016602000001</v>
      </c>
      <c r="D1264">
        <v>1292.4992675999999</v>
      </c>
      <c r="E1264">
        <v>1343.8311768000001</v>
      </c>
      <c r="F1264">
        <v>1340.0344238</v>
      </c>
      <c r="G1264">
        <v>80</v>
      </c>
      <c r="H1264">
        <v>76.032478333</v>
      </c>
      <c r="I1264">
        <v>50</v>
      </c>
      <c r="J1264">
        <v>49.847476958999998</v>
      </c>
      <c r="K1264">
        <v>0</v>
      </c>
      <c r="L1264">
        <v>1200</v>
      </c>
      <c r="M1264">
        <v>1200</v>
      </c>
      <c r="N1264">
        <v>0</v>
      </c>
    </row>
    <row r="1265" spans="1:14" x14ac:dyDescent="0.25">
      <c r="A1265">
        <v>1310</v>
      </c>
      <c r="B1265" s="1">
        <f>DATE(2013,12,1) + TIME(0,0,0)</f>
        <v>41609</v>
      </c>
      <c r="C1265">
        <v>1305.6201172000001</v>
      </c>
      <c r="D1265">
        <v>1292.3963623</v>
      </c>
      <c r="E1265">
        <v>1343.7998047000001</v>
      </c>
      <c r="F1265">
        <v>1340.0056152</v>
      </c>
      <c r="G1265">
        <v>80</v>
      </c>
      <c r="H1265">
        <v>75.816345214999998</v>
      </c>
      <c r="I1265">
        <v>50</v>
      </c>
      <c r="J1265">
        <v>49.850490569999998</v>
      </c>
      <c r="K1265">
        <v>0</v>
      </c>
      <c r="L1265">
        <v>1200</v>
      </c>
      <c r="M1265">
        <v>1200</v>
      </c>
      <c r="N1265">
        <v>0</v>
      </c>
    </row>
    <row r="1266" spans="1:14" x14ac:dyDescent="0.25">
      <c r="A1266">
        <v>1312.1735060000001</v>
      </c>
      <c r="B1266" s="1">
        <f>DATE(2013,12,3) + TIME(4,9,50)</f>
        <v>41611.173495370371</v>
      </c>
      <c r="C1266">
        <v>1305.5396728999999</v>
      </c>
      <c r="D1266">
        <v>1292.2918701000001</v>
      </c>
      <c r="E1266">
        <v>1343.7718506000001</v>
      </c>
      <c r="F1266">
        <v>1339.9801024999999</v>
      </c>
      <c r="G1266">
        <v>80</v>
      </c>
      <c r="H1266">
        <v>75.593971252000003</v>
      </c>
      <c r="I1266">
        <v>50</v>
      </c>
      <c r="J1266">
        <v>49.853061676000003</v>
      </c>
      <c r="K1266">
        <v>0</v>
      </c>
      <c r="L1266">
        <v>1200</v>
      </c>
      <c r="M1266">
        <v>1200</v>
      </c>
      <c r="N1266">
        <v>0</v>
      </c>
    </row>
    <row r="1267" spans="1:14" x14ac:dyDescent="0.25">
      <c r="A1267">
        <v>1314.393114</v>
      </c>
      <c r="B1267" s="1">
        <f>DATE(2013,12,5) + TIME(9,26,5)</f>
        <v>41613.393113425926</v>
      </c>
      <c r="C1267">
        <v>1305.4492187999999</v>
      </c>
      <c r="D1267">
        <v>1292.1754149999999</v>
      </c>
      <c r="E1267">
        <v>1343.7430420000001</v>
      </c>
      <c r="F1267">
        <v>1339.9539795000001</v>
      </c>
      <c r="G1267">
        <v>80</v>
      </c>
      <c r="H1267">
        <v>75.370529175000001</v>
      </c>
      <c r="I1267">
        <v>50</v>
      </c>
      <c r="J1267">
        <v>49.855155945</v>
      </c>
      <c r="K1267">
        <v>0</v>
      </c>
      <c r="L1267">
        <v>1200</v>
      </c>
      <c r="M1267">
        <v>1200</v>
      </c>
      <c r="N1267">
        <v>0</v>
      </c>
    </row>
    <row r="1268" spans="1:14" x14ac:dyDescent="0.25">
      <c r="A1268">
        <v>1316.6443119999999</v>
      </c>
      <c r="B1268" s="1">
        <f>DATE(2013,12,7) + TIME(15,27,48)</f>
        <v>41615.644305555557</v>
      </c>
      <c r="C1268">
        <v>1305.3540039</v>
      </c>
      <c r="D1268">
        <v>1292.0518798999999</v>
      </c>
      <c r="E1268">
        <v>1343.7156981999999</v>
      </c>
      <c r="F1268">
        <v>1339.9290771000001</v>
      </c>
      <c r="G1268">
        <v>80</v>
      </c>
      <c r="H1268">
        <v>75.147766113000003</v>
      </c>
      <c r="I1268">
        <v>50</v>
      </c>
      <c r="J1268">
        <v>49.856884002999998</v>
      </c>
      <c r="K1268">
        <v>0</v>
      </c>
      <c r="L1268">
        <v>1200</v>
      </c>
      <c r="M1268">
        <v>1200</v>
      </c>
      <c r="N1268">
        <v>0</v>
      </c>
    </row>
    <row r="1269" spans="1:14" x14ac:dyDescent="0.25">
      <c r="A1269">
        <v>1318.9327880000001</v>
      </c>
      <c r="B1269" s="1">
        <f>DATE(2013,12,9) + TIME(22,23,12)</f>
        <v>41617.93277777778</v>
      </c>
      <c r="C1269">
        <v>1305.2543945</v>
      </c>
      <c r="D1269">
        <v>1291.9215088000001</v>
      </c>
      <c r="E1269">
        <v>1343.6896973</v>
      </c>
      <c r="F1269">
        <v>1339.9056396000001</v>
      </c>
      <c r="G1269">
        <v>80</v>
      </c>
      <c r="H1269">
        <v>74.926094054999993</v>
      </c>
      <c r="I1269">
        <v>50</v>
      </c>
      <c r="J1269">
        <v>49.858337401999997</v>
      </c>
      <c r="K1269">
        <v>0</v>
      </c>
      <c r="L1269">
        <v>1200</v>
      </c>
      <c r="M1269">
        <v>1200</v>
      </c>
      <c r="N1269">
        <v>0</v>
      </c>
    </row>
    <row r="1270" spans="1:14" x14ac:dyDescent="0.25">
      <c r="A1270">
        <v>1321.264643</v>
      </c>
      <c r="B1270" s="1">
        <f>DATE(2013,12,12) + TIME(6,21,5)</f>
        <v>41620.264641203707</v>
      </c>
      <c r="C1270">
        <v>1305.1500243999999</v>
      </c>
      <c r="D1270">
        <v>1291.7839355000001</v>
      </c>
      <c r="E1270">
        <v>1343.6650391000001</v>
      </c>
      <c r="F1270">
        <v>1339.8834228999999</v>
      </c>
      <c r="G1270">
        <v>80</v>
      </c>
      <c r="H1270">
        <v>74.705230713000006</v>
      </c>
      <c r="I1270">
        <v>50</v>
      </c>
      <c r="J1270">
        <v>49.859584808000001</v>
      </c>
      <c r="K1270">
        <v>0</v>
      </c>
      <c r="L1270">
        <v>1200</v>
      </c>
      <c r="M1270">
        <v>1200</v>
      </c>
      <c r="N1270">
        <v>0</v>
      </c>
    </row>
    <row r="1271" spans="1:14" x14ac:dyDescent="0.25">
      <c r="A1271">
        <v>1323.639218</v>
      </c>
      <c r="B1271" s="1">
        <f>DATE(2013,12,14) + TIME(15,20,28)</f>
        <v>41622.63921296296</v>
      </c>
      <c r="C1271">
        <v>1305.0402832</v>
      </c>
      <c r="D1271">
        <v>1291.6381836</v>
      </c>
      <c r="E1271">
        <v>1343.6412353999999</v>
      </c>
      <c r="F1271">
        <v>1339.8620605000001</v>
      </c>
      <c r="G1271">
        <v>80</v>
      </c>
      <c r="H1271">
        <v>74.485221863000007</v>
      </c>
      <c r="I1271">
        <v>50</v>
      </c>
      <c r="J1271">
        <v>49.860675811999997</v>
      </c>
      <c r="K1271">
        <v>0</v>
      </c>
      <c r="L1271">
        <v>1200</v>
      </c>
      <c r="M1271">
        <v>1200</v>
      </c>
      <c r="N1271">
        <v>0</v>
      </c>
    </row>
    <row r="1272" spans="1:14" x14ac:dyDescent="0.25">
      <c r="A1272">
        <v>1326.035142</v>
      </c>
      <c r="B1272" s="1">
        <f>DATE(2013,12,17) + TIME(0,50,36)</f>
        <v>41625.035138888888</v>
      </c>
      <c r="C1272">
        <v>1304.9250488</v>
      </c>
      <c r="D1272">
        <v>1291.4840088000001</v>
      </c>
      <c r="E1272">
        <v>1343.6185303</v>
      </c>
      <c r="F1272">
        <v>1339.8417969</v>
      </c>
      <c r="G1272">
        <v>80</v>
      </c>
      <c r="H1272">
        <v>74.266937256000006</v>
      </c>
      <c r="I1272">
        <v>50</v>
      </c>
      <c r="J1272">
        <v>49.861637115000001</v>
      </c>
      <c r="K1272">
        <v>0</v>
      </c>
      <c r="L1272">
        <v>1200</v>
      </c>
      <c r="M1272">
        <v>1200</v>
      </c>
      <c r="N1272">
        <v>0</v>
      </c>
    </row>
    <row r="1273" spans="1:14" x14ac:dyDescent="0.25">
      <c r="A1273">
        <v>1328.4587610000001</v>
      </c>
      <c r="B1273" s="1">
        <f>DATE(2013,12,19) + TIME(11,0,36)</f>
        <v>41627.458749999998</v>
      </c>
      <c r="C1273">
        <v>1304.8050536999999</v>
      </c>
      <c r="D1273">
        <v>1291.3223877</v>
      </c>
      <c r="E1273">
        <v>1343.5969238</v>
      </c>
      <c r="F1273">
        <v>1339.8225098</v>
      </c>
      <c r="G1273">
        <v>80</v>
      </c>
      <c r="H1273">
        <v>74.050239563000005</v>
      </c>
      <c r="I1273">
        <v>50</v>
      </c>
      <c r="J1273">
        <v>49.862499237000002</v>
      </c>
      <c r="K1273">
        <v>0</v>
      </c>
      <c r="L1273">
        <v>1200</v>
      </c>
      <c r="M1273">
        <v>1200</v>
      </c>
      <c r="N1273">
        <v>0</v>
      </c>
    </row>
    <row r="1274" spans="1:14" x14ac:dyDescent="0.25">
      <c r="A1274">
        <v>1330.9147800000001</v>
      </c>
      <c r="B1274" s="1">
        <f>DATE(2013,12,21) + TIME(21,57,16)</f>
        <v>41629.914768518516</v>
      </c>
      <c r="C1274">
        <v>1304.6800536999999</v>
      </c>
      <c r="D1274">
        <v>1291.1523437999999</v>
      </c>
      <c r="E1274">
        <v>1343.5764160000001</v>
      </c>
      <c r="F1274">
        <v>1339.8041992000001</v>
      </c>
      <c r="G1274">
        <v>80</v>
      </c>
      <c r="H1274">
        <v>73.834709167</v>
      </c>
      <c r="I1274">
        <v>50</v>
      </c>
      <c r="J1274">
        <v>49.863288879000002</v>
      </c>
      <c r="K1274">
        <v>0</v>
      </c>
      <c r="L1274">
        <v>1200</v>
      </c>
      <c r="M1274">
        <v>1200</v>
      </c>
      <c r="N1274">
        <v>0</v>
      </c>
    </row>
    <row r="1275" spans="1:14" x14ac:dyDescent="0.25">
      <c r="A1275">
        <v>1333.4098509999999</v>
      </c>
      <c r="B1275" s="1">
        <f>DATE(2013,12,24) + TIME(9,50,11)</f>
        <v>41632.409849537034</v>
      </c>
      <c r="C1275">
        <v>1304.5494385</v>
      </c>
      <c r="D1275">
        <v>1290.9736327999999</v>
      </c>
      <c r="E1275">
        <v>1343.5566406</v>
      </c>
      <c r="F1275">
        <v>1339.7866211</v>
      </c>
      <c r="G1275">
        <v>80</v>
      </c>
      <c r="H1275">
        <v>73.619728088000002</v>
      </c>
      <c r="I1275">
        <v>50</v>
      </c>
      <c r="J1275">
        <v>49.864021301000001</v>
      </c>
      <c r="K1275">
        <v>0</v>
      </c>
      <c r="L1275">
        <v>1200</v>
      </c>
      <c r="M1275">
        <v>1200</v>
      </c>
      <c r="N1275">
        <v>0</v>
      </c>
    </row>
    <row r="1276" spans="1:14" x14ac:dyDescent="0.25">
      <c r="A1276">
        <v>1335.9501090000001</v>
      </c>
      <c r="B1276" s="1">
        <f>DATE(2013,12,26) + TIME(22,48,9)</f>
        <v>41634.950104166666</v>
      </c>
      <c r="C1276">
        <v>1304.4127197</v>
      </c>
      <c r="D1276">
        <v>1290.7854004000001</v>
      </c>
      <c r="E1276">
        <v>1343.5377197</v>
      </c>
      <c r="F1276">
        <v>1339.7698975000001</v>
      </c>
      <c r="G1276">
        <v>80</v>
      </c>
      <c r="H1276">
        <v>73.404556274000001</v>
      </c>
      <c r="I1276">
        <v>50</v>
      </c>
      <c r="J1276">
        <v>49.864711761000002</v>
      </c>
      <c r="K1276">
        <v>0</v>
      </c>
      <c r="L1276">
        <v>1200</v>
      </c>
      <c r="M1276">
        <v>1200</v>
      </c>
      <c r="N1276">
        <v>0</v>
      </c>
    </row>
    <row r="1277" spans="1:14" x14ac:dyDescent="0.25">
      <c r="A1277">
        <v>1338.5414370000001</v>
      </c>
      <c r="B1277" s="1">
        <f>DATE(2013,12,29) + TIME(12,59,40)</f>
        <v>41637.541435185187</v>
      </c>
      <c r="C1277">
        <v>1304.2696533000001</v>
      </c>
      <c r="D1277">
        <v>1290.5867920000001</v>
      </c>
      <c r="E1277">
        <v>1343.5194091999999</v>
      </c>
      <c r="F1277">
        <v>1339.7537841999999</v>
      </c>
      <c r="G1277">
        <v>80</v>
      </c>
      <c r="H1277">
        <v>73.188430785999998</v>
      </c>
      <c r="I1277">
        <v>50</v>
      </c>
      <c r="J1277">
        <v>49.865371703999998</v>
      </c>
      <c r="K1277">
        <v>0</v>
      </c>
      <c r="L1277">
        <v>1200</v>
      </c>
      <c r="M1277">
        <v>1200</v>
      </c>
      <c r="N1277">
        <v>0</v>
      </c>
    </row>
    <row r="1278" spans="1:14" x14ac:dyDescent="0.25">
      <c r="A1278">
        <v>1341</v>
      </c>
      <c r="B1278" s="1">
        <f>DATE(2014,1,1) + TIME(0,0,0)</f>
        <v>41640</v>
      </c>
      <c r="C1278">
        <v>1304.119751</v>
      </c>
      <c r="D1278">
        <v>1290.3789062000001</v>
      </c>
      <c r="E1278">
        <v>1343.5015868999999</v>
      </c>
      <c r="F1278">
        <v>1339.7380370999999</v>
      </c>
      <c r="G1278">
        <v>80</v>
      </c>
      <c r="H1278">
        <v>72.978759765999996</v>
      </c>
      <c r="I1278">
        <v>50</v>
      </c>
      <c r="J1278">
        <v>49.865962981999999</v>
      </c>
      <c r="K1278">
        <v>0</v>
      </c>
      <c r="L1278">
        <v>1200</v>
      </c>
      <c r="M1278">
        <v>1200</v>
      </c>
      <c r="N1278">
        <v>0</v>
      </c>
    </row>
    <row r="1279" spans="1:14" x14ac:dyDescent="0.25">
      <c r="A1279">
        <v>1343.630672</v>
      </c>
      <c r="B1279" s="1">
        <f>DATE(2014,1,3) + TIME(15,8,10)</f>
        <v>41642.630671296298</v>
      </c>
      <c r="C1279">
        <v>1303.9724120999999</v>
      </c>
      <c r="D1279">
        <v>1290.1700439000001</v>
      </c>
      <c r="E1279">
        <v>1343.4857178</v>
      </c>
      <c r="F1279">
        <v>1339.7242432</v>
      </c>
      <c r="G1279">
        <v>80</v>
      </c>
      <c r="H1279">
        <v>72.765243530000006</v>
      </c>
      <c r="I1279">
        <v>50</v>
      </c>
      <c r="J1279">
        <v>49.866565704000003</v>
      </c>
      <c r="K1279">
        <v>0</v>
      </c>
      <c r="L1279">
        <v>1200</v>
      </c>
      <c r="M1279">
        <v>1200</v>
      </c>
      <c r="N1279">
        <v>0</v>
      </c>
    </row>
    <row r="1280" spans="1:14" x14ac:dyDescent="0.25">
      <c r="A1280">
        <v>1346.3368419999999</v>
      </c>
      <c r="B1280" s="1">
        <f>DATE(2014,1,6) + TIME(8,5,3)</f>
        <v>41645.336840277778</v>
      </c>
      <c r="C1280">
        <v>1303.8118896000001</v>
      </c>
      <c r="D1280">
        <v>1289.9429932</v>
      </c>
      <c r="E1280">
        <v>1343.4696045000001</v>
      </c>
      <c r="F1280">
        <v>1339.7100829999999</v>
      </c>
      <c r="G1280">
        <v>80</v>
      </c>
      <c r="H1280">
        <v>72.547775268999999</v>
      </c>
      <c r="I1280">
        <v>50</v>
      </c>
      <c r="J1280">
        <v>49.867160796999997</v>
      </c>
      <c r="K1280">
        <v>0</v>
      </c>
      <c r="L1280">
        <v>1200</v>
      </c>
      <c r="M1280">
        <v>1200</v>
      </c>
      <c r="N1280">
        <v>0</v>
      </c>
    </row>
    <row r="1281" spans="1:14" x14ac:dyDescent="0.25">
      <c r="A1281">
        <v>1349.0792739999999</v>
      </c>
      <c r="B1281" s="1">
        <f>DATE(2014,1,9) + TIME(1,54,9)</f>
        <v>41648.079270833332</v>
      </c>
      <c r="C1281">
        <v>1303.6425781</v>
      </c>
      <c r="D1281">
        <v>1289.7025146000001</v>
      </c>
      <c r="E1281">
        <v>1343.4537353999999</v>
      </c>
      <c r="F1281">
        <v>1339.6962891000001</v>
      </c>
      <c r="G1281">
        <v>80</v>
      </c>
      <c r="H1281">
        <v>72.327255249000004</v>
      </c>
      <c r="I1281">
        <v>50</v>
      </c>
      <c r="J1281">
        <v>49.867740630999997</v>
      </c>
      <c r="K1281">
        <v>0</v>
      </c>
      <c r="L1281">
        <v>1200</v>
      </c>
      <c r="M1281">
        <v>1200</v>
      </c>
      <c r="N1281">
        <v>0</v>
      </c>
    </row>
    <row r="1282" spans="1:14" x14ac:dyDescent="0.25">
      <c r="A1282">
        <v>1351.8524480000001</v>
      </c>
      <c r="B1282" s="1">
        <f>DATE(2014,1,11) + TIME(20,27,31)</f>
        <v>41650.852442129632</v>
      </c>
      <c r="C1282">
        <v>1303.4664307</v>
      </c>
      <c r="D1282">
        <v>1289.4506836</v>
      </c>
      <c r="E1282">
        <v>1343.4384766000001</v>
      </c>
      <c r="F1282">
        <v>1339.6829834</v>
      </c>
      <c r="G1282">
        <v>80</v>
      </c>
      <c r="H1282">
        <v>72.104118346999996</v>
      </c>
      <c r="I1282">
        <v>50</v>
      </c>
      <c r="J1282">
        <v>49.868305206000002</v>
      </c>
      <c r="K1282">
        <v>0</v>
      </c>
      <c r="L1282">
        <v>1200</v>
      </c>
      <c r="M1282">
        <v>1200</v>
      </c>
      <c r="N1282">
        <v>0</v>
      </c>
    </row>
    <row r="1283" spans="1:14" x14ac:dyDescent="0.25">
      <c r="A1283">
        <v>1354.662108</v>
      </c>
      <c r="B1283" s="1">
        <f>DATE(2014,1,14) + TIME(15,53,26)</f>
        <v>41653.662106481483</v>
      </c>
      <c r="C1283">
        <v>1303.2839355000001</v>
      </c>
      <c r="D1283">
        <v>1289.1879882999999</v>
      </c>
      <c r="E1283">
        <v>1343.4238281</v>
      </c>
      <c r="F1283">
        <v>1339.6702881000001</v>
      </c>
      <c r="G1283">
        <v>80</v>
      </c>
      <c r="H1283">
        <v>71.878112793</v>
      </c>
      <c r="I1283">
        <v>50</v>
      </c>
      <c r="J1283">
        <v>49.868862151999998</v>
      </c>
      <c r="K1283">
        <v>0</v>
      </c>
      <c r="L1283">
        <v>1200</v>
      </c>
      <c r="M1283">
        <v>1200</v>
      </c>
      <c r="N1283">
        <v>0</v>
      </c>
    </row>
    <row r="1284" spans="1:14" x14ac:dyDescent="0.25">
      <c r="A1284">
        <v>1357.5157389999999</v>
      </c>
      <c r="B1284" s="1">
        <f>DATE(2014,1,17) + TIME(12,22,39)</f>
        <v>41656.515729166669</v>
      </c>
      <c r="C1284">
        <v>1303.0946045000001</v>
      </c>
      <c r="D1284">
        <v>1288.9139404</v>
      </c>
      <c r="E1284">
        <v>1343.409668</v>
      </c>
      <c r="F1284">
        <v>1339.6580810999999</v>
      </c>
      <c r="G1284">
        <v>80</v>
      </c>
      <c r="H1284">
        <v>71.648559570000003</v>
      </c>
      <c r="I1284">
        <v>50</v>
      </c>
      <c r="J1284">
        <v>49.869411468999999</v>
      </c>
      <c r="K1284">
        <v>0</v>
      </c>
      <c r="L1284">
        <v>1200</v>
      </c>
      <c r="M1284">
        <v>1200</v>
      </c>
      <c r="N1284">
        <v>0</v>
      </c>
    </row>
    <row r="1285" spans="1:14" x14ac:dyDescent="0.25">
      <c r="A1285">
        <v>1360.4198140000001</v>
      </c>
      <c r="B1285" s="1">
        <f>DATE(2014,1,20) + TIME(10,4,31)</f>
        <v>41659.419803240744</v>
      </c>
      <c r="C1285">
        <v>1302.8980713000001</v>
      </c>
      <c r="D1285">
        <v>1288.6279297000001</v>
      </c>
      <c r="E1285">
        <v>1343.3959961</v>
      </c>
      <c r="F1285">
        <v>1339.6463623</v>
      </c>
      <c r="G1285">
        <v>80</v>
      </c>
      <c r="H1285">
        <v>71.414573669000006</v>
      </c>
      <c r="I1285">
        <v>50</v>
      </c>
      <c r="J1285">
        <v>49.869956969999997</v>
      </c>
      <c r="K1285">
        <v>0</v>
      </c>
      <c r="L1285">
        <v>1200</v>
      </c>
      <c r="M1285">
        <v>1200</v>
      </c>
      <c r="N1285">
        <v>0</v>
      </c>
    </row>
    <row r="1286" spans="1:14" x14ac:dyDescent="0.25">
      <c r="A1286">
        <v>1363.380846</v>
      </c>
      <c r="B1286" s="1">
        <f>DATE(2014,1,23) + TIME(9,8,25)</f>
        <v>41662.380844907406</v>
      </c>
      <c r="C1286">
        <v>1302.6939697</v>
      </c>
      <c r="D1286">
        <v>1288.3289795000001</v>
      </c>
      <c r="E1286">
        <v>1343.3828125</v>
      </c>
      <c r="F1286">
        <v>1339.6351318</v>
      </c>
      <c r="G1286">
        <v>80</v>
      </c>
      <c r="H1286">
        <v>71.175178528000004</v>
      </c>
      <c r="I1286">
        <v>50</v>
      </c>
      <c r="J1286">
        <v>49.870498656999999</v>
      </c>
      <c r="K1286">
        <v>0</v>
      </c>
      <c r="L1286">
        <v>1200</v>
      </c>
      <c r="M1286">
        <v>1200</v>
      </c>
      <c r="N1286">
        <v>0</v>
      </c>
    </row>
    <row r="1287" spans="1:14" x14ac:dyDescent="0.25">
      <c r="A1287">
        <v>1366.3866680000001</v>
      </c>
      <c r="B1287" s="1">
        <f>DATE(2014,1,26) + TIME(9,16,48)</f>
        <v>41665.386666666665</v>
      </c>
      <c r="C1287">
        <v>1302.4815673999999</v>
      </c>
      <c r="D1287">
        <v>1288.0168457</v>
      </c>
      <c r="E1287">
        <v>1343.3699951000001</v>
      </c>
      <c r="F1287">
        <v>1339.6241454999999</v>
      </c>
      <c r="G1287">
        <v>80</v>
      </c>
      <c r="H1287">
        <v>70.930007935000006</v>
      </c>
      <c r="I1287">
        <v>50</v>
      </c>
      <c r="J1287">
        <v>49.871036529999998</v>
      </c>
      <c r="K1287">
        <v>0</v>
      </c>
      <c r="L1287">
        <v>1200</v>
      </c>
      <c r="M1287">
        <v>1200</v>
      </c>
      <c r="N1287">
        <v>0</v>
      </c>
    </row>
    <row r="1288" spans="1:14" x14ac:dyDescent="0.25">
      <c r="A1288">
        <v>1369.4274230000001</v>
      </c>
      <c r="B1288" s="1">
        <f>DATE(2014,1,29) + TIME(10,15,29)</f>
        <v>41668.427418981482</v>
      </c>
      <c r="C1288">
        <v>1302.2619629000001</v>
      </c>
      <c r="D1288">
        <v>1287.6921387</v>
      </c>
      <c r="E1288">
        <v>1343.3575439000001</v>
      </c>
      <c r="F1288">
        <v>1339.6135254000001</v>
      </c>
      <c r="G1288">
        <v>80</v>
      </c>
      <c r="H1288">
        <v>70.679016113000003</v>
      </c>
      <c r="I1288">
        <v>50</v>
      </c>
      <c r="J1288">
        <v>49.871566772000001</v>
      </c>
      <c r="K1288">
        <v>0</v>
      </c>
      <c r="L1288">
        <v>1200</v>
      </c>
      <c r="M1288">
        <v>1200</v>
      </c>
      <c r="N1288">
        <v>0</v>
      </c>
    </row>
    <row r="1289" spans="1:14" x14ac:dyDescent="0.25">
      <c r="A1289">
        <v>1372</v>
      </c>
      <c r="B1289" s="1">
        <f>DATE(2014,2,1) + TIME(0,0,0)</f>
        <v>41671</v>
      </c>
      <c r="C1289">
        <v>1302.0375977000001</v>
      </c>
      <c r="D1289">
        <v>1287.3641356999999</v>
      </c>
      <c r="E1289">
        <v>1343.3450928</v>
      </c>
      <c r="F1289">
        <v>1339.6030272999999</v>
      </c>
      <c r="G1289">
        <v>80</v>
      </c>
      <c r="H1289">
        <v>70.443222046000002</v>
      </c>
      <c r="I1289">
        <v>50</v>
      </c>
      <c r="J1289">
        <v>49.871997833000002</v>
      </c>
      <c r="K1289">
        <v>0</v>
      </c>
      <c r="L1289">
        <v>1200</v>
      </c>
      <c r="M1289">
        <v>1200</v>
      </c>
      <c r="N1289">
        <v>0</v>
      </c>
    </row>
    <row r="1290" spans="1:14" x14ac:dyDescent="0.25">
      <c r="A1290">
        <v>1375.082905</v>
      </c>
      <c r="B1290" s="1">
        <f>DATE(2014,2,4) + TIME(1,59,23)</f>
        <v>41674.082905092589</v>
      </c>
      <c r="C1290">
        <v>1301.8376464999999</v>
      </c>
      <c r="D1290">
        <v>1287.0570068</v>
      </c>
      <c r="E1290">
        <v>1343.3359375</v>
      </c>
      <c r="F1290">
        <v>1339.5953368999999</v>
      </c>
      <c r="G1290">
        <v>80</v>
      </c>
      <c r="H1290">
        <v>70.192626953000001</v>
      </c>
      <c r="I1290">
        <v>50</v>
      </c>
      <c r="J1290">
        <v>49.872520446999999</v>
      </c>
      <c r="K1290">
        <v>0</v>
      </c>
      <c r="L1290">
        <v>1200</v>
      </c>
      <c r="M1290">
        <v>1200</v>
      </c>
      <c r="N1290">
        <v>0</v>
      </c>
    </row>
    <row r="1291" spans="1:14" x14ac:dyDescent="0.25">
      <c r="A1291">
        <v>1378.2623160000001</v>
      </c>
      <c r="B1291" s="1">
        <f>DATE(2014,2,7) + TIME(6,17,44)</f>
        <v>41677.262314814812</v>
      </c>
      <c r="C1291">
        <v>1301.6024170000001</v>
      </c>
      <c r="D1291">
        <v>1286.7055664</v>
      </c>
      <c r="E1291">
        <v>1343.3248291</v>
      </c>
      <c r="F1291">
        <v>1339.5860596</v>
      </c>
      <c r="G1291">
        <v>80</v>
      </c>
      <c r="H1291">
        <v>69.927360535000005</v>
      </c>
      <c r="I1291">
        <v>50</v>
      </c>
      <c r="J1291">
        <v>49.873043060000001</v>
      </c>
      <c r="K1291">
        <v>0</v>
      </c>
      <c r="L1291">
        <v>1200</v>
      </c>
      <c r="M1291">
        <v>1200</v>
      </c>
      <c r="N1291">
        <v>0</v>
      </c>
    </row>
    <row r="1292" spans="1:14" x14ac:dyDescent="0.25">
      <c r="A1292">
        <v>1381.4911360000001</v>
      </c>
      <c r="B1292" s="1">
        <f>DATE(2014,2,10) + TIME(11,47,14)</f>
        <v>41680.49113425926</v>
      </c>
      <c r="C1292">
        <v>1301.355957</v>
      </c>
      <c r="D1292">
        <v>1286.3352050999999</v>
      </c>
      <c r="E1292">
        <v>1343.3137207</v>
      </c>
      <c r="F1292">
        <v>1339.5769043</v>
      </c>
      <c r="G1292">
        <v>80</v>
      </c>
      <c r="H1292">
        <v>69.649551392000006</v>
      </c>
      <c r="I1292">
        <v>50</v>
      </c>
      <c r="J1292">
        <v>49.873565673999998</v>
      </c>
      <c r="K1292">
        <v>0</v>
      </c>
      <c r="L1292">
        <v>1200</v>
      </c>
      <c r="M1292">
        <v>1200</v>
      </c>
      <c r="N1292">
        <v>0</v>
      </c>
    </row>
    <row r="1293" spans="1:14" x14ac:dyDescent="0.25">
      <c r="A1293">
        <v>1384.7523329999999</v>
      </c>
      <c r="B1293" s="1">
        <f>DATE(2014,2,13) + TIME(18,3,21)</f>
        <v>41683.752326388887</v>
      </c>
      <c r="C1293">
        <v>1301.1014404</v>
      </c>
      <c r="D1293">
        <v>1285.9506836</v>
      </c>
      <c r="E1293">
        <v>1343.3031006000001</v>
      </c>
      <c r="F1293">
        <v>1339.5681152</v>
      </c>
      <c r="G1293">
        <v>80</v>
      </c>
      <c r="H1293">
        <v>69.361183166999993</v>
      </c>
      <c r="I1293">
        <v>50</v>
      </c>
      <c r="J1293">
        <v>49.874080657999997</v>
      </c>
      <c r="K1293">
        <v>0</v>
      </c>
      <c r="L1293">
        <v>1200</v>
      </c>
      <c r="M1293">
        <v>1200</v>
      </c>
      <c r="N1293">
        <v>0</v>
      </c>
    </row>
    <row r="1294" spans="1:14" x14ac:dyDescent="0.25">
      <c r="A1294">
        <v>1388.0505020000001</v>
      </c>
      <c r="B1294" s="1">
        <f>DATE(2014,2,17) + TIME(1,12,43)</f>
        <v>41687.050497685188</v>
      </c>
      <c r="C1294">
        <v>1300.8406981999999</v>
      </c>
      <c r="D1294">
        <v>1285.5543213000001</v>
      </c>
      <c r="E1294">
        <v>1343.2928466999999</v>
      </c>
      <c r="F1294">
        <v>1339.5595702999999</v>
      </c>
      <c r="G1294">
        <v>80</v>
      </c>
      <c r="H1294">
        <v>69.062797545999999</v>
      </c>
      <c r="I1294">
        <v>50</v>
      </c>
      <c r="J1294">
        <v>49.874588013</v>
      </c>
      <c r="K1294">
        <v>0</v>
      </c>
      <c r="L1294">
        <v>1200</v>
      </c>
      <c r="M1294">
        <v>1200</v>
      </c>
      <c r="N1294">
        <v>0</v>
      </c>
    </row>
    <row r="1295" spans="1:14" x14ac:dyDescent="0.25">
      <c r="A1295">
        <v>1391.393176</v>
      </c>
      <c r="B1295" s="1">
        <f>DATE(2014,2,20) + TIME(9,26,10)</f>
        <v>41690.393171296295</v>
      </c>
      <c r="C1295">
        <v>1300.5736084</v>
      </c>
      <c r="D1295">
        <v>1285.1463623</v>
      </c>
      <c r="E1295">
        <v>1343.2829589999999</v>
      </c>
      <c r="F1295">
        <v>1339.5515137</v>
      </c>
      <c r="G1295">
        <v>80</v>
      </c>
      <c r="H1295">
        <v>68.753967285000002</v>
      </c>
      <c r="I1295">
        <v>50</v>
      </c>
      <c r="J1295">
        <v>49.875095367</v>
      </c>
      <c r="K1295">
        <v>0</v>
      </c>
      <c r="L1295">
        <v>1200</v>
      </c>
      <c r="M1295">
        <v>1200</v>
      </c>
      <c r="N1295">
        <v>0</v>
      </c>
    </row>
    <row r="1296" spans="1:14" x14ac:dyDescent="0.25">
      <c r="A1296">
        <v>1394.787734</v>
      </c>
      <c r="B1296" s="1">
        <f>DATE(2014,2,23) + TIME(18,54,20)</f>
        <v>41693.787731481483</v>
      </c>
      <c r="C1296">
        <v>1300.3000488</v>
      </c>
      <c r="D1296">
        <v>1284.7261963000001</v>
      </c>
      <c r="E1296">
        <v>1343.2733154</v>
      </c>
      <c r="F1296">
        <v>1339.5437012</v>
      </c>
      <c r="G1296">
        <v>80</v>
      </c>
      <c r="H1296">
        <v>68.433792113999999</v>
      </c>
      <c r="I1296">
        <v>50</v>
      </c>
      <c r="J1296">
        <v>49.875598906999997</v>
      </c>
      <c r="K1296">
        <v>0</v>
      </c>
      <c r="L1296">
        <v>1200</v>
      </c>
      <c r="M1296">
        <v>1200</v>
      </c>
      <c r="N1296">
        <v>0</v>
      </c>
    </row>
    <row r="1297" spans="1:14" x14ac:dyDescent="0.25">
      <c r="A1297">
        <v>1398.2413710000001</v>
      </c>
      <c r="B1297" s="1">
        <f>DATE(2014,2,27) + TIME(5,47,34)</f>
        <v>41697.241365740738</v>
      </c>
      <c r="C1297">
        <v>1300.0194091999999</v>
      </c>
      <c r="D1297">
        <v>1284.2933350000001</v>
      </c>
      <c r="E1297">
        <v>1343.2639160000001</v>
      </c>
      <c r="F1297">
        <v>1339.5361327999999</v>
      </c>
      <c r="G1297">
        <v>80</v>
      </c>
      <c r="H1297">
        <v>68.101135253999999</v>
      </c>
      <c r="I1297">
        <v>50</v>
      </c>
      <c r="J1297">
        <v>49.876102447999997</v>
      </c>
      <c r="K1297">
        <v>0</v>
      </c>
      <c r="L1297">
        <v>1200</v>
      </c>
      <c r="M1297">
        <v>1200</v>
      </c>
      <c r="N1297">
        <v>0</v>
      </c>
    </row>
    <row r="1298" spans="1:14" x14ac:dyDescent="0.25">
      <c r="A1298">
        <v>1400</v>
      </c>
      <c r="B1298" s="1">
        <f>DATE(2014,3,1) + TIME(0,0,0)</f>
        <v>41699</v>
      </c>
      <c r="C1298">
        <v>1299.7418213000001</v>
      </c>
      <c r="D1298">
        <v>1283.8913574000001</v>
      </c>
      <c r="E1298">
        <v>1343.2531738</v>
      </c>
      <c r="F1298">
        <v>1339.5272216999999</v>
      </c>
      <c r="G1298">
        <v>80</v>
      </c>
      <c r="H1298">
        <v>67.857032775999997</v>
      </c>
      <c r="I1298">
        <v>50</v>
      </c>
      <c r="J1298">
        <v>49.876338959000002</v>
      </c>
      <c r="K1298">
        <v>0</v>
      </c>
      <c r="L1298">
        <v>1200</v>
      </c>
      <c r="M1298">
        <v>1200</v>
      </c>
      <c r="N1298">
        <v>0</v>
      </c>
    </row>
    <row r="1299" spans="1:14" x14ac:dyDescent="0.25">
      <c r="A1299">
        <v>1403.519898</v>
      </c>
      <c r="B1299" s="1">
        <f>DATE(2014,3,4) + TIME(12,28,39)</f>
        <v>41702.519895833335</v>
      </c>
      <c r="C1299">
        <v>1299.5732422000001</v>
      </c>
      <c r="D1299">
        <v>1283.5900879000001</v>
      </c>
      <c r="E1299">
        <v>1343.2507324000001</v>
      </c>
      <c r="F1299">
        <v>1339.5255127</v>
      </c>
      <c r="G1299">
        <v>80</v>
      </c>
      <c r="H1299">
        <v>67.545822143999999</v>
      </c>
      <c r="I1299">
        <v>50</v>
      </c>
      <c r="J1299">
        <v>49.876846313000001</v>
      </c>
      <c r="K1299">
        <v>0</v>
      </c>
      <c r="L1299">
        <v>1200</v>
      </c>
      <c r="M1299">
        <v>1200</v>
      </c>
      <c r="N1299">
        <v>0</v>
      </c>
    </row>
    <row r="1300" spans="1:14" x14ac:dyDescent="0.25">
      <c r="A1300">
        <v>1407.1541340000001</v>
      </c>
      <c r="B1300" s="1">
        <f>DATE(2014,3,8) + TIME(3,41,57)</f>
        <v>41706.154131944444</v>
      </c>
      <c r="C1300">
        <v>1299.2823486</v>
      </c>
      <c r="D1300">
        <v>1283.1419678</v>
      </c>
      <c r="E1300">
        <v>1343.2419434000001</v>
      </c>
      <c r="F1300">
        <v>1339.5185547000001</v>
      </c>
      <c r="G1300">
        <v>80</v>
      </c>
      <c r="H1300">
        <v>67.194854735999996</v>
      </c>
      <c r="I1300">
        <v>50</v>
      </c>
      <c r="J1300">
        <v>49.877353667999998</v>
      </c>
      <c r="K1300">
        <v>0</v>
      </c>
      <c r="L1300">
        <v>1200</v>
      </c>
      <c r="M1300">
        <v>1200</v>
      </c>
      <c r="N1300">
        <v>0</v>
      </c>
    </row>
    <row r="1301" spans="1:14" x14ac:dyDescent="0.25">
      <c r="A1301">
        <v>1410.852744</v>
      </c>
      <c r="B1301" s="1">
        <f>DATE(2014,3,11) + TIME(20,27,57)</f>
        <v>41709.852743055555</v>
      </c>
      <c r="C1301">
        <v>1298.9769286999999</v>
      </c>
      <c r="D1301">
        <v>1282.6663818</v>
      </c>
      <c r="E1301">
        <v>1343.2332764</v>
      </c>
      <c r="F1301">
        <v>1339.5117187999999</v>
      </c>
      <c r="G1301">
        <v>80</v>
      </c>
      <c r="H1301">
        <v>66.816551208000007</v>
      </c>
      <c r="I1301">
        <v>50</v>
      </c>
      <c r="J1301">
        <v>49.877853393999999</v>
      </c>
      <c r="K1301">
        <v>0</v>
      </c>
      <c r="L1301">
        <v>1200</v>
      </c>
      <c r="M1301">
        <v>1200</v>
      </c>
      <c r="N1301">
        <v>0</v>
      </c>
    </row>
    <row r="1302" spans="1:14" x14ac:dyDescent="0.25">
      <c r="A1302">
        <v>1414.6126019999999</v>
      </c>
      <c r="B1302" s="1">
        <f>DATE(2014,3,15) + TIME(14,42,8)</f>
        <v>41713.612592592595</v>
      </c>
      <c r="C1302">
        <v>1298.6627197</v>
      </c>
      <c r="D1302">
        <v>1282.1728516000001</v>
      </c>
      <c r="E1302">
        <v>1343.2247314000001</v>
      </c>
      <c r="F1302">
        <v>1339.505249</v>
      </c>
      <c r="G1302">
        <v>80</v>
      </c>
      <c r="H1302">
        <v>66.417198181000003</v>
      </c>
      <c r="I1302">
        <v>50</v>
      </c>
      <c r="J1302">
        <v>49.878356934000003</v>
      </c>
      <c r="K1302">
        <v>0</v>
      </c>
      <c r="L1302">
        <v>1200</v>
      </c>
      <c r="M1302">
        <v>1200</v>
      </c>
      <c r="N1302">
        <v>0</v>
      </c>
    </row>
    <row r="1303" spans="1:14" x14ac:dyDescent="0.25">
      <c r="A1303">
        <v>1418.4418430000001</v>
      </c>
      <c r="B1303" s="1">
        <f>DATE(2014,3,19) + TIME(10,36,15)</f>
        <v>41717.441840277781</v>
      </c>
      <c r="C1303">
        <v>1298.3410644999999</v>
      </c>
      <c r="D1303">
        <v>1281.6641846</v>
      </c>
      <c r="E1303">
        <v>1343.2165527</v>
      </c>
      <c r="F1303">
        <v>1339.4989014</v>
      </c>
      <c r="G1303">
        <v>80</v>
      </c>
      <c r="H1303">
        <v>65.998878478999998</v>
      </c>
      <c r="I1303">
        <v>50</v>
      </c>
      <c r="J1303">
        <v>49.878852844000001</v>
      </c>
      <c r="K1303">
        <v>0</v>
      </c>
      <c r="L1303">
        <v>1200</v>
      </c>
      <c r="M1303">
        <v>1200</v>
      </c>
      <c r="N1303">
        <v>0</v>
      </c>
    </row>
    <row r="1304" spans="1:14" x14ac:dyDescent="0.25">
      <c r="A1304">
        <v>1422.3484860000001</v>
      </c>
      <c r="B1304" s="1">
        <f>DATE(2014,3,23) + TIME(8,21,49)</f>
        <v>41721.348483796297</v>
      </c>
      <c r="C1304">
        <v>1298.012207</v>
      </c>
      <c r="D1304">
        <v>1281.1411132999999</v>
      </c>
      <c r="E1304">
        <v>1343.2086182</v>
      </c>
      <c r="F1304">
        <v>1339.4927978999999</v>
      </c>
      <c r="G1304">
        <v>80</v>
      </c>
      <c r="H1304">
        <v>65.561630249000004</v>
      </c>
      <c r="I1304">
        <v>50</v>
      </c>
      <c r="J1304">
        <v>49.879352570000002</v>
      </c>
      <c r="K1304">
        <v>0</v>
      </c>
      <c r="L1304">
        <v>1200</v>
      </c>
      <c r="M1304">
        <v>1200</v>
      </c>
      <c r="N1304">
        <v>0</v>
      </c>
    </row>
    <row r="1305" spans="1:14" x14ac:dyDescent="0.25">
      <c r="A1305">
        <v>1426.3179689999999</v>
      </c>
      <c r="B1305" s="1">
        <f>DATE(2014,3,27) + TIME(7,37,52)</f>
        <v>41725.317962962959</v>
      </c>
      <c r="C1305">
        <v>1297.6757812000001</v>
      </c>
      <c r="D1305">
        <v>1280.6037598</v>
      </c>
      <c r="E1305">
        <v>1343.2008057</v>
      </c>
      <c r="F1305">
        <v>1339.4868164</v>
      </c>
      <c r="G1305">
        <v>80</v>
      </c>
      <c r="H1305">
        <v>65.105651855000005</v>
      </c>
      <c r="I1305">
        <v>50</v>
      </c>
      <c r="J1305">
        <v>49.879844665999997</v>
      </c>
      <c r="K1305">
        <v>0</v>
      </c>
      <c r="L1305">
        <v>1200</v>
      </c>
      <c r="M1305">
        <v>1200</v>
      </c>
      <c r="N1305">
        <v>0</v>
      </c>
    </row>
    <row r="1306" spans="1:14" x14ac:dyDescent="0.25">
      <c r="A1306">
        <v>1430.344188</v>
      </c>
      <c r="B1306" s="1">
        <f>DATE(2014,3,31) + TIME(8,15,37)</f>
        <v>41729.344178240739</v>
      </c>
      <c r="C1306">
        <v>1297.3334961</v>
      </c>
      <c r="D1306">
        <v>1280.0539550999999</v>
      </c>
      <c r="E1306">
        <v>1343.1931152</v>
      </c>
      <c r="F1306">
        <v>1339.4810791</v>
      </c>
      <c r="G1306">
        <v>80</v>
      </c>
      <c r="H1306">
        <v>64.631698607999994</v>
      </c>
      <c r="I1306">
        <v>50</v>
      </c>
      <c r="J1306">
        <v>49.880336761000002</v>
      </c>
      <c r="K1306">
        <v>0</v>
      </c>
      <c r="L1306">
        <v>1200</v>
      </c>
      <c r="M1306">
        <v>1200</v>
      </c>
      <c r="N1306">
        <v>0</v>
      </c>
    </row>
    <row r="1307" spans="1:14" x14ac:dyDescent="0.25">
      <c r="A1307">
        <v>1431</v>
      </c>
      <c r="B1307" s="1">
        <f>DATE(2014,4,1) + TIME(0,0,0)</f>
        <v>41730</v>
      </c>
      <c r="C1307">
        <v>1297.0108643000001</v>
      </c>
      <c r="D1307">
        <v>1279.6282959</v>
      </c>
      <c r="E1307">
        <v>1343.1823730000001</v>
      </c>
      <c r="F1307">
        <v>1339.4722899999999</v>
      </c>
      <c r="G1307">
        <v>80</v>
      </c>
      <c r="H1307">
        <v>64.464660644999995</v>
      </c>
      <c r="I1307">
        <v>50</v>
      </c>
      <c r="J1307">
        <v>49.880405426000003</v>
      </c>
      <c r="K1307">
        <v>0</v>
      </c>
      <c r="L1307">
        <v>1200</v>
      </c>
      <c r="M1307">
        <v>1200</v>
      </c>
      <c r="N1307">
        <v>0</v>
      </c>
    </row>
    <row r="1308" spans="1:14" x14ac:dyDescent="0.25">
      <c r="A1308">
        <v>1435.093621</v>
      </c>
      <c r="B1308" s="1">
        <f>DATE(2014,4,5) + TIME(2,14,48)</f>
        <v>41734.093611111108</v>
      </c>
      <c r="C1308">
        <v>1296.9199219</v>
      </c>
      <c r="D1308">
        <v>1279.3730469</v>
      </c>
      <c r="E1308">
        <v>1343.1846923999999</v>
      </c>
      <c r="F1308">
        <v>1339.4748535000001</v>
      </c>
      <c r="G1308">
        <v>80</v>
      </c>
      <c r="H1308">
        <v>64.025642395000006</v>
      </c>
      <c r="I1308">
        <v>50</v>
      </c>
      <c r="J1308">
        <v>49.880897521999998</v>
      </c>
      <c r="K1308">
        <v>0</v>
      </c>
      <c r="L1308">
        <v>1200</v>
      </c>
      <c r="M1308">
        <v>1200</v>
      </c>
      <c r="N1308">
        <v>0</v>
      </c>
    </row>
    <row r="1309" spans="1:14" x14ac:dyDescent="0.25">
      <c r="A1309">
        <v>1439.347747</v>
      </c>
      <c r="B1309" s="1">
        <f>DATE(2014,4,9) + TIME(8,20,45)</f>
        <v>41738.347743055558</v>
      </c>
      <c r="C1309">
        <v>1296.572876</v>
      </c>
      <c r="D1309">
        <v>1278.8156738</v>
      </c>
      <c r="E1309">
        <v>1343.1773682</v>
      </c>
      <c r="F1309">
        <v>1339.4694824000001</v>
      </c>
      <c r="G1309">
        <v>80</v>
      </c>
      <c r="H1309">
        <v>63.529918670999997</v>
      </c>
      <c r="I1309">
        <v>50</v>
      </c>
      <c r="J1309">
        <v>49.881397247000002</v>
      </c>
      <c r="K1309">
        <v>0</v>
      </c>
      <c r="L1309">
        <v>1200</v>
      </c>
      <c r="M1309">
        <v>1200</v>
      </c>
      <c r="N1309">
        <v>0</v>
      </c>
    </row>
    <row r="1310" spans="1:14" x14ac:dyDescent="0.25">
      <c r="A1310">
        <v>1443.687171</v>
      </c>
      <c r="B1310" s="1">
        <f>DATE(2014,4,13) + TIME(16,29,31)</f>
        <v>41742.687164351853</v>
      </c>
      <c r="C1310">
        <v>1296.2103271000001</v>
      </c>
      <c r="D1310">
        <v>1278.2269286999999</v>
      </c>
      <c r="E1310">
        <v>1343.1700439000001</v>
      </c>
      <c r="F1310">
        <v>1339.4642334</v>
      </c>
      <c r="G1310">
        <v>80</v>
      </c>
      <c r="H1310">
        <v>62.997013092000003</v>
      </c>
      <c r="I1310">
        <v>50</v>
      </c>
      <c r="J1310">
        <v>49.881893157999997</v>
      </c>
      <c r="K1310">
        <v>0</v>
      </c>
      <c r="L1310">
        <v>1200</v>
      </c>
      <c r="M1310">
        <v>1200</v>
      </c>
      <c r="N1310">
        <v>0</v>
      </c>
    </row>
    <row r="1311" spans="1:14" x14ac:dyDescent="0.25">
      <c r="A1311">
        <v>1448.1131869999999</v>
      </c>
      <c r="B1311" s="1">
        <f>DATE(2014,4,18) + TIME(2,42,59)</f>
        <v>41747.113182870373</v>
      </c>
      <c r="C1311">
        <v>1295.8398437999999</v>
      </c>
      <c r="D1311">
        <v>1277.6196289</v>
      </c>
      <c r="E1311">
        <v>1343.1629639</v>
      </c>
      <c r="F1311">
        <v>1339.4591064000001</v>
      </c>
      <c r="G1311">
        <v>80</v>
      </c>
      <c r="H1311">
        <v>62.437210082999997</v>
      </c>
      <c r="I1311">
        <v>50</v>
      </c>
      <c r="J1311">
        <v>49.882389068999998</v>
      </c>
      <c r="K1311">
        <v>0</v>
      </c>
      <c r="L1311">
        <v>1200</v>
      </c>
      <c r="M1311">
        <v>1200</v>
      </c>
      <c r="N1311">
        <v>0</v>
      </c>
    </row>
    <row r="1312" spans="1:14" x14ac:dyDescent="0.25">
      <c r="A1312">
        <v>1452.620355</v>
      </c>
      <c r="B1312" s="1">
        <f>DATE(2014,4,22) + TIME(14,53,18)</f>
        <v>41751.620347222219</v>
      </c>
      <c r="C1312">
        <v>1295.4631348</v>
      </c>
      <c r="D1312">
        <v>1276.9976807</v>
      </c>
      <c r="E1312">
        <v>1343.1558838000001</v>
      </c>
      <c r="F1312">
        <v>1339.4541016000001</v>
      </c>
      <c r="G1312">
        <v>80</v>
      </c>
      <c r="H1312">
        <v>61.854728698999999</v>
      </c>
      <c r="I1312">
        <v>50</v>
      </c>
      <c r="J1312">
        <v>49.882877350000001</v>
      </c>
      <c r="K1312">
        <v>0</v>
      </c>
      <c r="L1312">
        <v>1200</v>
      </c>
      <c r="M1312">
        <v>1200</v>
      </c>
      <c r="N1312">
        <v>0</v>
      </c>
    </row>
    <row r="1313" spans="1:14" x14ac:dyDescent="0.25">
      <c r="A1313">
        <v>1457.1963209999999</v>
      </c>
      <c r="B1313" s="1">
        <f>DATE(2014,4,27) + TIME(4,42,42)</f>
        <v>41756.196319444447</v>
      </c>
      <c r="C1313">
        <v>1295.081543</v>
      </c>
      <c r="D1313">
        <v>1276.3637695</v>
      </c>
      <c r="E1313">
        <v>1343.1490478999999</v>
      </c>
      <c r="F1313">
        <v>1339.4493408000001</v>
      </c>
      <c r="G1313">
        <v>80</v>
      </c>
      <c r="H1313">
        <v>61.252262115000001</v>
      </c>
      <c r="I1313">
        <v>50</v>
      </c>
      <c r="J1313">
        <v>49.883365630999997</v>
      </c>
      <c r="K1313">
        <v>0</v>
      </c>
      <c r="L1313">
        <v>1200</v>
      </c>
      <c r="M1313">
        <v>1200</v>
      </c>
      <c r="N1313">
        <v>0</v>
      </c>
    </row>
    <row r="1314" spans="1:14" x14ac:dyDescent="0.25">
      <c r="A1314">
        <v>1461</v>
      </c>
      <c r="B1314" s="1">
        <f>DATE(2014,5,1) + TIME(0,0,0)</f>
        <v>41760</v>
      </c>
      <c r="C1314">
        <v>1294.6992187999999</v>
      </c>
      <c r="D1314">
        <v>1275.7385254000001</v>
      </c>
      <c r="E1314">
        <v>1343.1418457</v>
      </c>
      <c r="F1314">
        <v>1339.4442139</v>
      </c>
      <c r="G1314">
        <v>80</v>
      </c>
      <c r="H1314">
        <v>60.674953461000001</v>
      </c>
      <c r="I1314">
        <v>50</v>
      </c>
      <c r="J1314">
        <v>49.88375473</v>
      </c>
      <c r="K1314">
        <v>0</v>
      </c>
      <c r="L1314">
        <v>1200</v>
      </c>
      <c r="M1314">
        <v>1200</v>
      </c>
      <c r="N1314">
        <v>0</v>
      </c>
    </row>
    <row r="1315" spans="1:14" x14ac:dyDescent="0.25">
      <c r="A1315">
        <v>1461.0000010000001</v>
      </c>
      <c r="B1315" s="1">
        <f>DATE(2014,5,1) + TIME(0,0,0)</f>
        <v>41760</v>
      </c>
      <c r="C1315">
        <v>1314.6953125</v>
      </c>
      <c r="D1315">
        <v>1295.0222168</v>
      </c>
      <c r="E1315">
        <v>1339.1629639</v>
      </c>
      <c r="F1315">
        <v>1336.182251</v>
      </c>
      <c r="G1315">
        <v>80</v>
      </c>
      <c r="H1315">
        <v>60.675006865999997</v>
      </c>
      <c r="I1315">
        <v>50</v>
      </c>
      <c r="J1315">
        <v>49.883720398000001</v>
      </c>
      <c r="K1315">
        <v>1200</v>
      </c>
      <c r="L1315">
        <v>0</v>
      </c>
      <c r="M1315">
        <v>0</v>
      </c>
      <c r="N1315">
        <v>1200</v>
      </c>
    </row>
    <row r="1316" spans="1:14" x14ac:dyDescent="0.25">
      <c r="A1316">
        <v>1461.000004</v>
      </c>
      <c r="B1316" s="1">
        <f>DATE(2014,5,1) + TIME(0,0,0)</f>
        <v>41760</v>
      </c>
      <c r="C1316">
        <v>1315.5229492000001</v>
      </c>
      <c r="D1316">
        <v>1295.932251</v>
      </c>
      <c r="E1316">
        <v>1338.4017334</v>
      </c>
      <c r="F1316">
        <v>1335.4201660000001</v>
      </c>
      <c r="G1316">
        <v>80</v>
      </c>
      <c r="H1316">
        <v>60.675151825</v>
      </c>
      <c r="I1316">
        <v>50</v>
      </c>
      <c r="J1316">
        <v>49.883621216000002</v>
      </c>
      <c r="K1316">
        <v>1200</v>
      </c>
      <c r="L1316">
        <v>0</v>
      </c>
      <c r="M1316">
        <v>0</v>
      </c>
      <c r="N1316">
        <v>1200</v>
      </c>
    </row>
    <row r="1317" spans="1:14" x14ac:dyDescent="0.25">
      <c r="A1317">
        <v>1461.0000130000001</v>
      </c>
      <c r="B1317" s="1">
        <f>DATE(2014,5,1) + TIME(0,0,1)</f>
        <v>41760.000011574077</v>
      </c>
      <c r="C1317">
        <v>1317.6621094</v>
      </c>
      <c r="D1317">
        <v>1298.2469481999999</v>
      </c>
      <c r="E1317">
        <v>1336.6489257999999</v>
      </c>
      <c r="F1317">
        <v>1333.6662598</v>
      </c>
      <c r="G1317">
        <v>80</v>
      </c>
      <c r="H1317">
        <v>60.675529480000002</v>
      </c>
      <c r="I1317">
        <v>50</v>
      </c>
      <c r="J1317">
        <v>49.883399963000002</v>
      </c>
      <c r="K1317">
        <v>1200</v>
      </c>
      <c r="L1317">
        <v>0</v>
      </c>
      <c r="M1317">
        <v>0</v>
      </c>
      <c r="N1317">
        <v>1200</v>
      </c>
    </row>
    <row r="1318" spans="1:14" x14ac:dyDescent="0.25">
      <c r="A1318">
        <v>1461.0000399999999</v>
      </c>
      <c r="B1318" s="1">
        <f>DATE(2014,5,1) + TIME(0,0,3)</f>
        <v>41760.000034722223</v>
      </c>
      <c r="C1318">
        <v>1322.2427978999999</v>
      </c>
      <c r="D1318">
        <v>1303.0617675999999</v>
      </c>
      <c r="E1318">
        <v>1333.6772461</v>
      </c>
      <c r="F1318">
        <v>1330.6948242000001</v>
      </c>
      <c r="G1318">
        <v>80</v>
      </c>
      <c r="H1318">
        <v>60.676387787000003</v>
      </c>
      <c r="I1318">
        <v>50</v>
      </c>
      <c r="J1318">
        <v>49.883026123</v>
      </c>
      <c r="K1318">
        <v>1200</v>
      </c>
      <c r="L1318">
        <v>0</v>
      </c>
      <c r="M1318">
        <v>0</v>
      </c>
      <c r="N1318">
        <v>1200</v>
      </c>
    </row>
    <row r="1319" spans="1:14" x14ac:dyDescent="0.25">
      <c r="A1319">
        <v>1461.000121</v>
      </c>
      <c r="B1319" s="1">
        <f>DATE(2014,5,1) + TIME(0,0,10)</f>
        <v>41760.000115740739</v>
      </c>
      <c r="C1319">
        <v>1329.7003173999999</v>
      </c>
      <c r="D1319">
        <v>1310.6448975000001</v>
      </c>
      <c r="E1319">
        <v>1330.2292480000001</v>
      </c>
      <c r="F1319">
        <v>1327.2529297000001</v>
      </c>
      <c r="G1319">
        <v>80</v>
      </c>
      <c r="H1319">
        <v>60.678062439000001</v>
      </c>
      <c r="I1319">
        <v>50</v>
      </c>
      <c r="J1319">
        <v>49.882579802999999</v>
      </c>
      <c r="K1319">
        <v>1200</v>
      </c>
      <c r="L1319">
        <v>0</v>
      </c>
      <c r="M1319">
        <v>0</v>
      </c>
      <c r="N1319">
        <v>1200</v>
      </c>
    </row>
    <row r="1320" spans="1:14" x14ac:dyDescent="0.25">
      <c r="A1320">
        <v>1461.000364</v>
      </c>
      <c r="B1320" s="1">
        <f>DATE(2014,5,1) + TIME(0,0,31)</f>
        <v>41760.000358796293</v>
      </c>
      <c r="C1320">
        <v>1339.1719971</v>
      </c>
      <c r="D1320">
        <v>1320.0772704999999</v>
      </c>
      <c r="E1320">
        <v>1327.0539550999999</v>
      </c>
      <c r="F1320">
        <v>1324.0797118999999</v>
      </c>
      <c r="G1320">
        <v>80</v>
      </c>
      <c r="H1320">
        <v>60.68132782</v>
      </c>
      <c r="I1320">
        <v>50</v>
      </c>
      <c r="J1320">
        <v>49.882133484000001</v>
      </c>
      <c r="K1320">
        <v>1200</v>
      </c>
      <c r="L1320">
        <v>0</v>
      </c>
      <c r="M1320">
        <v>0</v>
      </c>
      <c r="N1320">
        <v>1200</v>
      </c>
    </row>
    <row r="1321" spans="1:14" x14ac:dyDescent="0.25">
      <c r="A1321">
        <v>1461.0010930000001</v>
      </c>
      <c r="B1321" s="1">
        <f>DATE(2014,5,1) + TIME(0,1,34)</f>
        <v>41760.001087962963</v>
      </c>
      <c r="C1321">
        <v>1349.7424315999999</v>
      </c>
      <c r="D1321">
        <v>1330.5162353999999</v>
      </c>
      <c r="E1321">
        <v>1323.9993896000001</v>
      </c>
      <c r="F1321">
        <v>1321.0123291</v>
      </c>
      <c r="G1321">
        <v>80</v>
      </c>
      <c r="H1321">
        <v>60.688808440999999</v>
      </c>
      <c r="I1321">
        <v>50</v>
      </c>
      <c r="J1321">
        <v>49.881603241000001</v>
      </c>
      <c r="K1321">
        <v>1200</v>
      </c>
      <c r="L1321">
        <v>0</v>
      </c>
      <c r="M1321">
        <v>0</v>
      </c>
      <c r="N1321">
        <v>1200</v>
      </c>
    </row>
    <row r="1322" spans="1:14" x14ac:dyDescent="0.25">
      <c r="A1322">
        <v>1461.0032799999999</v>
      </c>
      <c r="B1322" s="1">
        <f>DATE(2014,5,1) + TIME(0,4,43)</f>
        <v>41760.003275462965</v>
      </c>
      <c r="C1322">
        <v>1361.0895995999999</v>
      </c>
      <c r="D1322">
        <v>1341.6716309000001</v>
      </c>
      <c r="E1322">
        <v>1320.8511963000001</v>
      </c>
      <c r="F1322">
        <v>1317.8326416</v>
      </c>
      <c r="G1322">
        <v>80</v>
      </c>
      <c r="H1322">
        <v>60.708759307999998</v>
      </c>
      <c r="I1322">
        <v>50</v>
      </c>
      <c r="J1322">
        <v>49.880756378000001</v>
      </c>
      <c r="K1322">
        <v>1200</v>
      </c>
      <c r="L1322">
        <v>0</v>
      </c>
      <c r="M1322">
        <v>0</v>
      </c>
      <c r="N1322">
        <v>1200</v>
      </c>
    </row>
    <row r="1323" spans="1:14" x14ac:dyDescent="0.25">
      <c r="A1323">
        <v>1461.0098410000001</v>
      </c>
      <c r="B1323" s="1">
        <f>DATE(2014,5,1) + TIME(0,14,10)</f>
        <v>41760.009837962964</v>
      </c>
      <c r="C1323">
        <v>1372.0906981999999</v>
      </c>
      <c r="D1323">
        <v>1352.4614257999999</v>
      </c>
      <c r="E1323">
        <v>1318.6000977000001</v>
      </c>
      <c r="F1323">
        <v>1315.5413818</v>
      </c>
      <c r="G1323">
        <v>80</v>
      </c>
      <c r="H1323">
        <v>60.766101837000001</v>
      </c>
      <c r="I1323">
        <v>50</v>
      </c>
      <c r="J1323">
        <v>49.879104613999999</v>
      </c>
      <c r="K1323">
        <v>1200</v>
      </c>
      <c r="L1323">
        <v>0</v>
      </c>
      <c r="M1323">
        <v>0</v>
      </c>
      <c r="N1323">
        <v>1200</v>
      </c>
    </row>
    <row r="1324" spans="1:14" x14ac:dyDescent="0.25">
      <c r="A1324">
        <v>1461.029524</v>
      </c>
      <c r="B1324" s="1">
        <f>DATE(2014,5,1) + TIME(0,42,30)</f>
        <v>41760.029513888891</v>
      </c>
      <c r="C1324">
        <v>1380.3262939000001</v>
      </c>
      <c r="D1324">
        <v>1360.5930175999999</v>
      </c>
      <c r="E1324">
        <v>1318.7546387</v>
      </c>
      <c r="F1324">
        <v>1315.6750488</v>
      </c>
      <c r="G1324">
        <v>80</v>
      </c>
      <c r="H1324">
        <v>60.934741973999998</v>
      </c>
      <c r="I1324">
        <v>50</v>
      </c>
      <c r="J1324">
        <v>49.875030518000003</v>
      </c>
      <c r="K1324">
        <v>1200</v>
      </c>
      <c r="L1324">
        <v>0</v>
      </c>
      <c r="M1324">
        <v>0</v>
      </c>
      <c r="N1324">
        <v>1200</v>
      </c>
    </row>
    <row r="1325" spans="1:14" x14ac:dyDescent="0.25">
      <c r="A1325">
        <v>1461.088573</v>
      </c>
      <c r="B1325" s="1">
        <f>DATE(2014,5,1) + TIME(2,7,32)</f>
        <v>41760.088564814818</v>
      </c>
      <c r="C1325">
        <v>1384.9426269999999</v>
      </c>
      <c r="D1325">
        <v>1365.3026123</v>
      </c>
      <c r="E1325">
        <v>1320.5714111</v>
      </c>
      <c r="F1325">
        <v>1317.4886475000001</v>
      </c>
      <c r="G1325">
        <v>80</v>
      </c>
      <c r="H1325">
        <v>61.426193237</v>
      </c>
      <c r="I1325">
        <v>50</v>
      </c>
      <c r="J1325">
        <v>49.863193512000002</v>
      </c>
      <c r="K1325">
        <v>1200</v>
      </c>
      <c r="L1325">
        <v>0</v>
      </c>
      <c r="M1325">
        <v>0</v>
      </c>
      <c r="N1325">
        <v>1200</v>
      </c>
    </row>
    <row r="1326" spans="1:14" x14ac:dyDescent="0.25">
      <c r="A1326">
        <v>1461.173612</v>
      </c>
      <c r="B1326" s="1">
        <f>DATE(2014,5,1) + TIME(4,10,0)</f>
        <v>41760.173611111109</v>
      </c>
      <c r="C1326">
        <v>1386.6079102000001</v>
      </c>
      <c r="D1326">
        <v>1367.1464844</v>
      </c>
      <c r="E1326">
        <v>1321.8691406</v>
      </c>
      <c r="F1326">
        <v>1318.7862548999999</v>
      </c>
      <c r="G1326">
        <v>80</v>
      </c>
      <c r="H1326">
        <v>62.107738495</v>
      </c>
      <c r="I1326">
        <v>50</v>
      </c>
      <c r="J1326">
        <v>49.846305846999996</v>
      </c>
      <c r="K1326">
        <v>1200</v>
      </c>
      <c r="L1326">
        <v>0</v>
      </c>
      <c r="M1326">
        <v>0</v>
      </c>
      <c r="N1326">
        <v>1200</v>
      </c>
    </row>
    <row r="1327" spans="1:14" x14ac:dyDescent="0.25">
      <c r="A1327">
        <v>1461.2606290000001</v>
      </c>
      <c r="B1327" s="1">
        <f>DATE(2014,5,1) + TIME(6,15,18)</f>
        <v>41760.260625000003</v>
      </c>
      <c r="C1327">
        <v>1387.1958007999999</v>
      </c>
      <c r="D1327">
        <v>1367.9042969</v>
      </c>
      <c r="E1327">
        <v>1322.5383300999999</v>
      </c>
      <c r="F1327">
        <v>1319.4553223</v>
      </c>
      <c r="G1327">
        <v>80</v>
      </c>
      <c r="H1327">
        <v>62.779338836999997</v>
      </c>
      <c r="I1327">
        <v>50</v>
      </c>
      <c r="J1327">
        <v>49.829174041999998</v>
      </c>
      <c r="K1327">
        <v>1200</v>
      </c>
      <c r="L1327">
        <v>0</v>
      </c>
      <c r="M1327">
        <v>0</v>
      </c>
      <c r="N1327">
        <v>1200</v>
      </c>
    </row>
    <row r="1328" spans="1:14" x14ac:dyDescent="0.25">
      <c r="A1328">
        <v>1461.3496660000001</v>
      </c>
      <c r="B1328" s="1">
        <f>DATE(2014,5,1) + TIME(8,23,31)</f>
        <v>41760.349664351852</v>
      </c>
      <c r="C1328">
        <v>1387.3836670000001</v>
      </c>
      <c r="D1328">
        <v>1368.2575684000001</v>
      </c>
      <c r="E1328">
        <v>1322.8986815999999</v>
      </c>
      <c r="F1328">
        <v>1319.8153076000001</v>
      </c>
      <c r="G1328">
        <v>80</v>
      </c>
      <c r="H1328">
        <v>63.440532683999997</v>
      </c>
      <c r="I1328">
        <v>50</v>
      </c>
      <c r="J1328">
        <v>49.811832428000002</v>
      </c>
      <c r="K1328">
        <v>1200</v>
      </c>
      <c r="L1328">
        <v>0</v>
      </c>
      <c r="M1328">
        <v>0</v>
      </c>
      <c r="N1328">
        <v>1200</v>
      </c>
    </row>
    <row r="1329" spans="1:14" x14ac:dyDescent="0.25">
      <c r="A1329">
        <v>1461.440832</v>
      </c>
      <c r="B1329" s="1">
        <f>DATE(2014,5,1) + TIME(10,34,47)</f>
        <v>41760.440821759257</v>
      </c>
      <c r="C1329">
        <v>1387.3835449000001</v>
      </c>
      <c r="D1329">
        <v>1368.4173584</v>
      </c>
      <c r="E1329">
        <v>1323.0953368999999</v>
      </c>
      <c r="F1329">
        <v>1320.0114745999999</v>
      </c>
      <c r="G1329">
        <v>80</v>
      </c>
      <c r="H1329">
        <v>64.091308593999997</v>
      </c>
      <c r="I1329">
        <v>50</v>
      </c>
      <c r="J1329">
        <v>49.794288635000001</v>
      </c>
      <c r="K1329">
        <v>1200</v>
      </c>
      <c r="L1329">
        <v>0</v>
      </c>
      <c r="M1329">
        <v>0</v>
      </c>
      <c r="N1329">
        <v>1200</v>
      </c>
    </row>
    <row r="1330" spans="1:14" x14ac:dyDescent="0.25">
      <c r="A1330">
        <v>1461.5342419999999</v>
      </c>
      <c r="B1330" s="1">
        <f>DATE(2014,5,1) + TIME(12,49,18)</f>
        <v>41760.534236111111</v>
      </c>
      <c r="C1330">
        <v>1387.2869873</v>
      </c>
      <c r="D1330">
        <v>1368.4753418</v>
      </c>
      <c r="E1330">
        <v>1323.2023925999999</v>
      </c>
      <c r="F1330">
        <v>1320.1180420000001</v>
      </c>
      <c r="G1330">
        <v>80</v>
      </c>
      <c r="H1330">
        <v>64.731636046999995</v>
      </c>
      <c r="I1330">
        <v>50</v>
      </c>
      <c r="J1330">
        <v>49.776535033999998</v>
      </c>
      <c r="K1330">
        <v>1200</v>
      </c>
      <c r="L1330">
        <v>0</v>
      </c>
      <c r="M1330">
        <v>0</v>
      </c>
      <c r="N1330">
        <v>1200</v>
      </c>
    </row>
    <row r="1331" spans="1:14" x14ac:dyDescent="0.25">
      <c r="A1331">
        <v>1461.6300289999999</v>
      </c>
      <c r="B1331" s="1">
        <f>DATE(2014,5,1) + TIME(15,7,14)</f>
        <v>41760.630023148151</v>
      </c>
      <c r="C1331">
        <v>1387.1409911999999</v>
      </c>
      <c r="D1331">
        <v>1368.4787598</v>
      </c>
      <c r="E1331">
        <v>1323.2601318</v>
      </c>
      <c r="F1331">
        <v>1320.1754149999999</v>
      </c>
      <c r="G1331">
        <v>80</v>
      </c>
      <c r="H1331">
        <v>65.361572265999996</v>
      </c>
      <c r="I1331">
        <v>50</v>
      </c>
      <c r="J1331">
        <v>49.758563995000003</v>
      </c>
      <c r="K1331">
        <v>1200</v>
      </c>
      <c r="L1331">
        <v>0</v>
      </c>
      <c r="M1331">
        <v>0</v>
      </c>
      <c r="N1331">
        <v>1200</v>
      </c>
    </row>
    <row r="1332" spans="1:14" x14ac:dyDescent="0.25">
      <c r="A1332">
        <v>1461.728331</v>
      </c>
      <c r="B1332" s="1">
        <f>DATE(2014,5,1) + TIME(17,28,47)</f>
        <v>41760.728321759256</v>
      </c>
      <c r="C1332">
        <v>1386.9708252</v>
      </c>
      <c r="D1332">
        <v>1368.4528809000001</v>
      </c>
      <c r="E1332">
        <v>1323.2908935999999</v>
      </c>
      <c r="F1332">
        <v>1320.2056885</v>
      </c>
      <c r="G1332">
        <v>80</v>
      </c>
      <c r="H1332">
        <v>65.981071471999996</v>
      </c>
      <c r="I1332">
        <v>50</v>
      </c>
      <c r="J1332">
        <v>49.740364075000002</v>
      </c>
      <c r="K1332">
        <v>1200</v>
      </c>
      <c r="L1332">
        <v>0</v>
      </c>
      <c r="M1332">
        <v>0</v>
      </c>
      <c r="N1332">
        <v>1200</v>
      </c>
    </row>
    <row r="1333" spans="1:14" x14ac:dyDescent="0.25">
      <c r="A1333">
        <v>1461.8293040000001</v>
      </c>
      <c r="B1333" s="1">
        <f>DATE(2014,5,1) + TIME(19,54,11)</f>
        <v>41760.829293981478</v>
      </c>
      <c r="C1333">
        <v>1386.7902832</v>
      </c>
      <c r="D1333">
        <v>1368.4116211</v>
      </c>
      <c r="E1333">
        <v>1323.3070068</v>
      </c>
      <c r="F1333">
        <v>1320.2213135</v>
      </c>
      <c r="G1333">
        <v>80</v>
      </c>
      <c r="H1333">
        <v>66.590034485000004</v>
      </c>
      <c r="I1333">
        <v>50</v>
      </c>
      <c r="J1333">
        <v>49.721920013000002</v>
      </c>
      <c r="K1333">
        <v>1200</v>
      </c>
      <c r="L1333">
        <v>0</v>
      </c>
      <c r="M1333">
        <v>0</v>
      </c>
      <c r="N1333">
        <v>1200</v>
      </c>
    </row>
    <row r="1334" spans="1:14" x14ac:dyDescent="0.25">
      <c r="A1334">
        <v>1461.933113</v>
      </c>
      <c r="B1334" s="1">
        <f>DATE(2014,5,1) + TIME(22,23,40)</f>
        <v>41760.93310185185</v>
      </c>
      <c r="C1334">
        <v>1386.6068115</v>
      </c>
      <c r="D1334">
        <v>1368.362793</v>
      </c>
      <c r="E1334">
        <v>1323.3151855000001</v>
      </c>
      <c r="F1334">
        <v>1320.2290039</v>
      </c>
      <c r="G1334">
        <v>80</v>
      </c>
      <c r="H1334">
        <v>67.188407897999994</v>
      </c>
      <c r="I1334">
        <v>50</v>
      </c>
      <c r="J1334">
        <v>49.703212737999998</v>
      </c>
      <c r="K1334">
        <v>1200</v>
      </c>
      <c r="L1334">
        <v>0</v>
      </c>
      <c r="M1334">
        <v>0</v>
      </c>
      <c r="N1334">
        <v>1200</v>
      </c>
    </row>
    <row r="1335" spans="1:14" x14ac:dyDescent="0.25">
      <c r="A1335">
        <v>1462.0399420000001</v>
      </c>
      <c r="B1335" s="1">
        <f>DATE(2014,5,2) + TIME(0,57,30)</f>
        <v>41761.039930555555</v>
      </c>
      <c r="C1335">
        <v>1386.4243164</v>
      </c>
      <c r="D1335">
        <v>1368.3104248</v>
      </c>
      <c r="E1335">
        <v>1323.3192139</v>
      </c>
      <c r="F1335">
        <v>1320.2324219</v>
      </c>
      <c r="G1335">
        <v>80</v>
      </c>
      <c r="H1335">
        <v>67.776123046999999</v>
      </c>
      <c r="I1335">
        <v>50</v>
      </c>
      <c r="J1335">
        <v>49.684223175</v>
      </c>
      <c r="K1335">
        <v>1200</v>
      </c>
      <c r="L1335">
        <v>0</v>
      </c>
      <c r="M1335">
        <v>0</v>
      </c>
      <c r="N1335">
        <v>1200</v>
      </c>
    </row>
    <row r="1336" spans="1:14" x14ac:dyDescent="0.25">
      <c r="A1336">
        <v>1462.1499879999999</v>
      </c>
      <c r="B1336" s="1">
        <f>DATE(2014,5,2) + TIME(3,35,58)</f>
        <v>41761.149976851855</v>
      </c>
      <c r="C1336">
        <v>1386.244751</v>
      </c>
      <c r="D1336">
        <v>1368.2564697</v>
      </c>
      <c r="E1336">
        <v>1323.3209228999999</v>
      </c>
      <c r="F1336">
        <v>1320.2335204999999</v>
      </c>
      <c r="G1336">
        <v>80</v>
      </c>
      <c r="H1336">
        <v>68.353111267000003</v>
      </c>
      <c r="I1336">
        <v>50</v>
      </c>
      <c r="J1336">
        <v>49.664932251000003</v>
      </c>
      <c r="K1336">
        <v>1200</v>
      </c>
      <c r="L1336">
        <v>0</v>
      </c>
      <c r="M1336">
        <v>0</v>
      </c>
      <c r="N1336">
        <v>1200</v>
      </c>
    </row>
    <row r="1337" spans="1:14" x14ac:dyDescent="0.25">
      <c r="A1337">
        <v>1462.263471</v>
      </c>
      <c r="B1337" s="1">
        <f>DATE(2014,5,2) + TIME(6,19,23)</f>
        <v>41761.263460648152</v>
      </c>
      <c r="C1337">
        <v>1386.0688477000001</v>
      </c>
      <c r="D1337">
        <v>1368.2021483999999</v>
      </c>
      <c r="E1337">
        <v>1323.3214111</v>
      </c>
      <c r="F1337">
        <v>1320.2333983999999</v>
      </c>
      <c r="G1337">
        <v>80</v>
      </c>
      <c r="H1337">
        <v>68.919288635000001</v>
      </c>
      <c r="I1337">
        <v>50</v>
      </c>
      <c r="J1337">
        <v>49.645313262999998</v>
      </c>
      <c r="K1337">
        <v>1200</v>
      </c>
      <c r="L1337">
        <v>0</v>
      </c>
      <c r="M1337">
        <v>0</v>
      </c>
      <c r="N1337">
        <v>1200</v>
      </c>
    </row>
    <row r="1338" spans="1:14" x14ac:dyDescent="0.25">
      <c r="A1338">
        <v>1462.380682</v>
      </c>
      <c r="B1338" s="1">
        <f>DATE(2014,5,2) + TIME(9,8,10)</f>
        <v>41761.380671296298</v>
      </c>
      <c r="C1338">
        <v>1385.8972168</v>
      </c>
      <c r="D1338">
        <v>1368.1478271000001</v>
      </c>
      <c r="E1338">
        <v>1323.3211670000001</v>
      </c>
      <c r="F1338">
        <v>1320.2326660000001</v>
      </c>
      <c r="G1338">
        <v>80</v>
      </c>
      <c r="H1338">
        <v>69.474784850999995</v>
      </c>
      <c r="I1338">
        <v>50</v>
      </c>
      <c r="J1338">
        <v>49.625339508000003</v>
      </c>
      <c r="K1338">
        <v>1200</v>
      </c>
      <c r="L1338">
        <v>0</v>
      </c>
      <c r="M1338">
        <v>0</v>
      </c>
      <c r="N1338">
        <v>1200</v>
      </c>
    </row>
    <row r="1339" spans="1:14" x14ac:dyDescent="0.25">
      <c r="A1339">
        <v>1462.5018339999999</v>
      </c>
      <c r="B1339" s="1">
        <f>DATE(2014,5,2) + TIME(12,2,38)</f>
        <v>41761.501828703702</v>
      </c>
      <c r="C1339">
        <v>1385.7297363</v>
      </c>
      <c r="D1339">
        <v>1368.0938721</v>
      </c>
      <c r="E1339">
        <v>1323.3205565999999</v>
      </c>
      <c r="F1339">
        <v>1320.2315673999999</v>
      </c>
      <c r="G1339">
        <v>80</v>
      </c>
      <c r="H1339">
        <v>70.019233704000001</v>
      </c>
      <c r="I1339">
        <v>50</v>
      </c>
      <c r="J1339">
        <v>49.604984283</v>
      </c>
      <c r="K1339">
        <v>1200</v>
      </c>
      <c r="L1339">
        <v>0</v>
      </c>
      <c r="M1339">
        <v>0</v>
      </c>
      <c r="N1339">
        <v>1200</v>
      </c>
    </row>
    <row r="1340" spans="1:14" x14ac:dyDescent="0.25">
      <c r="A1340">
        <v>1462.6272180000001</v>
      </c>
      <c r="B1340" s="1">
        <f>DATE(2014,5,2) + TIME(15,3,11)</f>
        <v>41761.627210648148</v>
      </c>
      <c r="C1340">
        <v>1385.5665283000001</v>
      </c>
      <c r="D1340">
        <v>1368.0402832</v>
      </c>
      <c r="E1340">
        <v>1323.3198242000001</v>
      </c>
      <c r="F1340">
        <v>1320.2302245999999</v>
      </c>
      <c r="G1340">
        <v>80</v>
      </c>
      <c r="H1340">
        <v>70.552116393999995</v>
      </c>
      <c r="I1340">
        <v>50</v>
      </c>
      <c r="J1340">
        <v>49.584220885999997</v>
      </c>
      <c r="K1340">
        <v>1200</v>
      </c>
      <c r="L1340">
        <v>0</v>
      </c>
      <c r="M1340">
        <v>0</v>
      </c>
      <c r="N1340">
        <v>1200</v>
      </c>
    </row>
    <row r="1341" spans="1:14" x14ac:dyDescent="0.25">
      <c r="A1341">
        <v>1462.7571559999999</v>
      </c>
      <c r="B1341" s="1">
        <f>DATE(2014,5,2) + TIME(18,10,18)</f>
        <v>41761.757152777776</v>
      </c>
      <c r="C1341">
        <v>1385.4072266000001</v>
      </c>
      <c r="D1341">
        <v>1367.9870605000001</v>
      </c>
      <c r="E1341">
        <v>1323.3188477000001</v>
      </c>
      <c r="F1341">
        <v>1320.2286377</v>
      </c>
      <c r="G1341">
        <v>80</v>
      </c>
      <c r="H1341">
        <v>71.073661803999997</v>
      </c>
      <c r="I1341">
        <v>50</v>
      </c>
      <c r="J1341">
        <v>49.563018798999998</v>
      </c>
      <c r="K1341">
        <v>1200</v>
      </c>
      <c r="L1341">
        <v>0</v>
      </c>
      <c r="M1341">
        <v>0</v>
      </c>
      <c r="N1341">
        <v>1200</v>
      </c>
    </row>
    <row r="1342" spans="1:14" x14ac:dyDescent="0.25">
      <c r="A1342">
        <v>1462.8920049999999</v>
      </c>
      <c r="B1342" s="1">
        <f>DATE(2014,5,2) + TIME(21,24,29)</f>
        <v>41761.892002314817</v>
      </c>
      <c r="C1342">
        <v>1385.2517089999999</v>
      </c>
      <c r="D1342">
        <v>1367.9339600000001</v>
      </c>
      <c r="E1342">
        <v>1323.317749</v>
      </c>
      <c r="F1342">
        <v>1320.2269286999999</v>
      </c>
      <c r="G1342">
        <v>80</v>
      </c>
      <c r="H1342">
        <v>71.583709717000005</v>
      </c>
      <c r="I1342">
        <v>50</v>
      </c>
      <c r="J1342">
        <v>49.541339874000002</v>
      </c>
      <c r="K1342">
        <v>1200</v>
      </c>
      <c r="L1342">
        <v>0</v>
      </c>
      <c r="M1342">
        <v>0</v>
      </c>
      <c r="N1342">
        <v>1200</v>
      </c>
    </row>
    <row r="1343" spans="1:14" x14ac:dyDescent="0.25">
      <c r="A1343">
        <v>1463.032164</v>
      </c>
      <c r="B1343" s="1">
        <f>DATE(2014,5,3) + TIME(0,46,18)</f>
        <v>41762.032152777778</v>
      </c>
      <c r="C1343">
        <v>1385.0997314000001</v>
      </c>
      <c r="D1343">
        <v>1367.8811035000001</v>
      </c>
      <c r="E1343">
        <v>1323.3165283000001</v>
      </c>
      <c r="F1343">
        <v>1320.2250977000001</v>
      </c>
      <c r="G1343">
        <v>80</v>
      </c>
      <c r="H1343">
        <v>72.082069396999998</v>
      </c>
      <c r="I1343">
        <v>50</v>
      </c>
      <c r="J1343">
        <v>49.519145966000004</v>
      </c>
      <c r="K1343">
        <v>1200</v>
      </c>
      <c r="L1343">
        <v>0</v>
      </c>
      <c r="M1343">
        <v>0</v>
      </c>
      <c r="N1343">
        <v>1200</v>
      </c>
    </row>
    <row r="1344" spans="1:14" x14ac:dyDescent="0.25">
      <c r="A1344">
        <v>1463.1780779999999</v>
      </c>
      <c r="B1344" s="1">
        <f>DATE(2014,5,3) + TIME(4,16,25)</f>
        <v>41762.178067129629</v>
      </c>
      <c r="C1344">
        <v>1384.9511719</v>
      </c>
      <c r="D1344">
        <v>1367.8283690999999</v>
      </c>
      <c r="E1344">
        <v>1323.3153076000001</v>
      </c>
      <c r="F1344">
        <v>1320.2231445</v>
      </c>
      <c r="G1344">
        <v>80</v>
      </c>
      <c r="H1344">
        <v>72.568557738999999</v>
      </c>
      <c r="I1344">
        <v>50</v>
      </c>
      <c r="J1344">
        <v>49.496387482000003</v>
      </c>
      <c r="K1344">
        <v>1200</v>
      </c>
      <c r="L1344">
        <v>0</v>
      </c>
      <c r="M1344">
        <v>0</v>
      </c>
      <c r="N1344">
        <v>1200</v>
      </c>
    </row>
    <row r="1345" spans="1:14" x14ac:dyDescent="0.25">
      <c r="A1345">
        <v>1463.3302530000001</v>
      </c>
      <c r="B1345" s="1">
        <f>DATE(2014,5,3) + TIME(7,55,33)</f>
        <v>41762.330243055556</v>
      </c>
      <c r="C1345">
        <v>1384.8056641000001</v>
      </c>
      <c r="D1345">
        <v>1367.7753906</v>
      </c>
      <c r="E1345">
        <v>1323.3138428</v>
      </c>
      <c r="F1345">
        <v>1320.2209473</v>
      </c>
      <c r="G1345">
        <v>80</v>
      </c>
      <c r="H1345">
        <v>73.042945861999996</v>
      </c>
      <c r="I1345">
        <v>50</v>
      </c>
      <c r="J1345">
        <v>49.473018646</v>
      </c>
      <c r="K1345">
        <v>1200</v>
      </c>
      <c r="L1345">
        <v>0</v>
      </c>
      <c r="M1345">
        <v>0</v>
      </c>
      <c r="N1345">
        <v>1200</v>
      </c>
    </row>
    <row r="1346" spans="1:14" x14ac:dyDescent="0.25">
      <c r="A1346">
        <v>1463.4892560000001</v>
      </c>
      <c r="B1346" s="1">
        <f>DATE(2014,5,3) + TIME(11,44,31)</f>
        <v>41762.489247685182</v>
      </c>
      <c r="C1346">
        <v>1384.6629639</v>
      </c>
      <c r="D1346">
        <v>1367.7222899999999</v>
      </c>
      <c r="E1346">
        <v>1323.3123779</v>
      </c>
      <c r="F1346">
        <v>1320.21875</v>
      </c>
      <c r="G1346">
        <v>80</v>
      </c>
      <c r="H1346">
        <v>73.505020142000006</v>
      </c>
      <c r="I1346">
        <v>50</v>
      </c>
      <c r="J1346">
        <v>49.448978424000003</v>
      </c>
      <c r="K1346">
        <v>1200</v>
      </c>
      <c r="L1346">
        <v>0</v>
      </c>
      <c r="M1346">
        <v>0</v>
      </c>
      <c r="N1346">
        <v>1200</v>
      </c>
    </row>
    <row r="1347" spans="1:14" x14ac:dyDescent="0.25">
      <c r="A1347">
        <v>1463.6557339999999</v>
      </c>
      <c r="B1347" s="1">
        <f>DATE(2014,5,3) + TIME(15,44,15)</f>
        <v>41762.655729166669</v>
      </c>
      <c r="C1347">
        <v>1384.5230713000001</v>
      </c>
      <c r="D1347">
        <v>1367.6689452999999</v>
      </c>
      <c r="E1347">
        <v>1323.3106689000001</v>
      </c>
      <c r="F1347">
        <v>1320.2164307</v>
      </c>
      <c r="G1347">
        <v>80</v>
      </c>
      <c r="H1347">
        <v>73.954521178999997</v>
      </c>
      <c r="I1347">
        <v>50</v>
      </c>
      <c r="J1347">
        <v>49.424213408999996</v>
      </c>
      <c r="K1347">
        <v>1200</v>
      </c>
      <c r="L1347">
        <v>0</v>
      </c>
      <c r="M1347">
        <v>0</v>
      </c>
      <c r="N1347">
        <v>1200</v>
      </c>
    </row>
    <row r="1348" spans="1:14" x14ac:dyDescent="0.25">
      <c r="A1348">
        <v>1463.8305089999999</v>
      </c>
      <c r="B1348" s="1">
        <f>DATE(2014,5,3) + TIME(19,55,55)</f>
        <v>41762.830497685187</v>
      </c>
      <c r="C1348">
        <v>1384.385376</v>
      </c>
      <c r="D1348">
        <v>1367.6149902</v>
      </c>
      <c r="E1348">
        <v>1323.3089600000001</v>
      </c>
      <c r="F1348">
        <v>1320.2138672000001</v>
      </c>
      <c r="G1348">
        <v>80</v>
      </c>
      <c r="H1348">
        <v>74.391372681000007</v>
      </c>
      <c r="I1348">
        <v>50</v>
      </c>
      <c r="J1348">
        <v>49.398628234999997</v>
      </c>
      <c r="K1348">
        <v>1200</v>
      </c>
      <c r="L1348">
        <v>0</v>
      </c>
      <c r="M1348">
        <v>0</v>
      </c>
      <c r="N1348">
        <v>1200</v>
      </c>
    </row>
    <row r="1349" spans="1:14" x14ac:dyDescent="0.25">
      <c r="A1349">
        <v>1464.0144130000001</v>
      </c>
      <c r="B1349" s="1">
        <f>DATE(2014,5,4) + TIME(0,20,45)</f>
        <v>41763.014409722222</v>
      </c>
      <c r="C1349">
        <v>1384.2498779</v>
      </c>
      <c r="D1349">
        <v>1367.5603027</v>
      </c>
      <c r="E1349">
        <v>1323.3071289</v>
      </c>
      <c r="F1349">
        <v>1320.2111815999999</v>
      </c>
      <c r="G1349">
        <v>80</v>
      </c>
      <c r="H1349">
        <v>74.815193175999994</v>
      </c>
      <c r="I1349">
        <v>50</v>
      </c>
      <c r="J1349">
        <v>49.372150421000001</v>
      </c>
      <c r="K1349">
        <v>1200</v>
      </c>
      <c r="L1349">
        <v>0</v>
      </c>
      <c r="M1349">
        <v>0</v>
      </c>
      <c r="N1349">
        <v>1200</v>
      </c>
    </row>
    <row r="1350" spans="1:14" x14ac:dyDescent="0.25">
      <c r="A1350">
        <v>1464.2083950000001</v>
      </c>
      <c r="B1350" s="1">
        <f>DATE(2014,5,4) + TIME(5,0,5)</f>
        <v>41763.208391203705</v>
      </c>
      <c r="C1350">
        <v>1384.1162108999999</v>
      </c>
      <c r="D1350">
        <v>1367.5048827999999</v>
      </c>
      <c r="E1350">
        <v>1323.3050536999999</v>
      </c>
      <c r="F1350">
        <v>1320.208374</v>
      </c>
      <c r="G1350">
        <v>80</v>
      </c>
      <c r="H1350">
        <v>75.225402832</v>
      </c>
      <c r="I1350">
        <v>50</v>
      </c>
      <c r="J1350">
        <v>49.34469223</v>
      </c>
      <c r="K1350">
        <v>1200</v>
      </c>
      <c r="L1350">
        <v>0</v>
      </c>
      <c r="M1350">
        <v>0</v>
      </c>
      <c r="N1350">
        <v>1200</v>
      </c>
    </row>
    <row r="1351" spans="1:14" x14ac:dyDescent="0.25">
      <c r="A1351">
        <v>1464.413609</v>
      </c>
      <c r="B1351" s="1">
        <f>DATE(2014,5,4) + TIME(9,55,35)</f>
        <v>41763.413599537038</v>
      </c>
      <c r="C1351">
        <v>1383.9842529</v>
      </c>
      <c r="D1351">
        <v>1367.4484863</v>
      </c>
      <c r="E1351">
        <v>1323.3028564000001</v>
      </c>
      <c r="F1351">
        <v>1320.2054443</v>
      </c>
      <c r="G1351">
        <v>80</v>
      </c>
      <c r="H1351">
        <v>75.621688843000001</v>
      </c>
      <c r="I1351">
        <v>50</v>
      </c>
      <c r="J1351">
        <v>49.316139221</v>
      </c>
      <c r="K1351">
        <v>1200</v>
      </c>
      <c r="L1351">
        <v>0</v>
      </c>
      <c r="M1351">
        <v>0</v>
      </c>
      <c r="N1351">
        <v>1200</v>
      </c>
    </row>
    <row r="1352" spans="1:14" x14ac:dyDescent="0.25">
      <c r="A1352">
        <v>1464.6314130000001</v>
      </c>
      <c r="B1352" s="1">
        <f>DATE(2014,5,4) + TIME(15,9,14)</f>
        <v>41763.631412037037</v>
      </c>
      <c r="C1352">
        <v>1383.8536377</v>
      </c>
      <c r="D1352">
        <v>1367.3909911999999</v>
      </c>
      <c r="E1352">
        <v>1323.3005370999999</v>
      </c>
      <c r="F1352">
        <v>1320.2021483999999</v>
      </c>
      <c r="G1352">
        <v>80</v>
      </c>
      <c r="H1352">
        <v>76.003814696999996</v>
      </c>
      <c r="I1352">
        <v>50</v>
      </c>
      <c r="J1352">
        <v>49.286365508999999</v>
      </c>
      <c r="K1352">
        <v>1200</v>
      </c>
      <c r="L1352">
        <v>0</v>
      </c>
      <c r="M1352">
        <v>0</v>
      </c>
      <c r="N1352">
        <v>1200</v>
      </c>
    </row>
    <row r="1353" spans="1:14" x14ac:dyDescent="0.25">
      <c r="A1353">
        <v>1464.8634010000001</v>
      </c>
      <c r="B1353" s="1">
        <f>DATE(2014,5,4) + TIME(20,43,17)</f>
        <v>41763.863391203704</v>
      </c>
      <c r="C1353">
        <v>1383.723999</v>
      </c>
      <c r="D1353">
        <v>1367.3320312000001</v>
      </c>
      <c r="E1353">
        <v>1323.2980957</v>
      </c>
      <c r="F1353">
        <v>1320.1987305</v>
      </c>
      <c r="G1353">
        <v>80</v>
      </c>
      <c r="H1353">
        <v>76.371368407999995</v>
      </c>
      <c r="I1353">
        <v>50</v>
      </c>
      <c r="J1353">
        <v>49.255226135000001</v>
      </c>
      <c r="K1353">
        <v>1200</v>
      </c>
      <c r="L1353">
        <v>0</v>
      </c>
      <c r="M1353">
        <v>0</v>
      </c>
      <c r="N1353">
        <v>1200</v>
      </c>
    </row>
    <row r="1354" spans="1:14" x14ac:dyDescent="0.25">
      <c r="A1354">
        <v>1465.111482</v>
      </c>
      <c r="B1354" s="1">
        <f>DATE(2014,5,5) + TIME(2,40,32)</f>
        <v>41764.111481481479</v>
      </c>
      <c r="C1354">
        <v>1383.5950928</v>
      </c>
      <c r="D1354">
        <v>1367.2713623</v>
      </c>
      <c r="E1354">
        <v>1323.2954102000001</v>
      </c>
      <c r="F1354">
        <v>1320.1950684000001</v>
      </c>
      <c r="G1354">
        <v>80</v>
      </c>
      <c r="H1354">
        <v>76.723907471000004</v>
      </c>
      <c r="I1354">
        <v>50</v>
      </c>
      <c r="J1354">
        <v>49.222537994</v>
      </c>
      <c r="K1354">
        <v>1200</v>
      </c>
      <c r="L1354">
        <v>0</v>
      </c>
      <c r="M1354">
        <v>0</v>
      </c>
      <c r="N1354">
        <v>1200</v>
      </c>
    </row>
    <row r="1355" spans="1:14" x14ac:dyDescent="0.25">
      <c r="A1355">
        <v>1465.3780300000001</v>
      </c>
      <c r="B1355" s="1">
        <f>DATE(2014,5,5) + TIME(9,4,21)</f>
        <v>41764.378020833334</v>
      </c>
      <c r="C1355">
        <v>1383.4665527</v>
      </c>
      <c r="D1355">
        <v>1367.2088623</v>
      </c>
      <c r="E1355">
        <v>1323.2924805</v>
      </c>
      <c r="F1355">
        <v>1320.1911620999999</v>
      </c>
      <c r="G1355">
        <v>80</v>
      </c>
      <c r="H1355">
        <v>77.061035156000003</v>
      </c>
      <c r="I1355">
        <v>50</v>
      </c>
      <c r="J1355">
        <v>49.188083648999999</v>
      </c>
      <c r="K1355">
        <v>1200</v>
      </c>
      <c r="L1355">
        <v>0</v>
      </c>
      <c r="M1355">
        <v>0</v>
      </c>
      <c r="N1355">
        <v>1200</v>
      </c>
    </row>
    <row r="1356" spans="1:14" x14ac:dyDescent="0.25">
      <c r="A1356">
        <v>1465.665919</v>
      </c>
      <c r="B1356" s="1">
        <f>DATE(2014,5,5) + TIME(15,58,55)</f>
        <v>41764.665914351855</v>
      </c>
      <c r="C1356">
        <v>1383.3378906</v>
      </c>
      <c r="D1356">
        <v>1367.1441649999999</v>
      </c>
      <c r="E1356">
        <v>1323.2893065999999</v>
      </c>
      <c r="F1356">
        <v>1320.1868896000001</v>
      </c>
      <c r="G1356">
        <v>80</v>
      </c>
      <c r="H1356">
        <v>77.382263183999996</v>
      </c>
      <c r="I1356">
        <v>50</v>
      </c>
      <c r="J1356">
        <v>49.151607513000002</v>
      </c>
      <c r="K1356">
        <v>1200</v>
      </c>
      <c r="L1356">
        <v>0</v>
      </c>
      <c r="M1356">
        <v>0</v>
      </c>
      <c r="N1356">
        <v>1200</v>
      </c>
    </row>
    <row r="1357" spans="1:14" x14ac:dyDescent="0.25">
      <c r="A1357">
        <v>1465.9729629999999</v>
      </c>
      <c r="B1357" s="1">
        <f>DATE(2014,5,5) + TIME(23,21,4)</f>
        <v>41764.972962962966</v>
      </c>
      <c r="C1357">
        <v>1383.2106934000001</v>
      </c>
      <c r="D1357">
        <v>1367.0776367000001</v>
      </c>
      <c r="E1357">
        <v>1323.2858887</v>
      </c>
      <c r="F1357">
        <v>1320.182251</v>
      </c>
      <c r="G1357">
        <v>80</v>
      </c>
      <c r="H1357">
        <v>77.682151794000006</v>
      </c>
      <c r="I1357">
        <v>50</v>
      </c>
      <c r="J1357">
        <v>49.113430022999999</v>
      </c>
      <c r="K1357">
        <v>1200</v>
      </c>
      <c r="L1357">
        <v>0</v>
      </c>
      <c r="M1357">
        <v>0</v>
      </c>
      <c r="N1357">
        <v>1200</v>
      </c>
    </row>
    <row r="1358" spans="1:14" x14ac:dyDescent="0.25">
      <c r="A1358">
        <v>1466.2808259999999</v>
      </c>
      <c r="B1358" s="1">
        <f>DATE(2014,5,6) + TIME(6,44,23)</f>
        <v>41765.280821759261</v>
      </c>
      <c r="C1358">
        <v>1383.0910644999999</v>
      </c>
      <c r="D1358">
        <v>1367.0118408000001</v>
      </c>
      <c r="E1358">
        <v>1323.2821045000001</v>
      </c>
      <c r="F1358">
        <v>1320.1773682</v>
      </c>
      <c r="G1358">
        <v>80</v>
      </c>
      <c r="H1358">
        <v>77.945274353000002</v>
      </c>
      <c r="I1358">
        <v>50</v>
      </c>
      <c r="J1358">
        <v>49.075626372999999</v>
      </c>
      <c r="K1358">
        <v>1200</v>
      </c>
      <c r="L1358">
        <v>0</v>
      </c>
      <c r="M1358">
        <v>0</v>
      </c>
      <c r="N1358">
        <v>1200</v>
      </c>
    </row>
    <row r="1359" spans="1:14" x14ac:dyDescent="0.25">
      <c r="A1359">
        <v>1466.5914210000001</v>
      </c>
      <c r="B1359" s="1">
        <f>DATE(2014,5,6) + TIME(14,11,38)</f>
        <v>41765.591412037036</v>
      </c>
      <c r="C1359">
        <v>1382.9780272999999</v>
      </c>
      <c r="D1359">
        <v>1366.947876</v>
      </c>
      <c r="E1359">
        <v>1323.2783202999999</v>
      </c>
      <c r="F1359">
        <v>1320.1723632999999</v>
      </c>
      <c r="G1359">
        <v>80</v>
      </c>
      <c r="H1359">
        <v>78.177314757999994</v>
      </c>
      <c r="I1359">
        <v>50</v>
      </c>
      <c r="J1359">
        <v>49.037963867000002</v>
      </c>
      <c r="K1359">
        <v>1200</v>
      </c>
      <c r="L1359">
        <v>0</v>
      </c>
      <c r="M1359">
        <v>0</v>
      </c>
      <c r="N1359">
        <v>1200</v>
      </c>
    </row>
    <row r="1360" spans="1:14" x14ac:dyDescent="0.25">
      <c r="A1360">
        <v>1466.9056840000001</v>
      </c>
      <c r="B1360" s="1">
        <f>DATE(2014,5,6) + TIME(21,44,11)</f>
        <v>41765.905682870369</v>
      </c>
      <c r="C1360">
        <v>1382.8707274999999</v>
      </c>
      <c r="D1360">
        <v>1366.8852539</v>
      </c>
      <c r="E1360">
        <v>1323.2744141000001</v>
      </c>
      <c r="F1360">
        <v>1320.1672363</v>
      </c>
      <c r="G1360">
        <v>80</v>
      </c>
      <c r="H1360">
        <v>78.382247925000001</v>
      </c>
      <c r="I1360">
        <v>50</v>
      </c>
      <c r="J1360">
        <v>49.00031662</v>
      </c>
      <c r="K1360">
        <v>1200</v>
      </c>
      <c r="L1360">
        <v>0</v>
      </c>
      <c r="M1360">
        <v>0</v>
      </c>
      <c r="N1360">
        <v>1200</v>
      </c>
    </row>
    <row r="1361" spans="1:14" x14ac:dyDescent="0.25">
      <c r="A1361">
        <v>1467.224573</v>
      </c>
      <c r="B1361" s="1">
        <f>DATE(2014,5,7) + TIME(5,23,23)</f>
        <v>41766.22457175926</v>
      </c>
      <c r="C1361">
        <v>1382.7681885</v>
      </c>
      <c r="D1361">
        <v>1366.8239745999999</v>
      </c>
      <c r="E1361">
        <v>1323.2703856999999</v>
      </c>
      <c r="F1361">
        <v>1320.1621094</v>
      </c>
      <c r="G1361">
        <v>80</v>
      </c>
      <c r="H1361">
        <v>78.563423157000003</v>
      </c>
      <c r="I1361">
        <v>50</v>
      </c>
      <c r="J1361">
        <v>48.962574005</v>
      </c>
      <c r="K1361">
        <v>1200</v>
      </c>
      <c r="L1361">
        <v>0</v>
      </c>
      <c r="M1361">
        <v>0</v>
      </c>
      <c r="N1361">
        <v>1200</v>
      </c>
    </row>
    <row r="1362" spans="1:14" x14ac:dyDescent="0.25">
      <c r="A1362">
        <v>1467.549045</v>
      </c>
      <c r="B1362" s="1">
        <f>DATE(2014,5,7) + TIME(13,10,37)</f>
        <v>41766.549039351848</v>
      </c>
      <c r="C1362">
        <v>1382.6696777</v>
      </c>
      <c r="D1362">
        <v>1366.7637939000001</v>
      </c>
      <c r="E1362">
        <v>1323.2662353999999</v>
      </c>
      <c r="F1362">
        <v>1320.1567382999999</v>
      </c>
      <c r="G1362">
        <v>80</v>
      </c>
      <c r="H1362">
        <v>78.723701477000006</v>
      </c>
      <c r="I1362">
        <v>50</v>
      </c>
      <c r="J1362">
        <v>48.924625397</v>
      </c>
      <c r="K1362">
        <v>1200</v>
      </c>
      <c r="L1362">
        <v>0</v>
      </c>
      <c r="M1362">
        <v>0</v>
      </c>
      <c r="N1362">
        <v>1200</v>
      </c>
    </row>
    <row r="1363" spans="1:14" x14ac:dyDescent="0.25">
      <c r="A1363">
        <v>1467.880081</v>
      </c>
      <c r="B1363" s="1">
        <f>DATE(2014,5,7) + TIME(21,7,18)</f>
        <v>41766.880069444444</v>
      </c>
      <c r="C1363">
        <v>1382.5748291</v>
      </c>
      <c r="D1363">
        <v>1366.7043457</v>
      </c>
      <c r="E1363">
        <v>1323.2620850000001</v>
      </c>
      <c r="F1363">
        <v>1320.1513672000001</v>
      </c>
      <c r="G1363">
        <v>80</v>
      </c>
      <c r="H1363">
        <v>78.865516662999994</v>
      </c>
      <c r="I1363">
        <v>50</v>
      </c>
      <c r="J1363">
        <v>48.886352539000001</v>
      </c>
      <c r="K1363">
        <v>1200</v>
      </c>
      <c r="L1363">
        <v>0</v>
      </c>
      <c r="M1363">
        <v>0</v>
      </c>
      <c r="N1363">
        <v>1200</v>
      </c>
    </row>
    <row r="1364" spans="1:14" x14ac:dyDescent="0.25">
      <c r="A1364">
        <v>1468.218703</v>
      </c>
      <c r="B1364" s="1">
        <f>DATE(2014,5,8) + TIME(5,14,55)</f>
        <v>41767.218692129631</v>
      </c>
      <c r="C1364">
        <v>1382.4830322</v>
      </c>
      <c r="D1364">
        <v>1366.6456298999999</v>
      </c>
      <c r="E1364">
        <v>1323.2576904</v>
      </c>
      <c r="F1364">
        <v>1320.1457519999999</v>
      </c>
      <c r="G1364">
        <v>80</v>
      </c>
      <c r="H1364">
        <v>78.990966796999999</v>
      </c>
      <c r="I1364">
        <v>50</v>
      </c>
      <c r="J1364">
        <v>48.84765625</v>
      </c>
      <c r="K1364">
        <v>1200</v>
      </c>
      <c r="L1364">
        <v>0</v>
      </c>
      <c r="M1364">
        <v>0</v>
      </c>
      <c r="N1364">
        <v>1200</v>
      </c>
    </row>
    <row r="1365" spans="1:14" x14ac:dyDescent="0.25">
      <c r="A1365">
        <v>1468.565994</v>
      </c>
      <c r="B1365" s="1">
        <f>DATE(2014,5,8) + TIME(13,35,1)</f>
        <v>41767.565983796296</v>
      </c>
      <c r="C1365">
        <v>1382.3936768000001</v>
      </c>
      <c r="D1365">
        <v>1366.5875243999999</v>
      </c>
      <c r="E1365">
        <v>1323.2532959</v>
      </c>
      <c r="F1365">
        <v>1320.1398925999999</v>
      </c>
      <c r="G1365">
        <v>80</v>
      </c>
      <c r="H1365">
        <v>79.101875304999993</v>
      </c>
      <c r="I1365">
        <v>50</v>
      </c>
      <c r="J1365">
        <v>48.808422088999997</v>
      </c>
      <c r="K1365">
        <v>1200</v>
      </c>
      <c r="L1365">
        <v>0</v>
      </c>
      <c r="M1365">
        <v>0</v>
      </c>
      <c r="N1365">
        <v>1200</v>
      </c>
    </row>
    <row r="1366" spans="1:14" x14ac:dyDescent="0.25">
      <c r="A1366">
        <v>1468.923127</v>
      </c>
      <c r="B1366" s="1">
        <f>DATE(2014,5,8) + TIME(22,9,18)</f>
        <v>41767.923125000001</v>
      </c>
      <c r="C1366">
        <v>1382.3066406</v>
      </c>
      <c r="D1366">
        <v>1366.5296631000001</v>
      </c>
      <c r="E1366">
        <v>1323.2486572</v>
      </c>
      <c r="F1366">
        <v>1320.1339111</v>
      </c>
      <c r="G1366">
        <v>80</v>
      </c>
      <c r="H1366">
        <v>79.199829101999995</v>
      </c>
      <c r="I1366">
        <v>50</v>
      </c>
      <c r="J1366">
        <v>48.768531799000002</v>
      </c>
      <c r="K1366">
        <v>1200</v>
      </c>
      <c r="L1366">
        <v>0</v>
      </c>
      <c r="M1366">
        <v>0</v>
      </c>
      <c r="N1366">
        <v>1200</v>
      </c>
    </row>
    <row r="1367" spans="1:14" x14ac:dyDescent="0.25">
      <c r="A1367">
        <v>1469.291401</v>
      </c>
      <c r="B1367" s="1">
        <f>DATE(2014,5,9) + TIME(6,59,37)</f>
        <v>41768.291400462964</v>
      </c>
      <c r="C1367">
        <v>1382.2213135</v>
      </c>
      <c r="D1367">
        <v>1366.472168</v>
      </c>
      <c r="E1367">
        <v>1323.2438964999999</v>
      </c>
      <c r="F1367">
        <v>1320.1278076000001</v>
      </c>
      <c r="G1367">
        <v>80</v>
      </c>
      <c r="H1367">
        <v>79.286231994999994</v>
      </c>
      <c r="I1367">
        <v>50</v>
      </c>
      <c r="J1367">
        <v>48.727859496999997</v>
      </c>
      <c r="K1367">
        <v>1200</v>
      </c>
      <c r="L1367">
        <v>0</v>
      </c>
      <c r="M1367">
        <v>0</v>
      </c>
      <c r="N1367">
        <v>1200</v>
      </c>
    </row>
    <row r="1368" spans="1:14" x14ac:dyDescent="0.25">
      <c r="A1368">
        <v>1469.6724730000001</v>
      </c>
      <c r="B1368" s="1">
        <f>DATE(2014,5,9) + TIME(16,8,21)</f>
        <v>41768.672465277778</v>
      </c>
      <c r="C1368">
        <v>1382.1374512</v>
      </c>
      <c r="D1368">
        <v>1366.4147949000001</v>
      </c>
      <c r="E1368">
        <v>1323.2388916</v>
      </c>
      <c r="F1368">
        <v>1320.1213379000001</v>
      </c>
      <c r="G1368">
        <v>80</v>
      </c>
      <c r="H1368">
        <v>79.362350464000002</v>
      </c>
      <c r="I1368">
        <v>50</v>
      </c>
      <c r="J1368">
        <v>48.686248779000003</v>
      </c>
      <c r="K1368">
        <v>1200</v>
      </c>
      <c r="L1368">
        <v>0</v>
      </c>
      <c r="M1368">
        <v>0</v>
      </c>
      <c r="N1368">
        <v>1200</v>
      </c>
    </row>
    <row r="1369" spans="1:14" x14ac:dyDescent="0.25">
      <c r="A1369">
        <v>1470.0675180000001</v>
      </c>
      <c r="B1369" s="1">
        <f>DATE(2014,5,10) + TIME(1,37,13)</f>
        <v>41769.067511574074</v>
      </c>
      <c r="C1369">
        <v>1382.0546875</v>
      </c>
      <c r="D1369">
        <v>1366.3572998</v>
      </c>
      <c r="E1369">
        <v>1323.2336425999999</v>
      </c>
      <c r="F1369">
        <v>1320.114624</v>
      </c>
      <c r="G1369">
        <v>80</v>
      </c>
      <c r="H1369">
        <v>79.429199218999997</v>
      </c>
      <c r="I1369">
        <v>50</v>
      </c>
      <c r="J1369">
        <v>48.643600464000002</v>
      </c>
      <c r="K1369">
        <v>1200</v>
      </c>
      <c r="L1369">
        <v>0</v>
      </c>
      <c r="M1369">
        <v>0</v>
      </c>
      <c r="N1369">
        <v>1200</v>
      </c>
    </row>
    <row r="1370" spans="1:14" x14ac:dyDescent="0.25">
      <c r="A1370">
        <v>1470.4772809999999</v>
      </c>
      <c r="B1370" s="1">
        <f>DATE(2014,5,10) + TIME(11,27,17)</f>
        <v>41769.477280092593</v>
      </c>
      <c r="C1370">
        <v>1381.9727783000001</v>
      </c>
      <c r="D1370">
        <v>1366.2996826000001</v>
      </c>
      <c r="E1370">
        <v>1323.2281493999999</v>
      </c>
      <c r="F1370">
        <v>1320.1076660000001</v>
      </c>
      <c r="G1370">
        <v>80</v>
      </c>
      <c r="H1370">
        <v>79.487632751000007</v>
      </c>
      <c r="I1370">
        <v>50</v>
      </c>
      <c r="J1370">
        <v>48.599853516000003</v>
      </c>
      <c r="K1370">
        <v>1200</v>
      </c>
      <c r="L1370">
        <v>0</v>
      </c>
      <c r="M1370">
        <v>0</v>
      </c>
      <c r="N1370">
        <v>1200</v>
      </c>
    </row>
    <row r="1371" spans="1:14" x14ac:dyDescent="0.25">
      <c r="A1371">
        <v>1470.903491</v>
      </c>
      <c r="B1371" s="1">
        <f>DATE(2014,5,10) + TIME(21,41,1)</f>
        <v>41769.903483796297</v>
      </c>
      <c r="C1371">
        <v>1381.8916016000001</v>
      </c>
      <c r="D1371">
        <v>1366.2419434000001</v>
      </c>
      <c r="E1371">
        <v>1323.2225341999999</v>
      </c>
      <c r="F1371">
        <v>1320.1003418</v>
      </c>
      <c r="G1371">
        <v>80</v>
      </c>
      <c r="H1371">
        <v>79.538558960000003</v>
      </c>
      <c r="I1371">
        <v>50</v>
      </c>
      <c r="J1371">
        <v>48.554851532000001</v>
      </c>
      <c r="K1371">
        <v>1200</v>
      </c>
      <c r="L1371">
        <v>0</v>
      </c>
      <c r="M1371">
        <v>0</v>
      </c>
      <c r="N1371">
        <v>1200</v>
      </c>
    </row>
    <row r="1372" spans="1:14" x14ac:dyDescent="0.25">
      <c r="A1372">
        <v>1471.3481690000001</v>
      </c>
      <c r="B1372" s="1">
        <f>DATE(2014,5,11) + TIME(8,21,21)</f>
        <v>41770.34815972222</v>
      </c>
      <c r="C1372">
        <v>1381.8109131000001</v>
      </c>
      <c r="D1372">
        <v>1366.1839600000001</v>
      </c>
      <c r="E1372">
        <v>1323.2165527</v>
      </c>
      <c r="F1372">
        <v>1320.0926514</v>
      </c>
      <c r="G1372">
        <v>80</v>
      </c>
      <c r="H1372">
        <v>79.582801818999997</v>
      </c>
      <c r="I1372">
        <v>50</v>
      </c>
      <c r="J1372">
        <v>48.508426665999998</v>
      </c>
      <c r="K1372">
        <v>1200</v>
      </c>
      <c r="L1372">
        <v>0</v>
      </c>
      <c r="M1372">
        <v>0</v>
      </c>
      <c r="N1372">
        <v>1200</v>
      </c>
    </row>
    <row r="1373" spans="1:14" x14ac:dyDescent="0.25">
      <c r="A1373">
        <v>1471.8137160000001</v>
      </c>
      <c r="B1373" s="1">
        <f>DATE(2014,5,11) + TIME(19,31,45)</f>
        <v>41770.813715277778</v>
      </c>
      <c r="C1373">
        <v>1381.7303466999999</v>
      </c>
      <c r="D1373">
        <v>1366.1256103999999</v>
      </c>
      <c r="E1373">
        <v>1323.2102050999999</v>
      </c>
      <c r="F1373">
        <v>1320.0845947</v>
      </c>
      <c r="G1373">
        <v>80</v>
      </c>
      <c r="H1373">
        <v>79.62109375</v>
      </c>
      <c r="I1373">
        <v>50</v>
      </c>
      <c r="J1373">
        <v>48.460376740000001</v>
      </c>
      <c r="K1373">
        <v>1200</v>
      </c>
      <c r="L1373">
        <v>0</v>
      </c>
      <c r="M1373">
        <v>0</v>
      </c>
      <c r="N1373">
        <v>1200</v>
      </c>
    </row>
    <row r="1374" spans="1:14" x14ac:dyDescent="0.25">
      <c r="A1374">
        <v>1472.302954</v>
      </c>
      <c r="B1374" s="1">
        <f>DATE(2014,5,12) + TIME(7,16,15)</f>
        <v>41771.302951388891</v>
      </c>
      <c r="C1374">
        <v>1381.6496582</v>
      </c>
      <c r="D1374">
        <v>1366.0665283000001</v>
      </c>
      <c r="E1374">
        <v>1323.2036132999999</v>
      </c>
      <c r="F1374">
        <v>1320.0760498</v>
      </c>
      <c r="G1374">
        <v>80</v>
      </c>
      <c r="H1374">
        <v>79.654090881000002</v>
      </c>
      <c r="I1374">
        <v>50</v>
      </c>
      <c r="J1374">
        <v>48.410469055</v>
      </c>
      <c r="K1374">
        <v>1200</v>
      </c>
      <c r="L1374">
        <v>0</v>
      </c>
      <c r="M1374">
        <v>0</v>
      </c>
      <c r="N1374">
        <v>1200</v>
      </c>
    </row>
    <row r="1375" spans="1:14" x14ac:dyDescent="0.25">
      <c r="A1375">
        <v>1472.814578</v>
      </c>
      <c r="B1375" s="1">
        <f>DATE(2014,5,12) + TIME(19,32,59)</f>
        <v>41771.814571759256</v>
      </c>
      <c r="C1375">
        <v>1381.5684814000001</v>
      </c>
      <c r="D1375">
        <v>1366.0068358999999</v>
      </c>
      <c r="E1375">
        <v>1323.1965332</v>
      </c>
      <c r="F1375">
        <v>1320.0670166</v>
      </c>
      <c r="G1375">
        <v>80</v>
      </c>
      <c r="H1375">
        <v>79.682189941000004</v>
      </c>
      <c r="I1375">
        <v>50</v>
      </c>
      <c r="J1375">
        <v>48.358837127999998</v>
      </c>
      <c r="K1375">
        <v>1200</v>
      </c>
      <c r="L1375">
        <v>0</v>
      </c>
      <c r="M1375">
        <v>0</v>
      </c>
      <c r="N1375">
        <v>1200</v>
      </c>
    </row>
    <row r="1376" spans="1:14" x14ac:dyDescent="0.25">
      <c r="A1376">
        <v>1473.32637</v>
      </c>
      <c r="B1376" s="1">
        <f>DATE(2014,5,13) + TIME(7,49,58)</f>
        <v>41772.326365740744</v>
      </c>
      <c r="C1376">
        <v>1381.487793</v>
      </c>
      <c r="D1376">
        <v>1365.9468993999999</v>
      </c>
      <c r="E1376">
        <v>1323.1890868999999</v>
      </c>
      <c r="F1376">
        <v>1320.0574951000001</v>
      </c>
      <c r="G1376">
        <v>80</v>
      </c>
      <c r="H1376">
        <v>79.705093383999994</v>
      </c>
      <c r="I1376">
        <v>50</v>
      </c>
      <c r="J1376">
        <v>48.307365417</v>
      </c>
      <c r="K1376">
        <v>1200</v>
      </c>
      <c r="L1376">
        <v>0</v>
      </c>
      <c r="M1376">
        <v>0</v>
      </c>
      <c r="N1376">
        <v>1200</v>
      </c>
    </row>
    <row r="1377" spans="1:14" x14ac:dyDescent="0.25">
      <c r="A1377">
        <v>1473.840195</v>
      </c>
      <c r="B1377" s="1">
        <f>DATE(2014,5,13) + TIME(20,9,52)</f>
        <v>41772.840185185189</v>
      </c>
      <c r="C1377">
        <v>1381.4101562000001</v>
      </c>
      <c r="D1377">
        <v>1365.8889160000001</v>
      </c>
      <c r="E1377">
        <v>1323.1815185999999</v>
      </c>
      <c r="F1377">
        <v>1320.0479736</v>
      </c>
      <c r="G1377">
        <v>80</v>
      </c>
      <c r="H1377">
        <v>79.723838806000003</v>
      </c>
      <c r="I1377">
        <v>50</v>
      </c>
      <c r="J1377">
        <v>48.255920410000002</v>
      </c>
      <c r="K1377">
        <v>1200</v>
      </c>
      <c r="L1377">
        <v>0</v>
      </c>
      <c r="M1377">
        <v>0</v>
      </c>
      <c r="N1377">
        <v>1200</v>
      </c>
    </row>
    <row r="1378" spans="1:14" x14ac:dyDescent="0.25">
      <c r="A1378">
        <v>1474.35787</v>
      </c>
      <c r="B1378" s="1">
        <f>DATE(2014,5,14) + TIME(8,35,20)</f>
        <v>41773.357870370368</v>
      </c>
      <c r="C1378">
        <v>1381.3352050999999</v>
      </c>
      <c r="D1378">
        <v>1365.8327637</v>
      </c>
      <c r="E1378">
        <v>1323.1738281</v>
      </c>
      <c r="F1378">
        <v>1320.0382079999999</v>
      </c>
      <c r="G1378">
        <v>80</v>
      </c>
      <c r="H1378">
        <v>79.739227295000006</v>
      </c>
      <c r="I1378">
        <v>50</v>
      </c>
      <c r="J1378">
        <v>48.204364777000002</v>
      </c>
      <c r="K1378">
        <v>1200</v>
      </c>
      <c r="L1378">
        <v>0</v>
      </c>
      <c r="M1378">
        <v>0</v>
      </c>
      <c r="N1378">
        <v>1200</v>
      </c>
    </row>
    <row r="1379" spans="1:14" x14ac:dyDescent="0.25">
      <c r="A1379">
        <v>1474.88113</v>
      </c>
      <c r="B1379" s="1">
        <f>DATE(2014,5,14) + TIME(21,8,49)</f>
        <v>41773.881122685183</v>
      </c>
      <c r="C1379">
        <v>1381.2623291</v>
      </c>
      <c r="D1379">
        <v>1365.7780762</v>
      </c>
      <c r="E1379">
        <v>1323.1661377</v>
      </c>
      <c r="F1379">
        <v>1320.0283202999999</v>
      </c>
      <c r="G1379">
        <v>80</v>
      </c>
      <c r="H1379">
        <v>79.751899718999994</v>
      </c>
      <c r="I1379">
        <v>50</v>
      </c>
      <c r="J1379">
        <v>48.152561188</v>
      </c>
      <c r="K1379">
        <v>1200</v>
      </c>
      <c r="L1379">
        <v>0</v>
      </c>
      <c r="M1379">
        <v>0</v>
      </c>
      <c r="N1379">
        <v>1200</v>
      </c>
    </row>
    <row r="1380" spans="1:14" x14ac:dyDescent="0.25">
      <c r="A1380">
        <v>1475.411666</v>
      </c>
      <c r="B1380" s="1">
        <f>DATE(2014,5,15) + TIME(9,52,47)</f>
        <v>41774.41165509259</v>
      </c>
      <c r="C1380">
        <v>1381.1912841999999</v>
      </c>
      <c r="D1380">
        <v>1365.7246094</v>
      </c>
      <c r="E1380">
        <v>1323.1582031</v>
      </c>
      <c r="F1380">
        <v>1320.0181885</v>
      </c>
      <c r="G1380">
        <v>80</v>
      </c>
      <c r="H1380">
        <v>79.76234436</v>
      </c>
      <c r="I1380">
        <v>50</v>
      </c>
      <c r="J1380">
        <v>48.100379943999997</v>
      </c>
      <c r="K1380">
        <v>1200</v>
      </c>
      <c r="L1380">
        <v>0</v>
      </c>
      <c r="M1380">
        <v>0</v>
      </c>
      <c r="N1380">
        <v>1200</v>
      </c>
    </row>
    <row r="1381" spans="1:14" x14ac:dyDescent="0.25">
      <c r="A1381">
        <v>1475.9512010000001</v>
      </c>
      <c r="B1381" s="1">
        <f>DATE(2014,5,15) + TIME(22,49,43)</f>
        <v>41774.951192129629</v>
      </c>
      <c r="C1381">
        <v>1381.121582</v>
      </c>
      <c r="D1381">
        <v>1365.6721190999999</v>
      </c>
      <c r="E1381">
        <v>1323.1501464999999</v>
      </c>
      <c r="F1381">
        <v>1320.0078125</v>
      </c>
      <c r="G1381">
        <v>80</v>
      </c>
      <c r="H1381">
        <v>79.770965575999995</v>
      </c>
      <c r="I1381">
        <v>50</v>
      </c>
      <c r="J1381">
        <v>48.047676086000003</v>
      </c>
      <c r="K1381">
        <v>1200</v>
      </c>
      <c r="L1381">
        <v>0</v>
      </c>
      <c r="M1381">
        <v>0</v>
      </c>
      <c r="N1381">
        <v>1200</v>
      </c>
    </row>
    <row r="1382" spans="1:14" x14ac:dyDescent="0.25">
      <c r="A1382">
        <v>1476.501514</v>
      </c>
      <c r="B1382" s="1">
        <f>DATE(2014,5,16) + TIME(12,2,10)</f>
        <v>41775.501504629632</v>
      </c>
      <c r="C1382">
        <v>1381.0531006000001</v>
      </c>
      <c r="D1382">
        <v>1365.6204834</v>
      </c>
      <c r="E1382">
        <v>1323.1418457</v>
      </c>
      <c r="F1382">
        <v>1319.9971923999999</v>
      </c>
      <c r="G1382">
        <v>80</v>
      </c>
      <c r="H1382">
        <v>79.778091431000007</v>
      </c>
      <c r="I1382">
        <v>50</v>
      </c>
      <c r="J1382">
        <v>47.994316101000003</v>
      </c>
      <c r="K1382">
        <v>1200</v>
      </c>
      <c r="L1382">
        <v>0</v>
      </c>
      <c r="M1382">
        <v>0</v>
      </c>
      <c r="N1382">
        <v>1200</v>
      </c>
    </row>
    <row r="1383" spans="1:14" x14ac:dyDescent="0.25">
      <c r="A1383">
        <v>1477.06448</v>
      </c>
      <c r="B1383" s="1">
        <f>DATE(2014,5,17) + TIME(1,32,51)</f>
        <v>41776.064479166664</v>
      </c>
      <c r="C1383">
        <v>1380.9854736</v>
      </c>
      <c r="D1383">
        <v>1365.5693358999999</v>
      </c>
      <c r="E1383">
        <v>1323.1333007999999</v>
      </c>
      <c r="F1383">
        <v>1319.9863281</v>
      </c>
      <c r="G1383">
        <v>80</v>
      </c>
      <c r="H1383">
        <v>79.783981323000006</v>
      </c>
      <c r="I1383">
        <v>50</v>
      </c>
      <c r="J1383">
        <v>47.940147400000001</v>
      </c>
      <c r="K1383">
        <v>1200</v>
      </c>
      <c r="L1383">
        <v>0</v>
      </c>
      <c r="M1383">
        <v>0</v>
      </c>
      <c r="N1383">
        <v>1200</v>
      </c>
    </row>
    <row r="1384" spans="1:14" x14ac:dyDescent="0.25">
      <c r="A1384">
        <v>1477.64221</v>
      </c>
      <c r="B1384" s="1">
        <f>DATE(2014,5,17) + TIME(15,24,46)</f>
        <v>41776.642199074071</v>
      </c>
      <c r="C1384">
        <v>1380.9183350000001</v>
      </c>
      <c r="D1384">
        <v>1365.5186768000001</v>
      </c>
      <c r="E1384">
        <v>1323.1245117000001</v>
      </c>
      <c r="F1384">
        <v>1319.9749756000001</v>
      </c>
      <c r="G1384">
        <v>80</v>
      </c>
      <c r="H1384">
        <v>79.788848877000007</v>
      </c>
      <c r="I1384">
        <v>50</v>
      </c>
      <c r="J1384">
        <v>47.885005950999997</v>
      </c>
      <c r="K1384">
        <v>1200</v>
      </c>
      <c r="L1384">
        <v>0</v>
      </c>
      <c r="M1384">
        <v>0</v>
      </c>
      <c r="N1384">
        <v>1200</v>
      </c>
    </row>
    <row r="1385" spans="1:14" x14ac:dyDescent="0.25">
      <c r="A1385">
        <v>1478.237124</v>
      </c>
      <c r="B1385" s="1">
        <f>DATE(2014,5,18) + TIME(5,41,27)</f>
        <v>41777.237118055556</v>
      </c>
      <c r="C1385">
        <v>1380.8516846</v>
      </c>
      <c r="D1385">
        <v>1365.4682617000001</v>
      </c>
      <c r="E1385">
        <v>1323.1153564000001</v>
      </c>
      <c r="F1385">
        <v>1319.9633789</v>
      </c>
      <c r="G1385">
        <v>80</v>
      </c>
      <c r="H1385">
        <v>79.792877196999996</v>
      </c>
      <c r="I1385">
        <v>50</v>
      </c>
      <c r="J1385">
        <v>47.828693389999998</v>
      </c>
      <c r="K1385">
        <v>1200</v>
      </c>
      <c r="L1385">
        <v>0</v>
      </c>
      <c r="M1385">
        <v>0</v>
      </c>
      <c r="N1385">
        <v>1200</v>
      </c>
    </row>
    <row r="1386" spans="1:14" x14ac:dyDescent="0.25">
      <c r="A1386">
        <v>1478.851392</v>
      </c>
      <c r="B1386" s="1">
        <f>DATE(2014,5,18) + TIME(20,26,0)</f>
        <v>41777.851388888892</v>
      </c>
      <c r="C1386">
        <v>1380.7851562000001</v>
      </c>
      <c r="D1386">
        <v>1365.4178466999999</v>
      </c>
      <c r="E1386">
        <v>1323.105957</v>
      </c>
      <c r="F1386">
        <v>1319.9511719</v>
      </c>
      <c r="G1386">
        <v>80</v>
      </c>
      <c r="H1386">
        <v>79.796195983999993</v>
      </c>
      <c r="I1386">
        <v>50</v>
      </c>
      <c r="J1386">
        <v>47.771053314</v>
      </c>
      <c r="K1386">
        <v>1200</v>
      </c>
      <c r="L1386">
        <v>0</v>
      </c>
      <c r="M1386">
        <v>0</v>
      </c>
      <c r="N1386">
        <v>1200</v>
      </c>
    </row>
    <row r="1387" spans="1:14" x14ac:dyDescent="0.25">
      <c r="A1387">
        <v>1479.4877719999999</v>
      </c>
      <c r="B1387" s="1">
        <f>DATE(2014,5,19) + TIME(11,42,23)</f>
        <v>41778.487766203703</v>
      </c>
      <c r="C1387">
        <v>1380.7183838000001</v>
      </c>
      <c r="D1387">
        <v>1365.3673096</v>
      </c>
      <c r="E1387">
        <v>1323.0961914</v>
      </c>
      <c r="F1387">
        <v>1319.9385986</v>
      </c>
      <c r="G1387">
        <v>80</v>
      </c>
      <c r="H1387">
        <v>79.798942565999994</v>
      </c>
      <c r="I1387">
        <v>50</v>
      </c>
      <c r="J1387">
        <v>47.711864470999998</v>
      </c>
      <c r="K1387">
        <v>1200</v>
      </c>
      <c r="L1387">
        <v>0</v>
      </c>
      <c r="M1387">
        <v>0</v>
      </c>
      <c r="N1387">
        <v>1200</v>
      </c>
    </row>
    <row r="1388" spans="1:14" x14ac:dyDescent="0.25">
      <c r="A1388">
        <v>1480.1493829999999</v>
      </c>
      <c r="B1388" s="1">
        <f>DATE(2014,5,20) + TIME(3,35,6)</f>
        <v>41779.149375000001</v>
      </c>
      <c r="C1388">
        <v>1380.6513672000001</v>
      </c>
      <c r="D1388">
        <v>1365.3166504000001</v>
      </c>
      <c r="E1388">
        <v>1323.0859375</v>
      </c>
      <c r="F1388">
        <v>1319.9254149999999</v>
      </c>
      <c r="G1388">
        <v>80</v>
      </c>
      <c r="H1388">
        <v>79.801200867000006</v>
      </c>
      <c r="I1388">
        <v>50</v>
      </c>
      <c r="J1388">
        <v>47.650897980000003</v>
      </c>
      <c r="K1388">
        <v>1200</v>
      </c>
      <c r="L1388">
        <v>0</v>
      </c>
      <c r="M1388">
        <v>0</v>
      </c>
      <c r="N1388">
        <v>1200</v>
      </c>
    </row>
    <row r="1389" spans="1:14" x14ac:dyDescent="0.25">
      <c r="A1389">
        <v>1480.8398340000001</v>
      </c>
      <c r="B1389" s="1">
        <f>DATE(2014,5,20) + TIME(20,9,21)</f>
        <v>41779.839826388888</v>
      </c>
      <c r="C1389">
        <v>1380.5837402</v>
      </c>
      <c r="D1389">
        <v>1365.2655029</v>
      </c>
      <c r="E1389">
        <v>1323.0751952999999</v>
      </c>
      <c r="F1389">
        <v>1319.9116211</v>
      </c>
      <c r="G1389">
        <v>80</v>
      </c>
      <c r="H1389">
        <v>79.803062439000001</v>
      </c>
      <c r="I1389">
        <v>50</v>
      </c>
      <c r="J1389">
        <v>47.587879180999998</v>
      </c>
      <c r="K1389">
        <v>1200</v>
      </c>
      <c r="L1389">
        <v>0</v>
      </c>
      <c r="M1389">
        <v>0</v>
      </c>
      <c r="N1389">
        <v>1200</v>
      </c>
    </row>
    <row r="1390" spans="1:14" x14ac:dyDescent="0.25">
      <c r="A1390">
        <v>1481.5617870000001</v>
      </c>
      <c r="B1390" s="1">
        <f>DATE(2014,5,21) + TIME(13,28,58)</f>
        <v>41780.561782407407</v>
      </c>
      <c r="C1390">
        <v>1380.5152588000001</v>
      </c>
      <c r="D1390">
        <v>1365.2137451000001</v>
      </c>
      <c r="E1390">
        <v>1323.0639647999999</v>
      </c>
      <c r="F1390">
        <v>1319.8970947</v>
      </c>
      <c r="G1390">
        <v>80</v>
      </c>
      <c r="H1390">
        <v>79.804588318</v>
      </c>
      <c r="I1390">
        <v>50</v>
      </c>
      <c r="J1390">
        <v>47.522613524999997</v>
      </c>
      <c r="K1390">
        <v>1200</v>
      </c>
      <c r="L1390">
        <v>0</v>
      </c>
      <c r="M1390">
        <v>0</v>
      </c>
      <c r="N1390">
        <v>1200</v>
      </c>
    </row>
    <row r="1391" spans="1:14" x14ac:dyDescent="0.25">
      <c r="A1391">
        <v>1482.3162420000001</v>
      </c>
      <c r="B1391" s="1">
        <f>DATE(2014,5,22) + TIME(7,35,23)</f>
        <v>41781.316238425927</v>
      </c>
      <c r="C1391">
        <v>1380.4458007999999</v>
      </c>
      <c r="D1391">
        <v>1365.1611327999999</v>
      </c>
      <c r="E1391">
        <v>1323.052124</v>
      </c>
      <c r="F1391">
        <v>1319.8818358999999</v>
      </c>
      <c r="G1391">
        <v>80</v>
      </c>
      <c r="H1391">
        <v>79.805831909000005</v>
      </c>
      <c r="I1391">
        <v>50</v>
      </c>
      <c r="J1391">
        <v>47.455024719000001</v>
      </c>
      <c r="K1391">
        <v>1200</v>
      </c>
      <c r="L1391">
        <v>0</v>
      </c>
      <c r="M1391">
        <v>0</v>
      </c>
      <c r="N1391">
        <v>1200</v>
      </c>
    </row>
    <row r="1392" spans="1:14" x14ac:dyDescent="0.25">
      <c r="A1392">
        <v>1483.080168</v>
      </c>
      <c r="B1392" s="1">
        <f>DATE(2014,5,23) + TIME(1,55,26)</f>
        <v>41782.08016203704</v>
      </c>
      <c r="C1392">
        <v>1380.3753661999999</v>
      </c>
      <c r="D1392">
        <v>1365.1079102000001</v>
      </c>
      <c r="E1392">
        <v>1323.0395507999999</v>
      </c>
      <c r="F1392">
        <v>1319.8657227000001</v>
      </c>
      <c r="G1392">
        <v>80</v>
      </c>
      <c r="H1392">
        <v>79.806823730000005</v>
      </c>
      <c r="I1392">
        <v>50</v>
      </c>
      <c r="J1392">
        <v>47.386714935000001</v>
      </c>
      <c r="K1392">
        <v>1200</v>
      </c>
      <c r="L1392">
        <v>0</v>
      </c>
      <c r="M1392">
        <v>0</v>
      </c>
      <c r="N1392">
        <v>1200</v>
      </c>
    </row>
    <row r="1393" spans="1:14" x14ac:dyDescent="0.25">
      <c r="A1393">
        <v>1483.8458880000001</v>
      </c>
      <c r="B1393" s="1">
        <f>DATE(2014,5,23) + TIME(20,18,4)</f>
        <v>41782.845879629633</v>
      </c>
      <c r="C1393">
        <v>1380.3061522999999</v>
      </c>
      <c r="D1393">
        <v>1365.0556641000001</v>
      </c>
      <c r="E1393">
        <v>1323.0267334</v>
      </c>
      <c r="F1393">
        <v>1319.8492432</v>
      </c>
      <c r="G1393">
        <v>80</v>
      </c>
      <c r="H1393">
        <v>79.807601929</v>
      </c>
      <c r="I1393">
        <v>50</v>
      </c>
      <c r="J1393">
        <v>47.318283080999997</v>
      </c>
      <c r="K1393">
        <v>1200</v>
      </c>
      <c r="L1393">
        <v>0</v>
      </c>
      <c r="M1393">
        <v>0</v>
      </c>
      <c r="N1393">
        <v>1200</v>
      </c>
    </row>
    <row r="1394" spans="1:14" x14ac:dyDescent="0.25">
      <c r="A1394">
        <v>1484.6161159999999</v>
      </c>
      <c r="B1394" s="1">
        <f>DATE(2014,5,24) + TIME(14,47,12)</f>
        <v>41783.616111111114</v>
      </c>
      <c r="C1394">
        <v>1380.2387695</v>
      </c>
      <c r="D1394">
        <v>1365.0047606999999</v>
      </c>
      <c r="E1394">
        <v>1323.0137939000001</v>
      </c>
      <c r="F1394">
        <v>1319.8325195</v>
      </c>
      <c r="G1394">
        <v>80</v>
      </c>
      <c r="H1394">
        <v>79.808227539000001</v>
      </c>
      <c r="I1394">
        <v>50</v>
      </c>
      <c r="J1394">
        <v>47.249610900999997</v>
      </c>
      <c r="K1394">
        <v>1200</v>
      </c>
      <c r="L1394">
        <v>0</v>
      </c>
      <c r="M1394">
        <v>0</v>
      </c>
      <c r="N1394">
        <v>1200</v>
      </c>
    </row>
    <row r="1395" spans="1:14" x14ac:dyDescent="0.25">
      <c r="A1395">
        <v>1485.39347</v>
      </c>
      <c r="B1395" s="1">
        <f>DATE(2014,5,25) + TIME(9,26,35)</f>
        <v>41784.393460648149</v>
      </c>
      <c r="C1395">
        <v>1380.1728516000001</v>
      </c>
      <c r="D1395">
        <v>1364.9550781</v>
      </c>
      <c r="E1395">
        <v>1323.0006103999999</v>
      </c>
      <c r="F1395">
        <v>1319.8155518000001</v>
      </c>
      <c r="G1395">
        <v>80</v>
      </c>
      <c r="H1395">
        <v>79.808723450000002</v>
      </c>
      <c r="I1395">
        <v>50</v>
      </c>
      <c r="J1395">
        <v>47.180561066000003</v>
      </c>
      <c r="K1395">
        <v>1200</v>
      </c>
      <c r="L1395">
        <v>0</v>
      </c>
      <c r="M1395">
        <v>0</v>
      </c>
      <c r="N1395">
        <v>1200</v>
      </c>
    </row>
    <row r="1396" spans="1:14" x14ac:dyDescent="0.25">
      <c r="A1396">
        <v>1486.1805179999999</v>
      </c>
      <c r="B1396" s="1">
        <f>DATE(2014,5,26) + TIME(4,19,56)</f>
        <v>41785.180509259262</v>
      </c>
      <c r="C1396">
        <v>1380.1080322</v>
      </c>
      <c r="D1396">
        <v>1364.90625</v>
      </c>
      <c r="E1396">
        <v>1322.9871826000001</v>
      </c>
      <c r="F1396">
        <v>1319.7983397999999</v>
      </c>
      <c r="G1396">
        <v>80</v>
      </c>
      <c r="H1396">
        <v>79.809135436999995</v>
      </c>
      <c r="I1396">
        <v>50</v>
      </c>
      <c r="J1396">
        <v>47.110980988000001</v>
      </c>
      <c r="K1396">
        <v>1200</v>
      </c>
      <c r="L1396">
        <v>0</v>
      </c>
      <c r="M1396">
        <v>0</v>
      </c>
      <c r="N1396">
        <v>1200</v>
      </c>
    </row>
    <row r="1397" spans="1:14" x14ac:dyDescent="0.25">
      <c r="A1397">
        <v>1486.979859</v>
      </c>
      <c r="B1397" s="1">
        <f>DATE(2014,5,26) + TIME(23,30,59)</f>
        <v>41785.979849537034</v>
      </c>
      <c r="C1397">
        <v>1380.0443115</v>
      </c>
      <c r="D1397">
        <v>1364.8581543</v>
      </c>
      <c r="E1397">
        <v>1322.9735106999999</v>
      </c>
      <c r="F1397">
        <v>1319.7806396000001</v>
      </c>
      <c r="G1397">
        <v>80</v>
      </c>
      <c r="H1397">
        <v>79.809471130000006</v>
      </c>
      <c r="I1397">
        <v>50</v>
      </c>
      <c r="J1397">
        <v>47.040706634999999</v>
      </c>
      <c r="K1397">
        <v>1200</v>
      </c>
      <c r="L1397">
        <v>0</v>
      </c>
      <c r="M1397">
        <v>0</v>
      </c>
      <c r="N1397">
        <v>1200</v>
      </c>
    </row>
    <row r="1398" spans="1:14" x14ac:dyDescent="0.25">
      <c r="A1398">
        <v>1487.794187</v>
      </c>
      <c r="B1398" s="1">
        <f>DATE(2014,5,27) + TIME(19,3,37)</f>
        <v>41786.794178240743</v>
      </c>
      <c r="C1398">
        <v>1379.9810791</v>
      </c>
      <c r="D1398">
        <v>1364.8105469</v>
      </c>
      <c r="E1398">
        <v>1322.9594727000001</v>
      </c>
      <c r="F1398">
        <v>1319.7625731999999</v>
      </c>
      <c r="G1398">
        <v>80</v>
      </c>
      <c r="H1398">
        <v>79.809753418</v>
      </c>
      <c r="I1398">
        <v>50</v>
      </c>
      <c r="J1398">
        <v>46.969551086000003</v>
      </c>
      <c r="K1398">
        <v>1200</v>
      </c>
      <c r="L1398">
        <v>0</v>
      </c>
      <c r="M1398">
        <v>0</v>
      </c>
      <c r="N1398">
        <v>1200</v>
      </c>
    </row>
    <row r="1399" spans="1:14" x14ac:dyDescent="0.25">
      <c r="A1399">
        <v>1488.626342</v>
      </c>
      <c r="B1399" s="1">
        <f>DATE(2014,5,28) + TIME(15,1,55)</f>
        <v>41787.626331018517</v>
      </c>
      <c r="C1399">
        <v>1379.918457</v>
      </c>
      <c r="D1399">
        <v>1364.7633057</v>
      </c>
      <c r="E1399">
        <v>1322.9451904</v>
      </c>
      <c r="F1399">
        <v>1319.7438964999999</v>
      </c>
      <c r="G1399">
        <v>80</v>
      </c>
      <c r="H1399">
        <v>79.809997558999996</v>
      </c>
      <c r="I1399">
        <v>50</v>
      </c>
      <c r="J1399">
        <v>46.897315978999998</v>
      </c>
      <c r="K1399">
        <v>1200</v>
      </c>
      <c r="L1399">
        <v>0</v>
      </c>
      <c r="M1399">
        <v>0</v>
      </c>
      <c r="N1399">
        <v>1200</v>
      </c>
    </row>
    <row r="1400" spans="1:14" x14ac:dyDescent="0.25">
      <c r="A1400">
        <v>1489.479505</v>
      </c>
      <c r="B1400" s="1">
        <f>DATE(2014,5,29) + TIME(11,30,29)</f>
        <v>41788.479502314818</v>
      </c>
      <c r="C1400">
        <v>1379.855957</v>
      </c>
      <c r="D1400">
        <v>1364.7161865</v>
      </c>
      <c r="E1400">
        <v>1322.9304199000001</v>
      </c>
      <c r="F1400">
        <v>1319.7247314000001</v>
      </c>
      <c r="G1400">
        <v>80</v>
      </c>
      <c r="H1400">
        <v>79.810203552000004</v>
      </c>
      <c r="I1400">
        <v>50</v>
      </c>
      <c r="J1400">
        <v>46.823772429999998</v>
      </c>
      <c r="K1400">
        <v>1200</v>
      </c>
      <c r="L1400">
        <v>0</v>
      </c>
      <c r="M1400">
        <v>0</v>
      </c>
      <c r="N1400">
        <v>1200</v>
      </c>
    </row>
    <row r="1401" spans="1:14" x14ac:dyDescent="0.25">
      <c r="A1401">
        <v>1490.357338</v>
      </c>
      <c r="B1401" s="1">
        <f>DATE(2014,5,30) + TIME(8,34,33)</f>
        <v>41789.35732638889</v>
      </c>
      <c r="C1401">
        <v>1379.793457</v>
      </c>
      <c r="D1401">
        <v>1364.6691894999999</v>
      </c>
      <c r="E1401">
        <v>1322.9151611</v>
      </c>
      <c r="F1401">
        <v>1319.7049560999999</v>
      </c>
      <c r="G1401">
        <v>80</v>
      </c>
      <c r="H1401">
        <v>79.810394286999994</v>
      </c>
      <c r="I1401">
        <v>50</v>
      </c>
      <c r="J1401">
        <v>46.748664855999998</v>
      </c>
      <c r="K1401">
        <v>1200</v>
      </c>
      <c r="L1401">
        <v>0</v>
      </c>
      <c r="M1401">
        <v>0</v>
      </c>
      <c r="N1401">
        <v>1200</v>
      </c>
    </row>
    <row r="1402" spans="1:14" x14ac:dyDescent="0.25">
      <c r="A1402">
        <v>1491.2631349999999</v>
      </c>
      <c r="B1402" s="1">
        <f>DATE(2014,5,31) + TIME(6,18,54)</f>
        <v>41790.263124999998</v>
      </c>
      <c r="C1402">
        <v>1379.7307129000001</v>
      </c>
      <c r="D1402">
        <v>1364.6220702999999</v>
      </c>
      <c r="E1402">
        <v>1322.8992920000001</v>
      </c>
      <c r="F1402">
        <v>1319.6844481999999</v>
      </c>
      <c r="G1402">
        <v>80</v>
      </c>
      <c r="H1402">
        <v>79.810562133999994</v>
      </c>
      <c r="I1402">
        <v>50</v>
      </c>
      <c r="J1402">
        <v>46.671749114999997</v>
      </c>
      <c r="K1402">
        <v>1200</v>
      </c>
      <c r="L1402">
        <v>0</v>
      </c>
      <c r="M1402">
        <v>0</v>
      </c>
      <c r="N1402">
        <v>1200</v>
      </c>
    </row>
    <row r="1403" spans="1:14" x14ac:dyDescent="0.25">
      <c r="A1403">
        <v>1492</v>
      </c>
      <c r="B1403" s="1">
        <f>DATE(2014,6,1) + TIME(0,0,0)</f>
        <v>41791</v>
      </c>
      <c r="C1403">
        <v>1379.6676024999999</v>
      </c>
      <c r="D1403">
        <v>1364.5744629000001</v>
      </c>
      <c r="E1403">
        <v>1322.8828125</v>
      </c>
      <c r="F1403">
        <v>1319.6636963000001</v>
      </c>
      <c r="G1403">
        <v>80</v>
      </c>
      <c r="H1403">
        <v>79.810668945000003</v>
      </c>
      <c r="I1403">
        <v>50</v>
      </c>
      <c r="J1403">
        <v>46.606182097999998</v>
      </c>
      <c r="K1403">
        <v>1200</v>
      </c>
      <c r="L1403">
        <v>0</v>
      </c>
      <c r="M1403">
        <v>0</v>
      </c>
      <c r="N1403">
        <v>1200</v>
      </c>
    </row>
    <row r="1404" spans="1:14" x14ac:dyDescent="0.25">
      <c r="A1404">
        <v>1492.9379389999999</v>
      </c>
      <c r="B1404" s="1">
        <f>DATE(2014,6,1) + TIME(22,30,37)</f>
        <v>41791.937928240739</v>
      </c>
      <c r="C1404">
        <v>1379.6174315999999</v>
      </c>
      <c r="D1404">
        <v>1364.5367432</v>
      </c>
      <c r="E1404">
        <v>1322.8692627</v>
      </c>
      <c r="F1404">
        <v>1319.6452637</v>
      </c>
      <c r="G1404">
        <v>80</v>
      </c>
      <c r="H1404">
        <v>79.810813904</v>
      </c>
      <c r="I1404">
        <v>50</v>
      </c>
      <c r="J1404">
        <v>46.527919769</v>
      </c>
      <c r="K1404">
        <v>1200</v>
      </c>
      <c r="L1404">
        <v>0</v>
      </c>
      <c r="M1404">
        <v>0</v>
      </c>
      <c r="N1404">
        <v>1200</v>
      </c>
    </row>
    <row r="1405" spans="1:14" x14ac:dyDescent="0.25">
      <c r="A1405">
        <v>1493.9456990000001</v>
      </c>
      <c r="B1405" s="1">
        <f>DATE(2014,6,2) + TIME(22,41,48)</f>
        <v>41792.945694444446</v>
      </c>
      <c r="C1405">
        <v>1379.5550536999999</v>
      </c>
      <c r="D1405">
        <v>1364.4898682</v>
      </c>
      <c r="E1405">
        <v>1322.8521728999999</v>
      </c>
      <c r="F1405">
        <v>1319.6228027</v>
      </c>
      <c r="G1405">
        <v>80</v>
      </c>
      <c r="H1405">
        <v>79.810966492000006</v>
      </c>
      <c r="I1405">
        <v>50</v>
      </c>
      <c r="J1405">
        <v>46.445087432999998</v>
      </c>
      <c r="K1405">
        <v>1200</v>
      </c>
      <c r="L1405">
        <v>0</v>
      </c>
      <c r="M1405">
        <v>0</v>
      </c>
      <c r="N1405">
        <v>1200</v>
      </c>
    </row>
    <row r="1406" spans="1:14" x14ac:dyDescent="0.25">
      <c r="A1406">
        <v>1494.9544129999999</v>
      </c>
      <c r="B1406" s="1">
        <f>DATE(2014,6,3) + TIME(22,54,21)</f>
        <v>41793.954409722224</v>
      </c>
      <c r="C1406">
        <v>1379.4895019999999</v>
      </c>
      <c r="D1406">
        <v>1364.4405518000001</v>
      </c>
      <c r="E1406">
        <v>1322.8336182</v>
      </c>
      <c r="F1406">
        <v>1319.5988769999999</v>
      </c>
      <c r="G1406">
        <v>80</v>
      </c>
      <c r="H1406">
        <v>79.811096191000004</v>
      </c>
      <c r="I1406">
        <v>50</v>
      </c>
      <c r="J1406">
        <v>46.361679076999998</v>
      </c>
      <c r="K1406">
        <v>1200</v>
      </c>
      <c r="L1406">
        <v>0</v>
      </c>
      <c r="M1406">
        <v>0</v>
      </c>
      <c r="N1406">
        <v>1200</v>
      </c>
    </row>
    <row r="1407" spans="1:14" x14ac:dyDescent="0.25">
      <c r="A1407">
        <v>1495.965453</v>
      </c>
      <c r="B1407" s="1">
        <f>DATE(2014,6,4) + TIME(23,10,15)</f>
        <v>41794.965451388889</v>
      </c>
      <c r="C1407">
        <v>1379.4255370999999</v>
      </c>
      <c r="D1407">
        <v>1364.3924560999999</v>
      </c>
      <c r="E1407">
        <v>1322.8148193</v>
      </c>
      <c r="F1407">
        <v>1319.5744629000001</v>
      </c>
      <c r="G1407">
        <v>80</v>
      </c>
      <c r="H1407">
        <v>79.811225891000007</v>
      </c>
      <c r="I1407">
        <v>50</v>
      </c>
      <c r="J1407">
        <v>46.277832031000003</v>
      </c>
      <c r="K1407">
        <v>1200</v>
      </c>
      <c r="L1407">
        <v>0</v>
      </c>
      <c r="M1407">
        <v>0</v>
      </c>
      <c r="N1407">
        <v>1200</v>
      </c>
    </row>
    <row r="1408" spans="1:14" x14ac:dyDescent="0.25">
      <c r="A1408">
        <v>1496.982266</v>
      </c>
      <c r="B1408" s="1">
        <f>DATE(2014,6,5) + TIME(23,34,27)</f>
        <v>41795.982256944444</v>
      </c>
      <c r="C1408">
        <v>1379.3629149999999</v>
      </c>
      <c r="D1408">
        <v>1364.3454589999999</v>
      </c>
      <c r="E1408">
        <v>1322.7958983999999</v>
      </c>
      <c r="F1408">
        <v>1319.5498047000001</v>
      </c>
      <c r="G1408">
        <v>80</v>
      </c>
      <c r="H1408">
        <v>79.811347960999996</v>
      </c>
      <c r="I1408">
        <v>50</v>
      </c>
      <c r="J1408">
        <v>46.193489075000002</v>
      </c>
      <c r="K1408">
        <v>1200</v>
      </c>
      <c r="L1408">
        <v>0</v>
      </c>
      <c r="M1408">
        <v>0</v>
      </c>
      <c r="N1408">
        <v>1200</v>
      </c>
    </row>
    <row r="1409" spans="1:14" x14ac:dyDescent="0.25">
      <c r="A1409">
        <v>1498.0082030000001</v>
      </c>
      <c r="B1409" s="1">
        <f>DATE(2014,6,7) + TIME(0,11,48)</f>
        <v>41797.008194444446</v>
      </c>
      <c r="C1409">
        <v>1379.3015137</v>
      </c>
      <c r="D1409">
        <v>1364.2991943</v>
      </c>
      <c r="E1409">
        <v>1322.7766113</v>
      </c>
      <c r="F1409">
        <v>1319.5246582</v>
      </c>
      <c r="G1409">
        <v>80</v>
      </c>
      <c r="H1409">
        <v>79.811462402000004</v>
      </c>
      <c r="I1409">
        <v>50</v>
      </c>
      <c r="J1409">
        <v>46.108528137</v>
      </c>
      <c r="K1409">
        <v>1200</v>
      </c>
      <c r="L1409">
        <v>0</v>
      </c>
      <c r="M1409">
        <v>0</v>
      </c>
      <c r="N1409">
        <v>1200</v>
      </c>
    </row>
    <row r="1410" spans="1:14" x14ac:dyDescent="0.25">
      <c r="A1410">
        <v>1499.046601</v>
      </c>
      <c r="B1410" s="1">
        <f>DATE(2014,6,8) + TIME(1,7,6)</f>
        <v>41798.046597222223</v>
      </c>
      <c r="C1410">
        <v>1379.2409668</v>
      </c>
      <c r="D1410">
        <v>1364.2536620999999</v>
      </c>
      <c r="E1410">
        <v>1322.7570800999999</v>
      </c>
      <c r="F1410">
        <v>1319.4991454999999</v>
      </c>
      <c r="G1410">
        <v>80</v>
      </c>
      <c r="H1410">
        <v>79.811584472999996</v>
      </c>
      <c r="I1410">
        <v>50</v>
      </c>
      <c r="J1410">
        <v>46.022792815999999</v>
      </c>
      <c r="K1410">
        <v>1200</v>
      </c>
      <c r="L1410">
        <v>0</v>
      </c>
      <c r="M1410">
        <v>0</v>
      </c>
      <c r="N1410">
        <v>1200</v>
      </c>
    </row>
    <row r="1411" spans="1:14" x14ac:dyDescent="0.25">
      <c r="A1411">
        <v>1500.10086</v>
      </c>
      <c r="B1411" s="1">
        <f>DATE(2014,6,9) + TIME(2,25,14)</f>
        <v>41799.100856481484</v>
      </c>
      <c r="C1411">
        <v>1379.1810303</v>
      </c>
      <c r="D1411">
        <v>1364.2086182</v>
      </c>
      <c r="E1411">
        <v>1322.7371826000001</v>
      </c>
      <c r="F1411">
        <v>1319.4730225000001</v>
      </c>
      <c r="G1411">
        <v>80</v>
      </c>
      <c r="H1411">
        <v>79.811706543</v>
      </c>
      <c r="I1411">
        <v>50</v>
      </c>
      <c r="J1411">
        <v>45.936092377000001</v>
      </c>
      <c r="K1411">
        <v>1200</v>
      </c>
      <c r="L1411">
        <v>0</v>
      </c>
      <c r="M1411">
        <v>0</v>
      </c>
      <c r="N1411">
        <v>1200</v>
      </c>
    </row>
    <row r="1412" spans="1:14" x14ac:dyDescent="0.25">
      <c r="A1412">
        <v>1501.1745169999999</v>
      </c>
      <c r="B1412" s="1">
        <f>DATE(2014,6,10) + TIME(4,11,18)</f>
        <v>41800.174513888887</v>
      </c>
      <c r="C1412">
        <v>1379.121582</v>
      </c>
      <c r="D1412">
        <v>1364.1638184000001</v>
      </c>
      <c r="E1412">
        <v>1322.7169189000001</v>
      </c>
      <c r="F1412">
        <v>1319.4464111</v>
      </c>
      <c r="G1412">
        <v>80</v>
      </c>
      <c r="H1412">
        <v>79.811828613000003</v>
      </c>
      <c r="I1412">
        <v>50</v>
      </c>
      <c r="J1412">
        <v>45.848205565999997</v>
      </c>
      <c r="K1412">
        <v>1200</v>
      </c>
      <c r="L1412">
        <v>0</v>
      </c>
      <c r="M1412">
        <v>0</v>
      </c>
      <c r="N1412">
        <v>1200</v>
      </c>
    </row>
    <row r="1413" spans="1:14" x14ac:dyDescent="0.25">
      <c r="A1413">
        <v>1502.2712779999999</v>
      </c>
      <c r="B1413" s="1">
        <f>DATE(2014,6,11) + TIME(6,30,38)</f>
        <v>41801.271273148152</v>
      </c>
      <c r="C1413">
        <v>1379.0622559000001</v>
      </c>
      <c r="D1413">
        <v>1364.1192627</v>
      </c>
      <c r="E1413">
        <v>1322.6960449000001</v>
      </c>
      <c r="F1413">
        <v>1319.4190673999999</v>
      </c>
      <c r="G1413">
        <v>80</v>
      </c>
      <c r="H1413">
        <v>79.811958313000005</v>
      </c>
      <c r="I1413">
        <v>50</v>
      </c>
      <c r="J1413">
        <v>45.758888245000001</v>
      </c>
      <c r="K1413">
        <v>1200</v>
      </c>
      <c r="L1413">
        <v>0</v>
      </c>
      <c r="M1413">
        <v>0</v>
      </c>
      <c r="N1413">
        <v>1200</v>
      </c>
    </row>
    <row r="1414" spans="1:14" x14ac:dyDescent="0.25">
      <c r="A1414">
        <v>1503.3953570000001</v>
      </c>
      <c r="B1414" s="1">
        <f>DATE(2014,6,12) + TIME(9,29,18)</f>
        <v>41802.39534722222</v>
      </c>
      <c r="C1414">
        <v>1379.0030518000001</v>
      </c>
      <c r="D1414">
        <v>1364.0745850000001</v>
      </c>
      <c r="E1414">
        <v>1322.6746826000001</v>
      </c>
      <c r="F1414">
        <v>1319.3909911999999</v>
      </c>
      <c r="G1414">
        <v>80</v>
      </c>
      <c r="H1414">
        <v>79.812088012999993</v>
      </c>
      <c r="I1414">
        <v>50</v>
      </c>
      <c r="J1414">
        <v>45.667854308999999</v>
      </c>
      <c r="K1414">
        <v>1200</v>
      </c>
      <c r="L1414">
        <v>0</v>
      </c>
      <c r="M1414">
        <v>0</v>
      </c>
      <c r="N1414">
        <v>1200</v>
      </c>
    </row>
    <row r="1415" spans="1:14" x14ac:dyDescent="0.25">
      <c r="A1415">
        <v>1504.5516600000001</v>
      </c>
      <c r="B1415" s="1">
        <f>DATE(2014,6,13) + TIME(13,14,23)</f>
        <v>41803.551655092589</v>
      </c>
      <c r="C1415">
        <v>1378.9437256000001</v>
      </c>
      <c r="D1415">
        <v>1364.0299072</v>
      </c>
      <c r="E1415">
        <v>1322.6525879000001</v>
      </c>
      <c r="F1415">
        <v>1319.3619385</v>
      </c>
      <c r="G1415">
        <v>80</v>
      </c>
      <c r="H1415">
        <v>79.812225342000005</v>
      </c>
      <c r="I1415">
        <v>50</v>
      </c>
      <c r="J1415">
        <v>45.574764252000001</v>
      </c>
      <c r="K1415">
        <v>1200</v>
      </c>
      <c r="L1415">
        <v>0</v>
      </c>
      <c r="M1415">
        <v>0</v>
      </c>
      <c r="N1415">
        <v>1200</v>
      </c>
    </row>
    <row r="1416" spans="1:14" x14ac:dyDescent="0.25">
      <c r="A1416">
        <v>1505.7446</v>
      </c>
      <c r="B1416" s="1">
        <f>DATE(2014,6,14) + TIME(17,52,13)</f>
        <v>41804.74459490741</v>
      </c>
      <c r="C1416">
        <v>1378.8840332</v>
      </c>
      <c r="D1416">
        <v>1363.9849853999999</v>
      </c>
      <c r="E1416">
        <v>1322.6298827999999</v>
      </c>
      <c r="F1416">
        <v>1319.3320312000001</v>
      </c>
      <c r="G1416">
        <v>80</v>
      </c>
      <c r="H1416">
        <v>79.812370299999998</v>
      </c>
      <c r="I1416">
        <v>50</v>
      </c>
      <c r="J1416">
        <v>45.479305267000001</v>
      </c>
      <c r="K1416">
        <v>1200</v>
      </c>
      <c r="L1416">
        <v>0</v>
      </c>
      <c r="M1416">
        <v>0</v>
      </c>
      <c r="N1416">
        <v>1200</v>
      </c>
    </row>
    <row r="1417" spans="1:14" x14ac:dyDescent="0.25">
      <c r="A1417">
        <v>1506.9797940000001</v>
      </c>
      <c r="B1417" s="1">
        <f>DATE(2014,6,15) + TIME(23,30,54)</f>
        <v>41805.979791666665</v>
      </c>
      <c r="C1417">
        <v>1378.8237305</v>
      </c>
      <c r="D1417">
        <v>1363.9395752</v>
      </c>
      <c r="E1417">
        <v>1322.6063231999999</v>
      </c>
      <c r="F1417">
        <v>1319.3009033000001</v>
      </c>
      <c r="G1417">
        <v>80</v>
      </c>
      <c r="H1417">
        <v>79.812515258999994</v>
      </c>
      <c r="I1417">
        <v>50</v>
      </c>
      <c r="J1417">
        <v>45.381084442000002</v>
      </c>
      <c r="K1417">
        <v>1200</v>
      </c>
      <c r="L1417">
        <v>0</v>
      </c>
      <c r="M1417">
        <v>0</v>
      </c>
      <c r="N1417">
        <v>1200</v>
      </c>
    </row>
    <row r="1418" spans="1:14" x14ac:dyDescent="0.25">
      <c r="A1418">
        <v>1508.263661</v>
      </c>
      <c r="B1418" s="1">
        <f>DATE(2014,6,17) + TIME(6,19,40)</f>
        <v>41807.263657407406</v>
      </c>
      <c r="C1418">
        <v>1378.7626952999999</v>
      </c>
      <c r="D1418">
        <v>1363.8934326000001</v>
      </c>
      <c r="E1418">
        <v>1322.5816649999999</v>
      </c>
      <c r="F1418">
        <v>1319.2684326000001</v>
      </c>
      <c r="G1418">
        <v>80</v>
      </c>
      <c r="H1418">
        <v>79.812675475999995</v>
      </c>
      <c r="I1418">
        <v>50</v>
      </c>
      <c r="J1418">
        <v>45.279659271</v>
      </c>
      <c r="K1418">
        <v>1200</v>
      </c>
      <c r="L1418">
        <v>0</v>
      </c>
      <c r="M1418">
        <v>0</v>
      </c>
      <c r="N1418">
        <v>1200</v>
      </c>
    </row>
    <row r="1419" spans="1:14" x14ac:dyDescent="0.25">
      <c r="A1419">
        <v>1509.582496</v>
      </c>
      <c r="B1419" s="1">
        <f>DATE(2014,6,18) + TIME(13,58,47)</f>
        <v>41808.582488425927</v>
      </c>
      <c r="C1419">
        <v>1378.7006836</v>
      </c>
      <c r="D1419">
        <v>1363.8466797000001</v>
      </c>
      <c r="E1419">
        <v>1322.5560303</v>
      </c>
      <c r="F1419">
        <v>1319.2346190999999</v>
      </c>
      <c r="G1419">
        <v>80</v>
      </c>
      <c r="H1419">
        <v>79.812843322999996</v>
      </c>
      <c r="I1419">
        <v>50</v>
      </c>
      <c r="J1419">
        <v>45.175651549999998</v>
      </c>
      <c r="K1419">
        <v>1200</v>
      </c>
      <c r="L1419">
        <v>0</v>
      </c>
      <c r="M1419">
        <v>0</v>
      </c>
      <c r="N1419">
        <v>1200</v>
      </c>
    </row>
    <row r="1420" spans="1:14" x14ac:dyDescent="0.25">
      <c r="A1420">
        <v>1510.903251</v>
      </c>
      <c r="B1420" s="1">
        <f>DATE(2014,6,19) + TIME(21,40,40)</f>
        <v>41809.903240740743</v>
      </c>
      <c r="C1420">
        <v>1378.6383057</v>
      </c>
      <c r="D1420">
        <v>1363.7995605000001</v>
      </c>
      <c r="E1420">
        <v>1322.5295410000001</v>
      </c>
      <c r="F1420">
        <v>1319.199707</v>
      </c>
      <c r="G1420">
        <v>80</v>
      </c>
      <c r="H1420">
        <v>79.813003539999997</v>
      </c>
      <c r="I1420">
        <v>50</v>
      </c>
      <c r="J1420">
        <v>45.070861815999997</v>
      </c>
      <c r="K1420">
        <v>1200</v>
      </c>
      <c r="L1420">
        <v>0</v>
      </c>
      <c r="M1420">
        <v>0</v>
      </c>
      <c r="N1420">
        <v>1200</v>
      </c>
    </row>
    <row r="1421" spans="1:14" x14ac:dyDescent="0.25">
      <c r="A1421">
        <v>1512.230337</v>
      </c>
      <c r="B1421" s="1">
        <f>DATE(2014,6,21) + TIME(5,31,41)</f>
        <v>41811.23033564815</v>
      </c>
      <c r="C1421">
        <v>1378.5772704999999</v>
      </c>
      <c r="D1421">
        <v>1363.753418</v>
      </c>
      <c r="E1421">
        <v>1322.5029297000001</v>
      </c>
      <c r="F1421">
        <v>1319.1643065999999</v>
      </c>
      <c r="G1421">
        <v>80</v>
      </c>
      <c r="H1421">
        <v>79.813171386999997</v>
      </c>
      <c r="I1421">
        <v>50</v>
      </c>
      <c r="J1421">
        <v>44.965332031000003</v>
      </c>
      <c r="K1421">
        <v>1200</v>
      </c>
      <c r="L1421">
        <v>0</v>
      </c>
      <c r="M1421">
        <v>0</v>
      </c>
      <c r="N1421">
        <v>1200</v>
      </c>
    </row>
    <row r="1422" spans="1:14" x14ac:dyDescent="0.25">
      <c r="A1422">
        <v>1513.5681420000001</v>
      </c>
      <c r="B1422" s="1">
        <f>DATE(2014,6,22) + TIME(13,38,7)</f>
        <v>41812.568136574075</v>
      </c>
      <c r="C1422">
        <v>1378.5172118999999</v>
      </c>
      <c r="D1422">
        <v>1363.7080077999999</v>
      </c>
      <c r="E1422">
        <v>1322.4758300999999</v>
      </c>
      <c r="F1422">
        <v>1319.1285399999999</v>
      </c>
      <c r="G1422">
        <v>80</v>
      </c>
      <c r="H1422">
        <v>79.813339232999994</v>
      </c>
      <c r="I1422">
        <v>50</v>
      </c>
      <c r="J1422">
        <v>44.858966827000003</v>
      </c>
      <c r="K1422">
        <v>1200</v>
      </c>
      <c r="L1422">
        <v>0</v>
      </c>
      <c r="M1422">
        <v>0</v>
      </c>
      <c r="N1422">
        <v>1200</v>
      </c>
    </row>
    <row r="1423" spans="1:14" x14ac:dyDescent="0.25">
      <c r="A1423">
        <v>1514.9210390000001</v>
      </c>
      <c r="B1423" s="1">
        <f>DATE(2014,6,23) + TIME(22,6,17)</f>
        <v>41813.921030092592</v>
      </c>
      <c r="C1423">
        <v>1378.4580077999999</v>
      </c>
      <c r="D1423">
        <v>1363.6632079999999</v>
      </c>
      <c r="E1423">
        <v>1322.4484863</v>
      </c>
      <c r="F1423">
        <v>1319.0921631000001</v>
      </c>
      <c r="G1423">
        <v>80</v>
      </c>
      <c r="H1423">
        <v>79.813507079999994</v>
      </c>
      <c r="I1423">
        <v>50</v>
      </c>
      <c r="J1423">
        <v>44.751598358000003</v>
      </c>
      <c r="K1423">
        <v>1200</v>
      </c>
      <c r="L1423">
        <v>0</v>
      </c>
      <c r="M1423">
        <v>0</v>
      </c>
      <c r="N1423">
        <v>1200</v>
      </c>
    </row>
    <row r="1424" spans="1:14" x14ac:dyDescent="0.25">
      <c r="A1424">
        <v>1516.293467</v>
      </c>
      <c r="B1424" s="1">
        <f>DATE(2014,6,25) + TIME(7,2,35)</f>
        <v>41815.29346064815</v>
      </c>
      <c r="C1424">
        <v>1378.3992920000001</v>
      </c>
      <c r="D1424">
        <v>1363.6187743999999</v>
      </c>
      <c r="E1424">
        <v>1322.4206543</v>
      </c>
      <c r="F1424">
        <v>1319.0551757999999</v>
      </c>
      <c r="G1424">
        <v>80</v>
      </c>
      <c r="H1424">
        <v>79.813682556000003</v>
      </c>
      <c r="I1424">
        <v>50</v>
      </c>
      <c r="J1424">
        <v>44.643001556000002</v>
      </c>
      <c r="K1424">
        <v>1200</v>
      </c>
      <c r="L1424">
        <v>0</v>
      </c>
      <c r="M1424">
        <v>0</v>
      </c>
      <c r="N1424">
        <v>1200</v>
      </c>
    </row>
    <row r="1425" spans="1:14" x14ac:dyDescent="0.25">
      <c r="A1425">
        <v>1517.690028</v>
      </c>
      <c r="B1425" s="1">
        <f>DATE(2014,6,26) + TIME(16,33,38)</f>
        <v>41816.690023148149</v>
      </c>
      <c r="C1425">
        <v>1378.3410644999999</v>
      </c>
      <c r="D1425">
        <v>1363.5744629000001</v>
      </c>
      <c r="E1425">
        <v>1322.3923339999999</v>
      </c>
      <c r="F1425">
        <v>1319.0174560999999</v>
      </c>
      <c r="G1425">
        <v>80</v>
      </c>
      <c r="H1425">
        <v>79.813865661999998</v>
      </c>
      <c r="I1425">
        <v>50</v>
      </c>
      <c r="J1425">
        <v>44.532894134999999</v>
      </c>
      <c r="K1425">
        <v>1200</v>
      </c>
      <c r="L1425">
        <v>0</v>
      </c>
      <c r="M1425">
        <v>0</v>
      </c>
      <c r="N1425">
        <v>1200</v>
      </c>
    </row>
    <row r="1426" spans="1:14" x14ac:dyDescent="0.25">
      <c r="A1426">
        <v>1519.115593</v>
      </c>
      <c r="B1426" s="1">
        <f>DATE(2014,6,28) + TIME(2,46,27)</f>
        <v>41818.115590277775</v>
      </c>
      <c r="C1426">
        <v>1378.2829589999999</v>
      </c>
      <c r="D1426">
        <v>1363.5303954999999</v>
      </c>
      <c r="E1426">
        <v>1322.3634033000001</v>
      </c>
      <c r="F1426">
        <v>1318.9788818</v>
      </c>
      <c r="G1426">
        <v>80</v>
      </c>
      <c r="H1426">
        <v>79.814056395999998</v>
      </c>
      <c r="I1426">
        <v>50</v>
      </c>
      <c r="J1426">
        <v>44.420970916999998</v>
      </c>
      <c r="K1426">
        <v>1200</v>
      </c>
      <c r="L1426">
        <v>0</v>
      </c>
      <c r="M1426">
        <v>0</v>
      </c>
      <c r="N1426">
        <v>1200</v>
      </c>
    </row>
    <row r="1427" spans="1:14" x14ac:dyDescent="0.25">
      <c r="A1427">
        <v>1520.5753689999999</v>
      </c>
      <c r="B1427" s="1">
        <f>DATE(2014,6,29) + TIME(13,48,31)</f>
        <v>41819.575358796297</v>
      </c>
      <c r="C1427">
        <v>1378.2247314000001</v>
      </c>
      <c r="D1427">
        <v>1363.4863281</v>
      </c>
      <c r="E1427">
        <v>1322.3338623</v>
      </c>
      <c r="F1427">
        <v>1318.9393310999999</v>
      </c>
      <c r="G1427">
        <v>80</v>
      </c>
      <c r="H1427">
        <v>79.814247131000002</v>
      </c>
      <c r="I1427">
        <v>50</v>
      </c>
      <c r="J1427">
        <v>44.306873322000001</v>
      </c>
      <c r="K1427">
        <v>1200</v>
      </c>
      <c r="L1427">
        <v>0</v>
      </c>
      <c r="M1427">
        <v>0</v>
      </c>
      <c r="N1427">
        <v>1200</v>
      </c>
    </row>
    <row r="1428" spans="1:14" x14ac:dyDescent="0.25">
      <c r="A1428">
        <v>1522</v>
      </c>
      <c r="B1428" s="1">
        <f>DATE(2014,7,1) + TIME(0,0,0)</f>
        <v>41821</v>
      </c>
      <c r="C1428">
        <v>1378.1663818</v>
      </c>
      <c r="D1428">
        <v>1363.4418945</v>
      </c>
      <c r="E1428">
        <v>1322.3034668</v>
      </c>
      <c r="F1428">
        <v>1318.8989257999999</v>
      </c>
      <c r="G1428">
        <v>80</v>
      </c>
      <c r="H1428">
        <v>79.814430236999996</v>
      </c>
      <c r="I1428">
        <v>50</v>
      </c>
      <c r="J1428">
        <v>44.194099426000001</v>
      </c>
      <c r="K1428">
        <v>1200</v>
      </c>
      <c r="L1428">
        <v>0</v>
      </c>
      <c r="M1428">
        <v>0</v>
      </c>
      <c r="N1428">
        <v>1200</v>
      </c>
    </row>
    <row r="1429" spans="1:14" x14ac:dyDescent="0.25">
      <c r="A1429">
        <v>1523.5001589999999</v>
      </c>
      <c r="B1429" s="1">
        <f>DATE(2014,7,2) + TIME(12,0,13)</f>
        <v>41822.500150462962</v>
      </c>
      <c r="C1429">
        <v>1378.1105957</v>
      </c>
      <c r="D1429">
        <v>1363.3994141000001</v>
      </c>
      <c r="E1429">
        <v>1322.2735596</v>
      </c>
      <c r="F1429">
        <v>1318.8587646000001</v>
      </c>
      <c r="G1429">
        <v>80</v>
      </c>
      <c r="H1429">
        <v>79.814636230000005</v>
      </c>
      <c r="I1429">
        <v>50</v>
      </c>
      <c r="J1429">
        <v>44.077468871999997</v>
      </c>
      <c r="K1429">
        <v>1200</v>
      </c>
      <c r="L1429">
        <v>0</v>
      </c>
      <c r="M1429">
        <v>0</v>
      </c>
      <c r="N1429">
        <v>1200</v>
      </c>
    </row>
    <row r="1430" spans="1:14" x14ac:dyDescent="0.25">
      <c r="A1430">
        <v>1525.0980770000001</v>
      </c>
      <c r="B1430" s="1">
        <f>DATE(2014,7,4) + TIME(2,21,13)</f>
        <v>41824.098067129627</v>
      </c>
      <c r="C1430">
        <v>1378.0531006000001</v>
      </c>
      <c r="D1430">
        <v>1363.3555908000001</v>
      </c>
      <c r="E1430">
        <v>1322.2420654</v>
      </c>
      <c r="F1430">
        <v>1318.8164062000001</v>
      </c>
      <c r="G1430">
        <v>80</v>
      </c>
      <c r="H1430">
        <v>79.814849854000002</v>
      </c>
      <c r="I1430">
        <v>50</v>
      </c>
      <c r="J1430">
        <v>43.955337524000001</v>
      </c>
      <c r="K1430">
        <v>1200</v>
      </c>
      <c r="L1430">
        <v>0</v>
      </c>
      <c r="M1430">
        <v>0</v>
      </c>
      <c r="N1430">
        <v>1200</v>
      </c>
    </row>
    <row r="1431" spans="1:14" x14ac:dyDescent="0.25">
      <c r="A1431">
        <v>1526.7180310000001</v>
      </c>
      <c r="B1431" s="1">
        <f>DATE(2014,7,5) + TIME(17,13,57)</f>
        <v>41825.71802083333</v>
      </c>
      <c r="C1431">
        <v>1377.9929199000001</v>
      </c>
      <c r="D1431">
        <v>1363.3096923999999</v>
      </c>
      <c r="E1431">
        <v>1322.2087402</v>
      </c>
      <c r="F1431">
        <v>1318.7717285000001</v>
      </c>
      <c r="G1431">
        <v>80</v>
      </c>
      <c r="H1431">
        <v>79.815071106000005</v>
      </c>
      <c r="I1431">
        <v>50</v>
      </c>
      <c r="J1431">
        <v>43.830768585000001</v>
      </c>
      <c r="K1431">
        <v>1200</v>
      </c>
      <c r="L1431">
        <v>0</v>
      </c>
      <c r="M1431">
        <v>0</v>
      </c>
      <c r="N1431">
        <v>1200</v>
      </c>
    </row>
    <row r="1432" spans="1:14" x14ac:dyDescent="0.25">
      <c r="A1432">
        <v>1528.348602</v>
      </c>
      <c r="B1432" s="1">
        <f>DATE(2014,7,7) + TIME(8,21,59)</f>
        <v>41827.348599537036</v>
      </c>
      <c r="C1432">
        <v>1377.9331055</v>
      </c>
      <c r="D1432">
        <v>1363.2640381000001</v>
      </c>
      <c r="E1432">
        <v>1322.1746826000001</v>
      </c>
      <c r="F1432">
        <v>1318.7260742000001</v>
      </c>
      <c r="G1432">
        <v>80</v>
      </c>
      <c r="H1432">
        <v>79.815292357999994</v>
      </c>
      <c r="I1432">
        <v>50</v>
      </c>
      <c r="J1432">
        <v>43.704650878999999</v>
      </c>
      <c r="K1432">
        <v>1200</v>
      </c>
      <c r="L1432">
        <v>0</v>
      </c>
      <c r="M1432">
        <v>0</v>
      </c>
      <c r="N1432">
        <v>1200</v>
      </c>
    </row>
    <row r="1433" spans="1:14" x14ac:dyDescent="0.25">
      <c r="A1433">
        <v>1529.9883440000001</v>
      </c>
      <c r="B1433" s="1">
        <f>DATE(2014,7,8) + TIME(23,43,12)</f>
        <v>41828.988333333335</v>
      </c>
      <c r="C1433">
        <v>1377.8741454999999</v>
      </c>
      <c r="D1433">
        <v>1363.2188721</v>
      </c>
      <c r="E1433">
        <v>1322.1402588000001</v>
      </c>
      <c r="F1433">
        <v>1318.6798096</v>
      </c>
      <c r="G1433">
        <v>80</v>
      </c>
      <c r="H1433">
        <v>79.815513611</v>
      </c>
      <c r="I1433">
        <v>50</v>
      </c>
      <c r="J1433">
        <v>43.577396393000001</v>
      </c>
      <c r="K1433">
        <v>1200</v>
      </c>
      <c r="L1433">
        <v>0</v>
      </c>
      <c r="M1433">
        <v>0</v>
      </c>
      <c r="N1433">
        <v>1200</v>
      </c>
    </row>
    <row r="1434" spans="1:14" x14ac:dyDescent="0.25">
      <c r="A1434">
        <v>1531.6426140000001</v>
      </c>
      <c r="B1434" s="1">
        <f>DATE(2014,7,10) + TIME(15,25,21)</f>
        <v>41830.642604166664</v>
      </c>
      <c r="C1434">
        <v>1377.815918</v>
      </c>
      <c r="D1434">
        <v>1363.1744385</v>
      </c>
      <c r="E1434">
        <v>1322.1054687999999</v>
      </c>
      <c r="F1434">
        <v>1318.6330565999999</v>
      </c>
      <c r="G1434">
        <v>80</v>
      </c>
      <c r="H1434">
        <v>79.815742493000002</v>
      </c>
      <c r="I1434">
        <v>50</v>
      </c>
      <c r="J1434">
        <v>43.448974608999997</v>
      </c>
      <c r="K1434">
        <v>1200</v>
      </c>
      <c r="L1434">
        <v>0</v>
      </c>
      <c r="M1434">
        <v>0</v>
      </c>
      <c r="N1434">
        <v>1200</v>
      </c>
    </row>
    <row r="1435" spans="1:14" x14ac:dyDescent="0.25">
      <c r="A1435">
        <v>1533.3168270000001</v>
      </c>
      <c r="B1435" s="1">
        <f>DATE(2014,7,12) + TIME(7,36,13)</f>
        <v>41832.316817129627</v>
      </c>
      <c r="C1435">
        <v>1377.7584228999999</v>
      </c>
      <c r="D1435">
        <v>1363.130249</v>
      </c>
      <c r="E1435">
        <v>1322.0704346</v>
      </c>
      <c r="F1435">
        <v>1318.5855713000001</v>
      </c>
      <c r="G1435">
        <v>80</v>
      </c>
      <c r="H1435">
        <v>79.815963745000005</v>
      </c>
      <c r="I1435">
        <v>50</v>
      </c>
      <c r="J1435">
        <v>43.319210052000003</v>
      </c>
      <c r="K1435">
        <v>1200</v>
      </c>
      <c r="L1435">
        <v>0</v>
      </c>
      <c r="M1435">
        <v>0</v>
      </c>
      <c r="N1435">
        <v>1200</v>
      </c>
    </row>
    <row r="1436" spans="1:14" x14ac:dyDescent="0.25">
      <c r="A1436">
        <v>1535.0165079999999</v>
      </c>
      <c r="B1436" s="1">
        <f>DATE(2014,7,14) + TIME(0,23,46)</f>
        <v>41834.016504629632</v>
      </c>
      <c r="C1436">
        <v>1377.7012939000001</v>
      </c>
      <c r="D1436">
        <v>1363.0864257999999</v>
      </c>
      <c r="E1436">
        <v>1322.0347899999999</v>
      </c>
      <c r="F1436">
        <v>1318.5374756000001</v>
      </c>
      <c r="G1436">
        <v>80</v>
      </c>
      <c r="H1436">
        <v>79.816200256000002</v>
      </c>
      <c r="I1436">
        <v>50</v>
      </c>
      <c r="J1436">
        <v>43.187847136999999</v>
      </c>
      <c r="K1436">
        <v>1200</v>
      </c>
      <c r="L1436">
        <v>0</v>
      </c>
      <c r="M1436">
        <v>0</v>
      </c>
      <c r="N1436">
        <v>1200</v>
      </c>
    </row>
    <row r="1437" spans="1:14" x14ac:dyDescent="0.25">
      <c r="A1437">
        <v>1536.7474360000001</v>
      </c>
      <c r="B1437" s="1">
        <f>DATE(2014,7,15) + TIME(17,56,18)</f>
        <v>41835.747430555559</v>
      </c>
      <c r="C1437">
        <v>1377.6444091999999</v>
      </c>
      <c r="D1437">
        <v>1363.0427245999999</v>
      </c>
      <c r="E1437">
        <v>1321.9986572</v>
      </c>
      <c r="F1437">
        <v>1318.4884033000001</v>
      </c>
      <c r="G1437">
        <v>80</v>
      </c>
      <c r="H1437">
        <v>79.816436768000003</v>
      </c>
      <c r="I1437">
        <v>50</v>
      </c>
      <c r="J1437">
        <v>43.054557799999998</v>
      </c>
      <c r="K1437">
        <v>1200</v>
      </c>
      <c r="L1437">
        <v>0</v>
      </c>
      <c r="M1437">
        <v>0</v>
      </c>
      <c r="N1437">
        <v>1200</v>
      </c>
    </row>
    <row r="1438" spans="1:14" x14ac:dyDescent="0.25">
      <c r="A1438">
        <v>1538.5157850000001</v>
      </c>
      <c r="B1438" s="1">
        <f>DATE(2014,7,17) + TIME(12,22,43)</f>
        <v>41837.515775462962</v>
      </c>
      <c r="C1438">
        <v>1377.5875243999999</v>
      </c>
      <c r="D1438">
        <v>1362.9989014</v>
      </c>
      <c r="E1438">
        <v>1321.9617920000001</v>
      </c>
      <c r="F1438">
        <v>1318.4384766000001</v>
      </c>
      <c r="G1438">
        <v>80</v>
      </c>
      <c r="H1438">
        <v>79.816673279</v>
      </c>
      <c r="I1438">
        <v>50</v>
      </c>
      <c r="J1438">
        <v>42.918960571</v>
      </c>
      <c r="K1438">
        <v>1200</v>
      </c>
      <c r="L1438">
        <v>0</v>
      </c>
      <c r="M1438">
        <v>0</v>
      </c>
      <c r="N1438">
        <v>1200</v>
      </c>
    </row>
    <row r="1439" spans="1:14" x14ac:dyDescent="0.25">
      <c r="A1439">
        <v>1540.328242</v>
      </c>
      <c r="B1439" s="1">
        <f>DATE(2014,7,19) + TIME(7,52,40)</f>
        <v>41839.328240740739</v>
      </c>
      <c r="C1439">
        <v>1377.5305175999999</v>
      </c>
      <c r="D1439">
        <v>1362.9549560999999</v>
      </c>
      <c r="E1439">
        <v>1321.9241943</v>
      </c>
      <c r="F1439">
        <v>1318.3873291</v>
      </c>
      <c r="G1439">
        <v>80</v>
      </c>
      <c r="H1439">
        <v>79.816925049000005</v>
      </c>
      <c r="I1439">
        <v>50</v>
      </c>
      <c r="J1439">
        <v>42.780628204000003</v>
      </c>
      <c r="K1439">
        <v>1200</v>
      </c>
      <c r="L1439">
        <v>0</v>
      </c>
      <c r="M1439">
        <v>0</v>
      </c>
      <c r="N1439">
        <v>1200</v>
      </c>
    </row>
    <row r="1440" spans="1:14" x14ac:dyDescent="0.25">
      <c r="A1440">
        <v>1542.192233</v>
      </c>
      <c r="B1440" s="1">
        <f>DATE(2014,7,21) + TIME(4,36,48)</f>
        <v>41841.19222222222</v>
      </c>
      <c r="C1440">
        <v>1377.4731445</v>
      </c>
      <c r="D1440">
        <v>1362.9106445</v>
      </c>
      <c r="E1440">
        <v>1321.8856201000001</v>
      </c>
      <c r="F1440">
        <v>1318.3348389</v>
      </c>
      <c r="G1440">
        <v>80</v>
      </c>
      <c r="H1440">
        <v>79.817176818999997</v>
      </c>
      <c r="I1440">
        <v>50</v>
      </c>
      <c r="J1440">
        <v>42.639083862</v>
      </c>
      <c r="K1440">
        <v>1200</v>
      </c>
      <c r="L1440">
        <v>0</v>
      </c>
      <c r="M1440">
        <v>0</v>
      </c>
      <c r="N1440">
        <v>1200</v>
      </c>
    </row>
    <row r="1441" spans="1:14" x14ac:dyDescent="0.25">
      <c r="A1441">
        <v>1544.117127</v>
      </c>
      <c r="B1441" s="1">
        <f>DATE(2014,7,23) + TIME(2,48,39)</f>
        <v>41843.117118055554</v>
      </c>
      <c r="C1441">
        <v>1377.4151611</v>
      </c>
      <c r="D1441">
        <v>1362.8659668</v>
      </c>
      <c r="E1441">
        <v>1321.8460693</v>
      </c>
      <c r="F1441">
        <v>1318.2807617000001</v>
      </c>
      <c r="G1441">
        <v>80</v>
      </c>
      <c r="H1441">
        <v>79.817443847999996</v>
      </c>
      <c r="I1441">
        <v>50</v>
      </c>
      <c r="J1441">
        <v>42.493747710999997</v>
      </c>
      <c r="K1441">
        <v>1200</v>
      </c>
      <c r="L1441">
        <v>0</v>
      </c>
      <c r="M1441">
        <v>0</v>
      </c>
      <c r="N1441">
        <v>1200</v>
      </c>
    </row>
    <row r="1442" spans="1:14" x14ac:dyDescent="0.25">
      <c r="A1442">
        <v>1546.0717509999999</v>
      </c>
      <c r="B1442" s="1">
        <f>DATE(2014,7,25) + TIME(1,43,19)</f>
        <v>41845.071747685186</v>
      </c>
      <c r="C1442">
        <v>1377.3564452999999</v>
      </c>
      <c r="D1442">
        <v>1362.8204346</v>
      </c>
      <c r="E1442">
        <v>1321.8052978999999</v>
      </c>
      <c r="F1442">
        <v>1318.2250977000001</v>
      </c>
      <c r="G1442">
        <v>80</v>
      </c>
      <c r="H1442">
        <v>79.817710876000007</v>
      </c>
      <c r="I1442">
        <v>50</v>
      </c>
      <c r="J1442">
        <v>42.345798492</v>
      </c>
      <c r="K1442">
        <v>1200</v>
      </c>
      <c r="L1442">
        <v>0</v>
      </c>
      <c r="M1442">
        <v>0</v>
      </c>
      <c r="N1442">
        <v>1200</v>
      </c>
    </row>
    <row r="1443" spans="1:14" x14ac:dyDescent="0.25">
      <c r="A1443">
        <v>1548.0492200000001</v>
      </c>
      <c r="B1443" s="1">
        <f>DATE(2014,7,27) + TIME(1,10,52)</f>
        <v>41847.049212962964</v>
      </c>
      <c r="C1443">
        <v>1377.2978516000001</v>
      </c>
      <c r="D1443">
        <v>1362.7750243999999</v>
      </c>
      <c r="E1443">
        <v>1321.7637939000001</v>
      </c>
      <c r="F1443">
        <v>1318.1683350000001</v>
      </c>
      <c r="G1443">
        <v>80</v>
      </c>
      <c r="H1443">
        <v>79.817977905000006</v>
      </c>
      <c r="I1443">
        <v>50</v>
      </c>
      <c r="J1443">
        <v>42.195831298999998</v>
      </c>
      <c r="K1443">
        <v>1200</v>
      </c>
      <c r="L1443">
        <v>0</v>
      </c>
      <c r="M1443">
        <v>0</v>
      </c>
      <c r="N1443">
        <v>1200</v>
      </c>
    </row>
    <row r="1444" spans="1:14" x14ac:dyDescent="0.25">
      <c r="A1444">
        <v>1550.056523</v>
      </c>
      <c r="B1444" s="1">
        <f>DATE(2014,7,29) + TIME(1,21,23)</f>
        <v>41849.056516203702</v>
      </c>
      <c r="C1444">
        <v>1377.2397461</v>
      </c>
      <c r="D1444">
        <v>1362.7298584</v>
      </c>
      <c r="E1444">
        <v>1321.7219238</v>
      </c>
      <c r="F1444">
        <v>1318.1108397999999</v>
      </c>
      <c r="G1444">
        <v>80</v>
      </c>
      <c r="H1444">
        <v>79.818252563000001</v>
      </c>
      <c r="I1444">
        <v>50</v>
      </c>
      <c r="J1444">
        <v>42.043811798</v>
      </c>
      <c r="K1444">
        <v>1200</v>
      </c>
      <c r="L1444">
        <v>0</v>
      </c>
      <c r="M1444">
        <v>0</v>
      </c>
      <c r="N1444">
        <v>1200</v>
      </c>
    </row>
    <row r="1445" spans="1:14" x14ac:dyDescent="0.25">
      <c r="A1445">
        <v>1552.100872</v>
      </c>
      <c r="B1445" s="1">
        <f>DATE(2014,7,31) + TIME(2,25,15)</f>
        <v>41851.100868055553</v>
      </c>
      <c r="C1445">
        <v>1377.1817627</v>
      </c>
      <c r="D1445">
        <v>1362.6848144999999</v>
      </c>
      <c r="E1445">
        <v>1321.6793213000001</v>
      </c>
      <c r="F1445">
        <v>1318.0524902</v>
      </c>
      <c r="G1445">
        <v>80</v>
      </c>
      <c r="H1445">
        <v>79.818527222</v>
      </c>
      <c r="I1445">
        <v>50</v>
      </c>
      <c r="J1445">
        <v>41.889522552000003</v>
      </c>
      <c r="K1445">
        <v>1200</v>
      </c>
      <c r="L1445">
        <v>0</v>
      </c>
      <c r="M1445">
        <v>0</v>
      </c>
      <c r="N1445">
        <v>1200</v>
      </c>
    </row>
    <row r="1446" spans="1:14" x14ac:dyDescent="0.25">
      <c r="A1446">
        <v>1553</v>
      </c>
      <c r="B1446" s="1">
        <f>DATE(2014,8,1) + TIME(0,0,0)</f>
        <v>41852</v>
      </c>
      <c r="C1446">
        <v>1377.1234131000001</v>
      </c>
      <c r="D1446">
        <v>1362.6391602000001</v>
      </c>
      <c r="E1446">
        <v>1321.6365966999999</v>
      </c>
      <c r="F1446">
        <v>1317.9980469</v>
      </c>
      <c r="G1446">
        <v>80</v>
      </c>
      <c r="H1446">
        <v>79.818618774000001</v>
      </c>
      <c r="I1446">
        <v>50</v>
      </c>
      <c r="J1446">
        <v>41.800144195999998</v>
      </c>
      <c r="K1446">
        <v>1200</v>
      </c>
      <c r="L1446">
        <v>0</v>
      </c>
      <c r="M1446">
        <v>0</v>
      </c>
      <c r="N1446">
        <v>1200</v>
      </c>
    </row>
    <row r="1447" spans="1:14" x14ac:dyDescent="0.25">
      <c r="A1447">
        <v>1555.0663979999999</v>
      </c>
      <c r="B1447" s="1">
        <f>DATE(2014,8,3) + TIME(1,35,36)</f>
        <v>41854.066388888888</v>
      </c>
      <c r="C1447">
        <v>1377.0985106999999</v>
      </c>
      <c r="D1447">
        <v>1362.619751</v>
      </c>
      <c r="E1447">
        <v>1321.6152344</v>
      </c>
      <c r="F1447">
        <v>1317.963501</v>
      </c>
      <c r="G1447">
        <v>80</v>
      </c>
      <c r="H1447">
        <v>79.818916321000003</v>
      </c>
      <c r="I1447">
        <v>50</v>
      </c>
      <c r="J1447">
        <v>41.653160094999997</v>
      </c>
      <c r="K1447">
        <v>1200</v>
      </c>
      <c r="L1447">
        <v>0</v>
      </c>
      <c r="M1447">
        <v>0</v>
      </c>
      <c r="N1447">
        <v>1200</v>
      </c>
    </row>
    <row r="1448" spans="1:14" x14ac:dyDescent="0.25">
      <c r="A1448">
        <v>1557.1769870000001</v>
      </c>
      <c r="B1448" s="1">
        <f>DATE(2014,8,5) + TIME(4,14,51)</f>
        <v>41856.176979166667</v>
      </c>
      <c r="C1448">
        <v>1377.041626</v>
      </c>
      <c r="D1448">
        <v>1362.5753173999999</v>
      </c>
      <c r="E1448">
        <v>1321.5726318</v>
      </c>
      <c r="F1448">
        <v>1317.9049072</v>
      </c>
      <c r="G1448">
        <v>80</v>
      </c>
      <c r="H1448">
        <v>79.819206238000007</v>
      </c>
      <c r="I1448">
        <v>50</v>
      </c>
      <c r="J1448">
        <v>41.500095367</v>
      </c>
      <c r="K1448">
        <v>1200</v>
      </c>
      <c r="L1448">
        <v>0</v>
      </c>
      <c r="M1448">
        <v>0</v>
      </c>
      <c r="N1448">
        <v>1200</v>
      </c>
    </row>
    <row r="1449" spans="1:14" x14ac:dyDescent="0.25">
      <c r="A1449">
        <v>1559.3264879999999</v>
      </c>
      <c r="B1449" s="1">
        <f>DATE(2014,8,7) + TIME(7,50,8)</f>
        <v>41858.326481481483</v>
      </c>
      <c r="C1449">
        <v>1376.9842529</v>
      </c>
      <c r="D1449">
        <v>1362.5303954999999</v>
      </c>
      <c r="E1449">
        <v>1321.5288086</v>
      </c>
      <c r="F1449">
        <v>1317.8443603999999</v>
      </c>
      <c r="G1449">
        <v>80</v>
      </c>
      <c r="H1449">
        <v>79.819496154999996</v>
      </c>
      <c r="I1449">
        <v>50</v>
      </c>
      <c r="J1449">
        <v>41.342563628999997</v>
      </c>
      <c r="K1449">
        <v>1200</v>
      </c>
      <c r="L1449">
        <v>0</v>
      </c>
      <c r="M1449">
        <v>0</v>
      </c>
      <c r="N1449">
        <v>1200</v>
      </c>
    </row>
    <row r="1450" spans="1:14" x14ac:dyDescent="0.25">
      <c r="A1450">
        <v>1561.5228540000001</v>
      </c>
      <c r="B1450" s="1">
        <f>DATE(2014,8,9) + TIME(12,32,54)</f>
        <v>41860.522847222222</v>
      </c>
      <c r="C1450">
        <v>1376.9267577999999</v>
      </c>
      <c r="D1450">
        <v>1362.4853516000001</v>
      </c>
      <c r="E1450">
        <v>1321.4840088000001</v>
      </c>
      <c r="F1450">
        <v>1317.7824707</v>
      </c>
      <c r="G1450">
        <v>80</v>
      </c>
      <c r="H1450">
        <v>79.819786071999999</v>
      </c>
      <c r="I1450">
        <v>50</v>
      </c>
      <c r="J1450">
        <v>41.181182861000003</v>
      </c>
      <c r="K1450">
        <v>1200</v>
      </c>
      <c r="L1450">
        <v>0</v>
      </c>
      <c r="M1450">
        <v>0</v>
      </c>
      <c r="N1450">
        <v>1200</v>
      </c>
    </row>
    <row r="1451" spans="1:14" x14ac:dyDescent="0.25">
      <c r="A1451">
        <v>1563.7724900000001</v>
      </c>
      <c r="B1451" s="1">
        <f>DATE(2014,8,11) + TIME(18,32,23)</f>
        <v>41862.772488425922</v>
      </c>
      <c r="C1451">
        <v>1376.8691406</v>
      </c>
      <c r="D1451">
        <v>1362.4399414</v>
      </c>
      <c r="E1451">
        <v>1321.4384766000001</v>
      </c>
      <c r="F1451">
        <v>1317.7192382999999</v>
      </c>
      <c r="G1451">
        <v>80</v>
      </c>
      <c r="H1451">
        <v>79.820091247999997</v>
      </c>
      <c r="I1451">
        <v>50</v>
      </c>
      <c r="J1451">
        <v>41.016147613999998</v>
      </c>
      <c r="K1451">
        <v>1200</v>
      </c>
      <c r="L1451">
        <v>0</v>
      </c>
      <c r="M1451">
        <v>0</v>
      </c>
      <c r="N1451">
        <v>1200</v>
      </c>
    </row>
    <row r="1452" spans="1:14" x14ac:dyDescent="0.25">
      <c r="A1452">
        <v>1566.0379909999999</v>
      </c>
      <c r="B1452" s="1">
        <f>DATE(2014,8,14) + TIME(0,54,42)</f>
        <v>41865.037986111114</v>
      </c>
      <c r="C1452">
        <v>1376.8110352000001</v>
      </c>
      <c r="D1452">
        <v>1362.3942870999999</v>
      </c>
      <c r="E1452">
        <v>1321.3919678</v>
      </c>
      <c r="F1452">
        <v>1317.6545410000001</v>
      </c>
      <c r="G1452">
        <v>80</v>
      </c>
      <c r="H1452">
        <v>79.820388793999996</v>
      </c>
      <c r="I1452">
        <v>50</v>
      </c>
      <c r="J1452">
        <v>40.849189758000001</v>
      </c>
      <c r="K1452">
        <v>1200</v>
      </c>
      <c r="L1452">
        <v>0</v>
      </c>
      <c r="M1452">
        <v>0</v>
      </c>
      <c r="N1452">
        <v>1200</v>
      </c>
    </row>
    <row r="1453" spans="1:14" x14ac:dyDescent="0.25">
      <c r="A1453">
        <v>1568.3271500000001</v>
      </c>
      <c r="B1453" s="1">
        <f>DATE(2014,8,16) + TIME(7,51,5)</f>
        <v>41867.327141203707</v>
      </c>
      <c r="C1453">
        <v>1376.7535399999999</v>
      </c>
      <c r="D1453">
        <v>1362.3488769999999</v>
      </c>
      <c r="E1453">
        <v>1321.3452147999999</v>
      </c>
      <c r="F1453">
        <v>1317.5894774999999</v>
      </c>
      <c r="G1453">
        <v>80</v>
      </c>
      <c r="H1453">
        <v>79.820686339999995</v>
      </c>
      <c r="I1453">
        <v>50</v>
      </c>
      <c r="J1453">
        <v>40.680709839000002</v>
      </c>
      <c r="K1453">
        <v>1200</v>
      </c>
      <c r="L1453">
        <v>0</v>
      </c>
      <c r="M1453">
        <v>0</v>
      </c>
      <c r="N1453">
        <v>1200</v>
      </c>
    </row>
    <row r="1454" spans="1:14" x14ac:dyDescent="0.25">
      <c r="A1454">
        <v>1570.6478360000001</v>
      </c>
      <c r="B1454" s="1">
        <f>DATE(2014,8,18) + TIME(15,32,53)</f>
        <v>41869.647835648146</v>
      </c>
      <c r="C1454">
        <v>1376.6964111</v>
      </c>
      <c r="D1454">
        <v>1362.3037108999999</v>
      </c>
      <c r="E1454">
        <v>1321.2982178</v>
      </c>
      <c r="F1454">
        <v>1317.5236815999999</v>
      </c>
      <c r="G1454">
        <v>80</v>
      </c>
      <c r="H1454">
        <v>79.820991516000007</v>
      </c>
      <c r="I1454">
        <v>50</v>
      </c>
      <c r="J1454">
        <v>40.510711669999999</v>
      </c>
      <c r="K1454">
        <v>1200</v>
      </c>
      <c r="L1454">
        <v>0</v>
      </c>
      <c r="M1454">
        <v>0</v>
      </c>
      <c r="N1454">
        <v>1200</v>
      </c>
    </row>
    <row r="1455" spans="1:14" x14ac:dyDescent="0.25">
      <c r="A1455">
        <v>1573.0081620000001</v>
      </c>
      <c r="B1455" s="1">
        <f>DATE(2014,8,21) + TIME(0,11,45)</f>
        <v>41872.008159722223</v>
      </c>
      <c r="C1455">
        <v>1376.6394043</v>
      </c>
      <c r="D1455">
        <v>1362.2585449000001</v>
      </c>
      <c r="E1455">
        <v>1321.2508545000001</v>
      </c>
      <c r="F1455">
        <v>1317.4572754000001</v>
      </c>
      <c r="G1455">
        <v>80</v>
      </c>
      <c r="H1455">
        <v>79.821296692000004</v>
      </c>
      <c r="I1455">
        <v>50</v>
      </c>
      <c r="J1455">
        <v>40.338973998999997</v>
      </c>
      <c r="K1455">
        <v>1200</v>
      </c>
      <c r="L1455">
        <v>0</v>
      </c>
      <c r="M1455">
        <v>0</v>
      </c>
      <c r="N1455">
        <v>1200</v>
      </c>
    </row>
    <row r="1456" spans="1:14" x14ac:dyDescent="0.25">
      <c r="A1456">
        <v>1575.4167629999999</v>
      </c>
      <c r="B1456" s="1">
        <f>DATE(2014,8,23) + TIME(10,0,8)</f>
        <v>41874.416759259257</v>
      </c>
      <c r="C1456">
        <v>1376.5823975000001</v>
      </c>
      <c r="D1456">
        <v>1362.2132568</v>
      </c>
      <c r="E1456">
        <v>1321.203125</v>
      </c>
      <c r="F1456">
        <v>1317.3901367000001</v>
      </c>
      <c r="G1456">
        <v>80</v>
      </c>
      <c r="H1456">
        <v>79.821601868000002</v>
      </c>
      <c r="I1456">
        <v>50</v>
      </c>
      <c r="J1456">
        <v>40.165145873999997</v>
      </c>
      <c r="K1456">
        <v>1200</v>
      </c>
      <c r="L1456">
        <v>0</v>
      </c>
      <c r="M1456">
        <v>0</v>
      </c>
      <c r="N1456">
        <v>1200</v>
      </c>
    </row>
    <row r="1457" spans="1:14" x14ac:dyDescent="0.25">
      <c r="A1457">
        <v>1577.8829009999999</v>
      </c>
      <c r="B1457" s="1">
        <f>DATE(2014,8,25) + TIME(21,11,22)</f>
        <v>41876.882893518516</v>
      </c>
      <c r="C1457">
        <v>1376.5251464999999</v>
      </c>
      <c r="D1457">
        <v>1362.1677245999999</v>
      </c>
      <c r="E1457">
        <v>1321.1546631000001</v>
      </c>
      <c r="F1457">
        <v>1317.3217772999999</v>
      </c>
      <c r="G1457">
        <v>80</v>
      </c>
      <c r="H1457">
        <v>79.821922302000004</v>
      </c>
      <c r="I1457">
        <v>50</v>
      </c>
      <c r="J1457">
        <v>39.988803863999998</v>
      </c>
      <c r="K1457">
        <v>1200</v>
      </c>
      <c r="L1457">
        <v>0</v>
      </c>
      <c r="M1457">
        <v>0</v>
      </c>
      <c r="N1457">
        <v>1200</v>
      </c>
    </row>
    <row r="1458" spans="1:14" x14ac:dyDescent="0.25">
      <c r="A1458">
        <v>1580.4006750000001</v>
      </c>
      <c r="B1458" s="1">
        <f>DATE(2014,8,28) + TIME(9,36,58)</f>
        <v>41879.400671296295</v>
      </c>
      <c r="C1458">
        <v>1376.4674072</v>
      </c>
      <c r="D1458">
        <v>1362.1217041</v>
      </c>
      <c r="E1458">
        <v>1321.1054687999999</v>
      </c>
      <c r="F1458">
        <v>1317.2524414</v>
      </c>
      <c r="G1458">
        <v>80</v>
      </c>
      <c r="H1458">
        <v>79.822242736999996</v>
      </c>
      <c r="I1458">
        <v>50</v>
      </c>
      <c r="J1458">
        <v>39.810104369999998</v>
      </c>
      <c r="K1458">
        <v>1200</v>
      </c>
      <c r="L1458">
        <v>0</v>
      </c>
      <c r="M1458">
        <v>0</v>
      </c>
      <c r="N1458">
        <v>1200</v>
      </c>
    </row>
    <row r="1459" spans="1:14" x14ac:dyDescent="0.25">
      <c r="A1459">
        <v>1582.9632349999999</v>
      </c>
      <c r="B1459" s="1">
        <f>DATE(2014,8,30) + TIME(23,7,3)</f>
        <v>41881.963229166664</v>
      </c>
      <c r="C1459">
        <v>1376.4094238</v>
      </c>
      <c r="D1459">
        <v>1362.0753173999999</v>
      </c>
      <c r="E1459">
        <v>1321.0556641000001</v>
      </c>
      <c r="F1459">
        <v>1317.1820068</v>
      </c>
      <c r="G1459">
        <v>80</v>
      </c>
      <c r="H1459">
        <v>79.822563170999999</v>
      </c>
      <c r="I1459">
        <v>50</v>
      </c>
      <c r="J1459">
        <v>39.629348755000002</v>
      </c>
      <c r="K1459">
        <v>1200</v>
      </c>
      <c r="L1459">
        <v>0</v>
      </c>
      <c r="M1459">
        <v>0</v>
      </c>
      <c r="N1459">
        <v>1200</v>
      </c>
    </row>
    <row r="1460" spans="1:14" x14ac:dyDescent="0.25">
      <c r="A1460">
        <v>1584</v>
      </c>
      <c r="B1460" s="1">
        <f>DATE(2014,9,1) + TIME(0,0,0)</f>
        <v>41883</v>
      </c>
      <c r="C1460">
        <v>1376.3509521000001</v>
      </c>
      <c r="D1460">
        <v>1362.0284423999999</v>
      </c>
      <c r="E1460">
        <v>1321.0061035000001</v>
      </c>
      <c r="F1460">
        <v>1317.1174315999999</v>
      </c>
      <c r="G1460">
        <v>80</v>
      </c>
      <c r="H1460">
        <v>79.822662354000002</v>
      </c>
      <c r="I1460">
        <v>50</v>
      </c>
      <c r="J1460">
        <v>39.526435851999999</v>
      </c>
      <c r="K1460">
        <v>1200</v>
      </c>
      <c r="L1460">
        <v>0</v>
      </c>
      <c r="M1460">
        <v>0</v>
      </c>
      <c r="N1460">
        <v>1200</v>
      </c>
    </row>
    <row r="1461" spans="1:14" x14ac:dyDescent="0.25">
      <c r="A1461">
        <v>1586.616886</v>
      </c>
      <c r="B1461" s="1">
        <f>DATE(2014,9,3) + TIME(14,48,18)</f>
        <v>41885.616875</v>
      </c>
      <c r="C1461">
        <v>1376.3278809000001</v>
      </c>
      <c r="D1461">
        <v>1362.0100098</v>
      </c>
      <c r="E1461">
        <v>1320.9827881000001</v>
      </c>
      <c r="F1461">
        <v>1317.0773925999999</v>
      </c>
      <c r="G1461">
        <v>80</v>
      </c>
      <c r="H1461">
        <v>79.823005675999994</v>
      </c>
      <c r="I1461">
        <v>50</v>
      </c>
      <c r="J1461">
        <v>39.358371734999999</v>
      </c>
      <c r="K1461">
        <v>1200</v>
      </c>
      <c r="L1461">
        <v>0</v>
      </c>
      <c r="M1461">
        <v>0</v>
      </c>
      <c r="N1461">
        <v>1200</v>
      </c>
    </row>
    <row r="1462" spans="1:14" x14ac:dyDescent="0.25">
      <c r="A1462">
        <v>1589.2612630000001</v>
      </c>
      <c r="B1462" s="1">
        <f>DATE(2014,9,6) + TIME(6,16,13)</f>
        <v>41888.261261574073</v>
      </c>
      <c r="C1462">
        <v>1376.2700195</v>
      </c>
      <c r="D1462">
        <v>1361.963501</v>
      </c>
      <c r="E1462">
        <v>1320.9335937999999</v>
      </c>
      <c r="F1462">
        <v>1317.0078125</v>
      </c>
      <c r="G1462">
        <v>80</v>
      </c>
      <c r="H1462">
        <v>79.823341369999994</v>
      </c>
      <c r="I1462">
        <v>50</v>
      </c>
      <c r="J1462">
        <v>39.182193755999997</v>
      </c>
      <c r="K1462">
        <v>1200</v>
      </c>
      <c r="L1462">
        <v>0</v>
      </c>
      <c r="M1462">
        <v>0</v>
      </c>
      <c r="N1462">
        <v>1200</v>
      </c>
    </row>
    <row r="1463" spans="1:14" x14ac:dyDescent="0.25">
      <c r="A1463">
        <v>1591.9308570000001</v>
      </c>
      <c r="B1463" s="1">
        <f>DATE(2014,9,8) + TIME(22,20,26)</f>
        <v>41890.930856481478</v>
      </c>
      <c r="C1463">
        <v>1376.2121582</v>
      </c>
      <c r="D1463">
        <v>1361.9168701000001</v>
      </c>
      <c r="E1463">
        <v>1320.8836670000001</v>
      </c>
      <c r="F1463">
        <v>1316.9366454999999</v>
      </c>
      <c r="G1463">
        <v>80</v>
      </c>
      <c r="H1463">
        <v>79.823677063000005</v>
      </c>
      <c r="I1463">
        <v>50</v>
      </c>
      <c r="J1463">
        <v>39.001972197999997</v>
      </c>
      <c r="K1463">
        <v>1200</v>
      </c>
      <c r="L1463">
        <v>0</v>
      </c>
      <c r="M1463">
        <v>0</v>
      </c>
      <c r="N1463">
        <v>1200</v>
      </c>
    </row>
    <row r="1464" spans="1:14" x14ac:dyDescent="0.25">
      <c r="A1464">
        <v>1594.6347699999999</v>
      </c>
      <c r="B1464" s="1">
        <f>DATE(2014,9,11) + TIME(15,14,4)</f>
        <v>41893.634768518517</v>
      </c>
      <c r="C1464">
        <v>1376.1546631000001</v>
      </c>
      <c r="D1464">
        <v>1361.8704834</v>
      </c>
      <c r="E1464">
        <v>1320.833374</v>
      </c>
      <c r="F1464">
        <v>1316.8647461</v>
      </c>
      <c r="G1464">
        <v>80</v>
      </c>
      <c r="H1464">
        <v>79.824005127000007</v>
      </c>
      <c r="I1464">
        <v>50</v>
      </c>
      <c r="J1464">
        <v>38.819553374999998</v>
      </c>
      <c r="K1464">
        <v>1200</v>
      </c>
      <c r="L1464">
        <v>0</v>
      </c>
      <c r="M1464">
        <v>0</v>
      </c>
      <c r="N1464">
        <v>1200</v>
      </c>
    </row>
    <row r="1465" spans="1:14" x14ac:dyDescent="0.25">
      <c r="A1465">
        <v>1597.3824059999999</v>
      </c>
      <c r="B1465" s="1">
        <f>DATE(2014,9,14) + TIME(9,10,39)</f>
        <v>41896.382395833331</v>
      </c>
      <c r="C1465">
        <v>1376.097168</v>
      </c>
      <c r="D1465">
        <v>1361.8239745999999</v>
      </c>
      <c r="E1465">
        <v>1320.7829589999999</v>
      </c>
      <c r="F1465">
        <v>1316.7922363</v>
      </c>
      <c r="G1465">
        <v>80</v>
      </c>
      <c r="H1465">
        <v>79.824333190999994</v>
      </c>
      <c r="I1465">
        <v>50</v>
      </c>
      <c r="J1465">
        <v>38.635643004999999</v>
      </c>
      <c r="K1465">
        <v>1200</v>
      </c>
      <c r="L1465">
        <v>0</v>
      </c>
      <c r="M1465">
        <v>0</v>
      </c>
      <c r="N1465">
        <v>1200</v>
      </c>
    </row>
    <row r="1466" spans="1:14" x14ac:dyDescent="0.25">
      <c r="A1466">
        <v>1600.183653</v>
      </c>
      <c r="B1466" s="1">
        <f>DATE(2014,9,17) + TIME(4,24,27)</f>
        <v>41899.183645833335</v>
      </c>
      <c r="C1466">
        <v>1376.0396728999999</v>
      </c>
      <c r="D1466">
        <v>1361.7773437999999</v>
      </c>
      <c r="E1466">
        <v>1320.7322998</v>
      </c>
      <c r="F1466">
        <v>1316.7192382999999</v>
      </c>
      <c r="G1466">
        <v>80</v>
      </c>
      <c r="H1466">
        <v>79.824668884000005</v>
      </c>
      <c r="I1466">
        <v>50</v>
      </c>
      <c r="J1466">
        <v>38.450386047000002</v>
      </c>
      <c r="K1466">
        <v>1200</v>
      </c>
      <c r="L1466">
        <v>0</v>
      </c>
      <c r="M1466">
        <v>0</v>
      </c>
      <c r="N1466">
        <v>1200</v>
      </c>
    </row>
    <row r="1467" spans="1:14" x14ac:dyDescent="0.25">
      <c r="A1467">
        <v>1603.0490950000001</v>
      </c>
      <c r="B1467" s="1">
        <f>DATE(2014,9,20) + TIME(1,10,41)</f>
        <v>41902.049085648148</v>
      </c>
      <c r="C1467">
        <v>1375.9819336</v>
      </c>
      <c r="D1467">
        <v>1361.7303466999999</v>
      </c>
      <c r="E1467">
        <v>1320.6815185999999</v>
      </c>
      <c r="F1467">
        <v>1316.6456298999999</v>
      </c>
      <c r="G1467">
        <v>80</v>
      </c>
      <c r="H1467">
        <v>79.825012207</v>
      </c>
      <c r="I1467">
        <v>50</v>
      </c>
      <c r="J1467">
        <v>38.263637543000002</v>
      </c>
      <c r="K1467">
        <v>1200</v>
      </c>
      <c r="L1467">
        <v>0</v>
      </c>
      <c r="M1467">
        <v>0</v>
      </c>
      <c r="N1467">
        <v>1200</v>
      </c>
    </row>
    <row r="1468" spans="1:14" x14ac:dyDescent="0.25">
      <c r="A1468">
        <v>1605.990354</v>
      </c>
      <c r="B1468" s="1">
        <f>DATE(2014,9,22) + TIME(23,46,6)</f>
        <v>41904.990347222221</v>
      </c>
      <c r="C1468">
        <v>1375.9235839999999</v>
      </c>
      <c r="D1468">
        <v>1361.6828613</v>
      </c>
      <c r="E1468">
        <v>1320.630249</v>
      </c>
      <c r="F1468">
        <v>1316.5711670000001</v>
      </c>
      <c r="G1468">
        <v>80</v>
      </c>
      <c r="H1468">
        <v>79.825363159000005</v>
      </c>
      <c r="I1468">
        <v>50</v>
      </c>
      <c r="J1468">
        <v>38.075096129999999</v>
      </c>
      <c r="K1468">
        <v>1200</v>
      </c>
      <c r="L1468">
        <v>0</v>
      </c>
      <c r="M1468">
        <v>0</v>
      </c>
      <c r="N1468">
        <v>1200</v>
      </c>
    </row>
    <row r="1469" spans="1:14" x14ac:dyDescent="0.25">
      <c r="A1469">
        <v>1608.9755110000001</v>
      </c>
      <c r="B1469" s="1">
        <f>DATE(2014,9,25) + TIME(23,24,44)</f>
        <v>41907.97550925926</v>
      </c>
      <c r="C1469">
        <v>1375.864624</v>
      </c>
      <c r="D1469">
        <v>1361.6346435999999</v>
      </c>
      <c r="E1469">
        <v>1320.5784911999999</v>
      </c>
      <c r="F1469">
        <v>1316.4958495999999</v>
      </c>
      <c r="G1469">
        <v>80</v>
      </c>
      <c r="H1469">
        <v>79.825706482000001</v>
      </c>
      <c r="I1469">
        <v>50</v>
      </c>
      <c r="J1469">
        <v>37.885719299000002</v>
      </c>
      <c r="K1469">
        <v>1200</v>
      </c>
      <c r="L1469">
        <v>0</v>
      </c>
      <c r="M1469">
        <v>0</v>
      </c>
      <c r="N1469">
        <v>1200</v>
      </c>
    </row>
    <row r="1470" spans="1:14" x14ac:dyDescent="0.25">
      <c r="A1470">
        <v>1611.9730520000001</v>
      </c>
      <c r="B1470" s="1">
        <f>DATE(2014,9,28) + TIME(23,21,11)</f>
        <v>41910.973043981481</v>
      </c>
      <c r="C1470">
        <v>1375.8055420000001</v>
      </c>
      <c r="D1470">
        <v>1361.5863036999999</v>
      </c>
      <c r="E1470">
        <v>1320.5267334</v>
      </c>
      <c r="F1470">
        <v>1316.4202881000001</v>
      </c>
      <c r="G1470">
        <v>80</v>
      </c>
      <c r="H1470">
        <v>79.826057434000006</v>
      </c>
      <c r="I1470">
        <v>50</v>
      </c>
      <c r="J1470">
        <v>37.697128296000002</v>
      </c>
      <c r="K1470">
        <v>1200</v>
      </c>
      <c r="L1470">
        <v>0</v>
      </c>
      <c r="M1470">
        <v>0</v>
      </c>
      <c r="N1470">
        <v>1200</v>
      </c>
    </row>
    <row r="1471" spans="1:14" x14ac:dyDescent="0.25">
      <c r="A1471">
        <v>1614</v>
      </c>
      <c r="B1471" s="1">
        <f>DATE(2014,10,1) + TIME(0,0,0)</f>
        <v>41913</v>
      </c>
      <c r="C1471">
        <v>1375.7468262</v>
      </c>
      <c r="D1471">
        <v>1361.5379639</v>
      </c>
      <c r="E1471">
        <v>1320.4758300999999</v>
      </c>
      <c r="F1471">
        <v>1316.3485106999999</v>
      </c>
      <c r="G1471">
        <v>80</v>
      </c>
      <c r="H1471">
        <v>79.826263428000004</v>
      </c>
      <c r="I1471">
        <v>50</v>
      </c>
      <c r="J1471">
        <v>37.545063018999997</v>
      </c>
      <c r="K1471">
        <v>1200</v>
      </c>
      <c r="L1471">
        <v>0</v>
      </c>
      <c r="M1471">
        <v>0</v>
      </c>
      <c r="N1471">
        <v>1200</v>
      </c>
    </row>
    <row r="1472" spans="1:14" x14ac:dyDescent="0.25">
      <c r="A1472">
        <v>1617.019955</v>
      </c>
      <c r="B1472" s="1">
        <f>DATE(2014,10,4) + TIME(0,28,44)</f>
        <v>41916.019953703704</v>
      </c>
      <c r="C1472">
        <v>1375.7078856999999</v>
      </c>
      <c r="D1472">
        <v>1361.5059814000001</v>
      </c>
      <c r="E1472">
        <v>1320.4395752</v>
      </c>
      <c r="F1472">
        <v>1316.2915039</v>
      </c>
      <c r="G1472">
        <v>80</v>
      </c>
      <c r="H1472">
        <v>79.826622009000005</v>
      </c>
      <c r="I1472">
        <v>50</v>
      </c>
      <c r="J1472">
        <v>37.373626709</v>
      </c>
      <c r="K1472">
        <v>1200</v>
      </c>
      <c r="L1472">
        <v>0</v>
      </c>
      <c r="M1472">
        <v>0</v>
      </c>
      <c r="N1472">
        <v>1200</v>
      </c>
    </row>
    <row r="1473" spans="1:14" x14ac:dyDescent="0.25">
      <c r="A1473">
        <v>1620.1012519999999</v>
      </c>
      <c r="B1473" s="1">
        <f>DATE(2014,10,7) + TIME(2,25,48)</f>
        <v>41919.10125</v>
      </c>
      <c r="C1473">
        <v>1375.6502685999999</v>
      </c>
      <c r="D1473">
        <v>1361.4584961</v>
      </c>
      <c r="E1473">
        <v>1320.3908690999999</v>
      </c>
      <c r="F1473">
        <v>1316.2197266000001</v>
      </c>
      <c r="G1473">
        <v>80</v>
      </c>
      <c r="H1473">
        <v>79.826972960999996</v>
      </c>
      <c r="I1473">
        <v>50</v>
      </c>
      <c r="J1473">
        <v>37.195915221999996</v>
      </c>
      <c r="K1473">
        <v>1200</v>
      </c>
      <c r="L1473">
        <v>0</v>
      </c>
      <c r="M1473">
        <v>0</v>
      </c>
      <c r="N1473">
        <v>1200</v>
      </c>
    </row>
    <row r="1474" spans="1:14" x14ac:dyDescent="0.25">
      <c r="A1474">
        <v>1623.232493</v>
      </c>
      <c r="B1474" s="1">
        <f>DATE(2014,10,10) + TIME(5,34,47)</f>
        <v>41922.232488425929</v>
      </c>
      <c r="C1474">
        <v>1375.5921631000001</v>
      </c>
      <c r="D1474">
        <v>1361.4105225000001</v>
      </c>
      <c r="E1474">
        <v>1320.3415527</v>
      </c>
      <c r="F1474">
        <v>1316.1468506000001</v>
      </c>
      <c r="G1474">
        <v>80</v>
      </c>
      <c r="H1474">
        <v>79.827323914000004</v>
      </c>
      <c r="I1474">
        <v>50</v>
      </c>
      <c r="J1474">
        <v>37.015731811999999</v>
      </c>
      <c r="K1474">
        <v>1200</v>
      </c>
      <c r="L1474">
        <v>0</v>
      </c>
      <c r="M1474">
        <v>0</v>
      </c>
      <c r="N1474">
        <v>1200</v>
      </c>
    </row>
    <row r="1475" spans="1:14" x14ac:dyDescent="0.25">
      <c r="A1475">
        <v>1626.4252469999999</v>
      </c>
      <c r="B1475" s="1">
        <f>DATE(2014,10,13) + TIME(10,12,21)</f>
        <v>41925.425243055557</v>
      </c>
      <c r="C1475">
        <v>1375.5339355000001</v>
      </c>
      <c r="D1475">
        <v>1361.3621826000001</v>
      </c>
      <c r="E1475">
        <v>1320.2923584</v>
      </c>
      <c r="F1475">
        <v>1316.0734863</v>
      </c>
      <c r="G1475">
        <v>80</v>
      </c>
      <c r="H1475">
        <v>79.827674865999995</v>
      </c>
      <c r="I1475">
        <v>50</v>
      </c>
      <c r="J1475">
        <v>36.834804535000004</v>
      </c>
      <c r="K1475">
        <v>1200</v>
      </c>
      <c r="L1475">
        <v>0</v>
      </c>
      <c r="M1475">
        <v>0</v>
      </c>
      <c r="N1475">
        <v>1200</v>
      </c>
    </row>
    <row r="1476" spans="1:14" x14ac:dyDescent="0.25">
      <c r="A1476">
        <v>1629.691767</v>
      </c>
      <c r="B1476" s="1">
        <f>DATE(2014,10,16) + TIME(16,36,8)</f>
        <v>41928.691759259258</v>
      </c>
      <c r="C1476">
        <v>1375.4752197</v>
      </c>
      <c r="D1476">
        <v>1361.3133545000001</v>
      </c>
      <c r="E1476">
        <v>1320.2431641000001</v>
      </c>
      <c r="F1476">
        <v>1316</v>
      </c>
      <c r="G1476">
        <v>80</v>
      </c>
      <c r="H1476">
        <v>79.828033446999996</v>
      </c>
      <c r="I1476">
        <v>50</v>
      </c>
      <c r="J1476">
        <v>36.653789519999997</v>
      </c>
      <c r="K1476">
        <v>1200</v>
      </c>
      <c r="L1476">
        <v>0</v>
      </c>
      <c r="M1476">
        <v>0</v>
      </c>
      <c r="N1476">
        <v>1200</v>
      </c>
    </row>
    <row r="1477" spans="1:14" x14ac:dyDescent="0.25">
      <c r="A1477">
        <v>1633.0395579999999</v>
      </c>
      <c r="B1477" s="1">
        <f>DATE(2014,10,20) + TIME(0,56,57)</f>
        <v>41932.039548611108</v>
      </c>
      <c r="C1477">
        <v>1375.4158935999999</v>
      </c>
      <c r="D1477">
        <v>1361.2640381000001</v>
      </c>
      <c r="E1477">
        <v>1320.1942139</v>
      </c>
      <c r="F1477">
        <v>1315.9261475000001</v>
      </c>
      <c r="G1477">
        <v>80</v>
      </c>
      <c r="H1477">
        <v>79.828392029</v>
      </c>
      <c r="I1477">
        <v>50</v>
      </c>
      <c r="J1477">
        <v>36.472991942999997</v>
      </c>
      <c r="K1477">
        <v>1200</v>
      </c>
      <c r="L1477">
        <v>0</v>
      </c>
      <c r="M1477">
        <v>0</v>
      </c>
      <c r="N1477">
        <v>1200</v>
      </c>
    </row>
    <row r="1478" spans="1:14" x14ac:dyDescent="0.25">
      <c r="A1478">
        <v>1636.4364889999999</v>
      </c>
      <c r="B1478" s="1">
        <f>DATE(2014,10,23) + TIME(10,28,32)</f>
        <v>41935.436481481483</v>
      </c>
      <c r="C1478">
        <v>1375.3558350000001</v>
      </c>
      <c r="D1478">
        <v>1361.2138672000001</v>
      </c>
      <c r="E1478">
        <v>1320.1452637</v>
      </c>
      <c r="F1478">
        <v>1315.8522949000001</v>
      </c>
      <c r="G1478">
        <v>80</v>
      </c>
      <c r="H1478">
        <v>79.828758239999999</v>
      </c>
      <c r="I1478">
        <v>50</v>
      </c>
      <c r="J1478">
        <v>36.293540954999997</v>
      </c>
      <c r="K1478">
        <v>1200</v>
      </c>
      <c r="L1478">
        <v>0</v>
      </c>
      <c r="M1478">
        <v>0</v>
      </c>
      <c r="N1478">
        <v>1200</v>
      </c>
    </row>
    <row r="1479" spans="1:14" x14ac:dyDescent="0.25">
      <c r="A1479">
        <v>1639.8778950000001</v>
      </c>
      <c r="B1479" s="1">
        <f>DATE(2014,10,26) + TIME(21,4,10)</f>
        <v>41938.877893518518</v>
      </c>
      <c r="C1479">
        <v>1375.2956543</v>
      </c>
      <c r="D1479">
        <v>1361.1634521000001</v>
      </c>
      <c r="E1479">
        <v>1320.0969238</v>
      </c>
      <c r="F1479">
        <v>1315.7788086</v>
      </c>
      <c r="G1479">
        <v>80</v>
      </c>
      <c r="H1479">
        <v>79.829124450999998</v>
      </c>
      <c r="I1479">
        <v>50</v>
      </c>
      <c r="J1479">
        <v>36.116455078000001</v>
      </c>
      <c r="K1479">
        <v>1200</v>
      </c>
      <c r="L1479">
        <v>0</v>
      </c>
      <c r="M1479">
        <v>0</v>
      </c>
      <c r="N1479">
        <v>1200</v>
      </c>
    </row>
    <row r="1480" spans="1:14" x14ac:dyDescent="0.25">
      <c r="A1480">
        <v>1643.3464879999999</v>
      </c>
      <c r="B1480" s="1">
        <f>DATE(2014,10,30) + TIME(8,18,56)</f>
        <v>41942.34648148148</v>
      </c>
      <c r="C1480">
        <v>1375.2354736</v>
      </c>
      <c r="D1480">
        <v>1361.112793</v>
      </c>
      <c r="E1480">
        <v>1320.0493164</v>
      </c>
      <c r="F1480">
        <v>1315.7062988</v>
      </c>
      <c r="G1480">
        <v>80</v>
      </c>
      <c r="H1480">
        <v>79.829483031999999</v>
      </c>
      <c r="I1480">
        <v>50</v>
      </c>
      <c r="J1480">
        <v>35.942813872999999</v>
      </c>
      <c r="K1480">
        <v>1200</v>
      </c>
      <c r="L1480">
        <v>0</v>
      </c>
      <c r="M1480">
        <v>0</v>
      </c>
      <c r="N1480">
        <v>1200</v>
      </c>
    </row>
    <row r="1481" spans="1:14" x14ac:dyDescent="0.25">
      <c r="A1481">
        <v>1645</v>
      </c>
      <c r="B1481" s="1">
        <f>DATE(2014,11,1) + TIME(0,0,0)</f>
        <v>41944</v>
      </c>
      <c r="C1481">
        <v>1375.1751709</v>
      </c>
      <c r="D1481">
        <v>1361.0620117000001</v>
      </c>
      <c r="E1481">
        <v>1320.0035399999999</v>
      </c>
      <c r="F1481">
        <v>1315.640625</v>
      </c>
      <c r="G1481">
        <v>80</v>
      </c>
      <c r="H1481">
        <v>79.829627990999995</v>
      </c>
      <c r="I1481">
        <v>50</v>
      </c>
      <c r="J1481">
        <v>35.828227996999999</v>
      </c>
      <c r="K1481">
        <v>1200</v>
      </c>
      <c r="L1481">
        <v>0</v>
      </c>
      <c r="M1481">
        <v>0</v>
      </c>
      <c r="N1481">
        <v>1200</v>
      </c>
    </row>
    <row r="1482" spans="1:14" x14ac:dyDescent="0.25">
      <c r="A1482">
        <v>1645.0000010000001</v>
      </c>
      <c r="B1482" s="1">
        <f>DATE(2014,11,1) + TIME(0,0,0)</f>
        <v>41944</v>
      </c>
      <c r="C1482">
        <v>1360.7730713000001</v>
      </c>
      <c r="D1482">
        <v>1348.1580810999999</v>
      </c>
      <c r="E1482">
        <v>1324.6640625</v>
      </c>
      <c r="F1482">
        <v>1320.2902832</v>
      </c>
      <c r="G1482">
        <v>80</v>
      </c>
      <c r="H1482">
        <v>79.829582213999998</v>
      </c>
      <c r="I1482">
        <v>50</v>
      </c>
      <c r="J1482">
        <v>35.828269958</v>
      </c>
      <c r="K1482">
        <v>0</v>
      </c>
      <c r="L1482">
        <v>1200</v>
      </c>
      <c r="M1482">
        <v>1200</v>
      </c>
      <c r="N1482">
        <v>0</v>
      </c>
    </row>
    <row r="1483" spans="1:14" x14ac:dyDescent="0.25">
      <c r="A1483">
        <v>1645.000004</v>
      </c>
      <c r="B1483" s="1">
        <f>DATE(2014,11,1) + TIME(0,0,0)</f>
        <v>41944</v>
      </c>
      <c r="C1483">
        <v>1359.9720459</v>
      </c>
      <c r="D1483">
        <v>1347.355957</v>
      </c>
      <c r="E1483">
        <v>1325.4468993999999</v>
      </c>
      <c r="F1483">
        <v>1321.0831298999999</v>
      </c>
      <c r="G1483">
        <v>80</v>
      </c>
      <c r="H1483">
        <v>79.829467773000005</v>
      </c>
      <c r="I1483">
        <v>50</v>
      </c>
      <c r="J1483">
        <v>35.828376769999998</v>
      </c>
      <c r="K1483">
        <v>0</v>
      </c>
      <c r="L1483">
        <v>1200</v>
      </c>
      <c r="M1483">
        <v>1200</v>
      </c>
      <c r="N1483">
        <v>0</v>
      </c>
    </row>
    <row r="1484" spans="1:14" x14ac:dyDescent="0.25">
      <c r="A1484">
        <v>1645.0000130000001</v>
      </c>
      <c r="B1484" s="1">
        <f>DATE(2014,11,1) + TIME(0,0,1)</f>
        <v>41944.000011574077</v>
      </c>
      <c r="C1484">
        <v>1358.0057373</v>
      </c>
      <c r="D1484">
        <v>1345.3878173999999</v>
      </c>
      <c r="E1484">
        <v>1327.3486327999999</v>
      </c>
      <c r="F1484">
        <v>1323.0010986</v>
      </c>
      <c r="G1484">
        <v>80</v>
      </c>
      <c r="H1484">
        <v>79.829193114999995</v>
      </c>
      <c r="I1484">
        <v>50</v>
      </c>
      <c r="J1484">
        <v>35.828651428000001</v>
      </c>
      <c r="K1484">
        <v>0</v>
      </c>
      <c r="L1484">
        <v>1200</v>
      </c>
      <c r="M1484">
        <v>1200</v>
      </c>
      <c r="N1484">
        <v>0</v>
      </c>
    </row>
    <row r="1485" spans="1:14" x14ac:dyDescent="0.25">
      <c r="A1485">
        <v>1645.0000399999999</v>
      </c>
      <c r="B1485" s="1">
        <f>DATE(2014,11,1) + TIME(0,0,3)</f>
        <v>41944.000034722223</v>
      </c>
      <c r="C1485">
        <v>1354.1536865</v>
      </c>
      <c r="D1485">
        <v>1341.534668</v>
      </c>
      <c r="E1485">
        <v>1330.8852539</v>
      </c>
      <c r="F1485">
        <v>1326.5435791</v>
      </c>
      <c r="G1485">
        <v>80</v>
      </c>
      <c r="H1485">
        <v>79.828643799000005</v>
      </c>
      <c r="I1485">
        <v>50</v>
      </c>
      <c r="J1485">
        <v>35.829212189000003</v>
      </c>
      <c r="K1485">
        <v>0</v>
      </c>
      <c r="L1485">
        <v>1200</v>
      </c>
      <c r="M1485">
        <v>1200</v>
      </c>
      <c r="N1485">
        <v>0</v>
      </c>
    </row>
    <row r="1486" spans="1:14" x14ac:dyDescent="0.25">
      <c r="A1486">
        <v>1645.000121</v>
      </c>
      <c r="B1486" s="1">
        <f>DATE(2014,11,1) + TIME(0,0,10)</f>
        <v>41944.000115740739</v>
      </c>
      <c r="C1486">
        <v>1348.4715576000001</v>
      </c>
      <c r="D1486">
        <v>1335.8543701000001</v>
      </c>
      <c r="E1486">
        <v>1335.3785399999999</v>
      </c>
      <c r="F1486">
        <v>1331.0290527</v>
      </c>
      <c r="G1486">
        <v>80</v>
      </c>
      <c r="H1486">
        <v>79.827827454000001</v>
      </c>
      <c r="I1486">
        <v>50</v>
      </c>
      <c r="J1486">
        <v>35.830173492</v>
      </c>
      <c r="K1486">
        <v>0</v>
      </c>
      <c r="L1486">
        <v>1200</v>
      </c>
      <c r="M1486">
        <v>1200</v>
      </c>
      <c r="N1486">
        <v>0</v>
      </c>
    </row>
    <row r="1487" spans="1:14" x14ac:dyDescent="0.25">
      <c r="A1487">
        <v>1645.000364</v>
      </c>
      <c r="B1487" s="1">
        <f>DATE(2014,11,1) + TIME(0,0,31)</f>
        <v>41944.000358796293</v>
      </c>
      <c r="C1487">
        <v>1341.7646483999999</v>
      </c>
      <c r="D1487">
        <v>1329.1601562000001</v>
      </c>
      <c r="E1487">
        <v>1339.6779785000001</v>
      </c>
      <c r="F1487">
        <v>1335.3156738</v>
      </c>
      <c r="G1487">
        <v>80</v>
      </c>
      <c r="H1487">
        <v>79.826835631999998</v>
      </c>
      <c r="I1487">
        <v>50</v>
      </c>
      <c r="J1487">
        <v>35.831993103000002</v>
      </c>
      <c r="K1487">
        <v>0</v>
      </c>
      <c r="L1487">
        <v>1200</v>
      </c>
      <c r="M1487">
        <v>1200</v>
      </c>
      <c r="N1487">
        <v>0</v>
      </c>
    </row>
    <row r="1488" spans="1:14" x14ac:dyDescent="0.25">
      <c r="A1488">
        <v>1645.0010930000001</v>
      </c>
      <c r="B1488" s="1">
        <f>DATE(2014,11,1) + TIME(0,1,34)</f>
        <v>41944.001087962963</v>
      </c>
      <c r="C1488">
        <v>1334.6418457</v>
      </c>
      <c r="D1488">
        <v>1322.0314940999999</v>
      </c>
      <c r="E1488">
        <v>1343.6413574000001</v>
      </c>
      <c r="F1488">
        <v>1339.2678223</v>
      </c>
      <c r="G1488">
        <v>80</v>
      </c>
      <c r="H1488">
        <v>79.825691223000007</v>
      </c>
      <c r="I1488">
        <v>50</v>
      </c>
      <c r="J1488">
        <v>35.836418152</v>
      </c>
      <c r="K1488">
        <v>0</v>
      </c>
      <c r="L1488">
        <v>1200</v>
      </c>
      <c r="M1488">
        <v>1200</v>
      </c>
      <c r="N1488">
        <v>0</v>
      </c>
    </row>
    <row r="1489" spans="1:14" x14ac:dyDescent="0.25">
      <c r="A1489">
        <v>1645.0032799999999</v>
      </c>
      <c r="B1489" s="1">
        <f>DATE(2014,11,1) + TIME(0,4,43)</f>
        <v>41944.003275462965</v>
      </c>
      <c r="C1489">
        <v>1327.2687988</v>
      </c>
      <c r="D1489">
        <v>1314.5631103999999</v>
      </c>
      <c r="E1489">
        <v>1347.3554687999999</v>
      </c>
      <c r="F1489">
        <v>1342.9554443</v>
      </c>
      <c r="G1489">
        <v>80</v>
      </c>
      <c r="H1489">
        <v>79.824226378999995</v>
      </c>
      <c r="I1489">
        <v>50</v>
      </c>
      <c r="J1489">
        <v>35.848793030000003</v>
      </c>
      <c r="K1489">
        <v>0</v>
      </c>
      <c r="L1489">
        <v>1200</v>
      </c>
      <c r="M1489">
        <v>1200</v>
      </c>
      <c r="N1489">
        <v>0</v>
      </c>
    </row>
    <row r="1490" spans="1:14" x14ac:dyDescent="0.25">
      <c r="A1490">
        <v>1645.0098410000001</v>
      </c>
      <c r="B1490" s="1">
        <f>DATE(2014,11,1) + TIME(0,14,10)</f>
        <v>41944.009837962964</v>
      </c>
      <c r="C1490">
        <v>1320.0753173999999</v>
      </c>
      <c r="D1490">
        <v>1307.2142334</v>
      </c>
      <c r="E1490">
        <v>1349.7054443</v>
      </c>
      <c r="F1490">
        <v>1345.2652588000001</v>
      </c>
      <c r="G1490">
        <v>80</v>
      </c>
      <c r="H1490">
        <v>79.821929932000003</v>
      </c>
      <c r="I1490">
        <v>50</v>
      </c>
      <c r="J1490">
        <v>35.885143280000001</v>
      </c>
      <c r="K1490">
        <v>0</v>
      </c>
      <c r="L1490">
        <v>1200</v>
      </c>
      <c r="M1490">
        <v>1200</v>
      </c>
      <c r="N1490">
        <v>0</v>
      </c>
    </row>
    <row r="1491" spans="1:14" x14ac:dyDescent="0.25">
      <c r="A1491">
        <v>1645.029524</v>
      </c>
      <c r="B1491" s="1">
        <f>DATE(2014,11,1) + TIME(0,42,30)</f>
        <v>41944.029513888891</v>
      </c>
      <c r="C1491">
        <v>1314.2529297000001</v>
      </c>
      <c r="D1491">
        <v>1301.3010254000001</v>
      </c>
      <c r="E1491">
        <v>1349.5393065999999</v>
      </c>
      <c r="F1491">
        <v>1345.0814209</v>
      </c>
      <c r="G1491">
        <v>80</v>
      </c>
      <c r="H1491">
        <v>79.817276000999996</v>
      </c>
      <c r="I1491">
        <v>50</v>
      </c>
      <c r="J1491">
        <v>35.993186950999998</v>
      </c>
      <c r="K1491">
        <v>0</v>
      </c>
      <c r="L1491">
        <v>1200</v>
      </c>
      <c r="M1491">
        <v>1200</v>
      </c>
      <c r="N1491">
        <v>0</v>
      </c>
    </row>
    <row r="1492" spans="1:14" x14ac:dyDescent="0.25">
      <c r="A1492">
        <v>1645.088573</v>
      </c>
      <c r="B1492" s="1">
        <f>DATE(2014,11,1) + TIME(2,7,32)</f>
        <v>41944.088564814818</v>
      </c>
      <c r="C1492">
        <v>1310.4305420000001</v>
      </c>
      <c r="D1492">
        <v>1297.4494629000001</v>
      </c>
      <c r="E1492">
        <v>1347.8023682</v>
      </c>
      <c r="F1492">
        <v>1343.3625488</v>
      </c>
      <c r="G1492">
        <v>80</v>
      </c>
      <c r="H1492">
        <v>79.805397033999995</v>
      </c>
      <c r="I1492">
        <v>50</v>
      </c>
      <c r="J1492">
        <v>36.310432433999999</v>
      </c>
      <c r="K1492">
        <v>0</v>
      </c>
      <c r="L1492">
        <v>1200</v>
      </c>
      <c r="M1492">
        <v>1200</v>
      </c>
      <c r="N1492">
        <v>0</v>
      </c>
    </row>
    <row r="1493" spans="1:14" x14ac:dyDescent="0.25">
      <c r="A1493">
        <v>1645.2387470000001</v>
      </c>
      <c r="B1493" s="1">
        <f>DATE(2014,11,1) + TIME(5,43,47)</f>
        <v>41944.238738425927</v>
      </c>
      <c r="C1493">
        <v>1308.3344727000001</v>
      </c>
      <c r="D1493">
        <v>1295.3453368999999</v>
      </c>
      <c r="E1493">
        <v>1346.1369629000001</v>
      </c>
      <c r="F1493">
        <v>1341.753418</v>
      </c>
      <c r="G1493">
        <v>80</v>
      </c>
      <c r="H1493">
        <v>79.777320861999996</v>
      </c>
      <c r="I1493">
        <v>50</v>
      </c>
      <c r="J1493">
        <v>37.073657990000001</v>
      </c>
      <c r="K1493">
        <v>0</v>
      </c>
      <c r="L1493">
        <v>1200</v>
      </c>
      <c r="M1493">
        <v>1200</v>
      </c>
      <c r="N1493">
        <v>0</v>
      </c>
    </row>
    <row r="1494" spans="1:14" x14ac:dyDescent="0.25">
      <c r="A1494">
        <v>1645.395859</v>
      </c>
      <c r="B1494" s="1">
        <f>DATE(2014,11,1) + TIME(9,30,2)</f>
        <v>41944.395856481482</v>
      </c>
      <c r="C1494">
        <v>1307.6171875</v>
      </c>
      <c r="D1494">
        <v>1294.6253661999999</v>
      </c>
      <c r="E1494">
        <v>1345.4530029</v>
      </c>
      <c r="F1494">
        <v>1341.1145019999999</v>
      </c>
      <c r="G1494">
        <v>80</v>
      </c>
      <c r="H1494">
        <v>79.748474121000001</v>
      </c>
      <c r="I1494">
        <v>50</v>
      </c>
      <c r="J1494">
        <v>37.828464508000003</v>
      </c>
      <c r="K1494">
        <v>0</v>
      </c>
      <c r="L1494">
        <v>1200</v>
      </c>
      <c r="M1494">
        <v>1200</v>
      </c>
      <c r="N1494">
        <v>0</v>
      </c>
    </row>
    <row r="1495" spans="1:14" x14ac:dyDescent="0.25">
      <c r="A1495">
        <v>1645.5609079999999</v>
      </c>
      <c r="B1495" s="1">
        <f>DATE(2014,11,1) + TIME(13,27,42)</f>
        <v>41944.560902777775</v>
      </c>
      <c r="C1495">
        <v>1307.3364257999999</v>
      </c>
      <c r="D1495">
        <v>1294.3427733999999</v>
      </c>
      <c r="E1495">
        <v>1345.1348877</v>
      </c>
      <c r="F1495">
        <v>1340.8394774999999</v>
      </c>
      <c r="G1495">
        <v>80</v>
      </c>
      <c r="H1495">
        <v>79.718582153</v>
      </c>
      <c r="I1495">
        <v>50</v>
      </c>
      <c r="J1495">
        <v>38.575504303000002</v>
      </c>
      <c r="K1495">
        <v>0</v>
      </c>
      <c r="L1495">
        <v>1200</v>
      </c>
      <c r="M1495">
        <v>1200</v>
      </c>
      <c r="N1495">
        <v>0</v>
      </c>
    </row>
    <row r="1496" spans="1:14" x14ac:dyDescent="0.25">
      <c r="A1496">
        <v>1645.7348099999999</v>
      </c>
      <c r="B1496" s="1">
        <f>DATE(2014,11,1) + TIME(17,38,7)</f>
        <v>41944.734803240739</v>
      </c>
      <c r="C1496">
        <v>1307.2235106999999</v>
      </c>
      <c r="D1496">
        <v>1294.2280272999999</v>
      </c>
      <c r="E1496">
        <v>1344.9672852000001</v>
      </c>
      <c r="F1496">
        <v>1340.7130127</v>
      </c>
      <c r="G1496">
        <v>80</v>
      </c>
      <c r="H1496">
        <v>79.687484741000006</v>
      </c>
      <c r="I1496">
        <v>50</v>
      </c>
      <c r="J1496">
        <v>39.314319611000002</v>
      </c>
      <c r="K1496">
        <v>0</v>
      </c>
      <c r="L1496">
        <v>1200</v>
      </c>
      <c r="M1496">
        <v>1200</v>
      </c>
      <c r="N1496">
        <v>0</v>
      </c>
    </row>
    <row r="1497" spans="1:14" x14ac:dyDescent="0.25">
      <c r="A1497">
        <v>1645.918586</v>
      </c>
      <c r="B1497" s="1">
        <f>DATE(2014,11,1) + TIME(22,2,45)</f>
        <v>41944.918576388889</v>
      </c>
      <c r="C1497">
        <v>1307.1773682</v>
      </c>
      <c r="D1497">
        <v>1294.1801757999999</v>
      </c>
      <c r="E1497">
        <v>1344.862793</v>
      </c>
      <c r="F1497">
        <v>1340.6478271000001</v>
      </c>
      <c r="G1497">
        <v>80</v>
      </c>
      <c r="H1497">
        <v>79.655044556000007</v>
      </c>
      <c r="I1497">
        <v>50</v>
      </c>
      <c r="J1497">
        <v>40.044200897000003</v>
      </c>
      <c r="K1497">
        <v>0</v>
      </c>
      <c r="L1497">
        <v>1200</v>
      </c>
      <c r="M1497">
        <v>1200</v>
      </c>
      <c r="N1497">
        <v>0</v>
      </c>
    </row>
    <row r="1498" spans="1:14" x14ac:dyDescent="0.25">
      <c r="A1498">
        <v>1646.113425</v>
      </c>
      <c r="B1498" s="1">
        <f>DATE(2014,11,2) + TIME(2,43,19)</f>
        <v>41945.11341435185</v>
      </c>
      <c r="C1498">
        <v>1307.1573486</v>
      </c>
      <c r="D1498">
        <v>1294.1583252</v>
      </c>
      <c r="E1498">
        <v>1344.7854004000001</v>
      </c>
      <c r="F1498">
        <v>1340.6079102000001</v>
      </c>
      <c r="G1498">
        <v>80</v>
      </c>
      <c r="H1498">
        <v>79.621086121000005</v>
      </c>
      <c r="I1498">
        <v>50</v>
      </c>
      <c r="J1498">
        <v>40.764469147</v>
      </c>
      <c r="K1498">
        <v>0</v>
      </c>
      <c r="L1498">
        <v>1200</v>
      </c>
      <c r="M1498">
        <v>1200</v>
      </c>
      <c r="N1498">
        <v>0</v>
      </c>
    </row>
    <row r="1499" spans="1:14" x14ac:dyDescent="0.25">
      <c r="A1499">
        <v>1646.320733</v>
      </c>
      <c r="B1499" s="1">
        <f>DATE(2014,11,2) + TIME(7,41,51)</f>
        <v>41945.320729166669</v>
      </c>
      <c r="C1499">
        <v>1307.1470947</v>
      </c>
      <c r="D1499">
        <v>1294.1462402</v>
      </c>
      <c r="E1499">
        <v>1344.7203368999999</v>
      </c>
      <c r="F1499">
        <v>1340.5787353999999</v>
      </c>
      <c r="G1499">
        <v>80</v>
      </c>
      <c r="H1499">
        <v>79.585433960000003</v>
      </c>
      <c r="I1499">
        <v>50</v>
      </c>
      <c r="J1499">
        <v>41.473995209000002</v>
      </c>
      <c r="K1499">
        <v>0</v>
      </c>
      <c r="L1499">
        <v>1200</v>
      </c>
      <c r="M1499">
        <v>1200</v>
      </c>
      <c r="N1499">
        <v>0</v>
      </c>
    </row>
    <row r="1500" spans="1:14" x14ac:dyDescent="0.25">
      <c r="A1500">
        <v>1646.542183</v>
      </c>
      <c r="B1500" s="1">
        <f>DATE(2014,11,2) + TIME(13,0,44)</f>
        <v>41945.542175925926</v>
      </c>
      <c r="C1500">
        <v>1307.1402588000001</v>
      </c>
      <c r="D1500">
        <v>1294.1373291</v>
      </c>
      <c r="E1500">
        <v>1344.6617432</v>
      </c>
      <c r="F1500">
        <v>1340.5541992000001</v>
      </c>
      <c r="G1500">
        <v>80</v>
      </c>
      <c r="H1500">
        <v>79.547874450999998</v>
      </c>
      <c r="I1500">
        <v>50</v>
      </c>
      <c r="J1500">
        <v>42.171665191999999</v>
      </c>
      <c r="K1500">
        <v>0</v>
      </c>
      <c r="L1500">
        <v>1200</v>
      </c>
      <c r="M1500">
        <v>1200</v>
      </c>
      <c r="N1500">
        <v>0</v>
      </c>
    </row>
    <row r="1501" spans="1:14" x14ac:dyDescent="0.25">
      <c r="A1501">
        <v>1646.7797869999999</v>
      </c>
      <c r="B1501" s="1">
        <f>DATE(2014,11,2) + TIME(18,42,53)</f>
        <v>41945.779780092591</v>
      </c>
      <c r="C1501">
        <v>1307.1341553</v>
      </c>
      <c r="D1501">
        <v>1294.1292725000001</v>
      </c>
      <c r="E1501">
        <v>1344.6071777</v>
      </c>
      <c r="F1501">
        <v>1340.5322266000001</v>
      </c>
      <c r="G1501">
        <v>80</v>
      </c>
      <c r="H1501">
        <v>79.508163452000005</v>
      </c>
      <c r="I1501">
        <v>50</v>
      </c>
      <c r="J1501">
        <v>42.856193542</v>
      </c>
      <c r="K1501">
        <v>0</v>
      </c>
      <c r="L1501">
        <v>1200</v>
      </c>
      <c r="M1501">
        <v>1200</v>
      </c>
      <c r="N1501">
        <v>0</v>
      </c>
    </row>
    <row r="1502" spans="1:14" x14ac:dyDescent="0.25">
      <c r="A1502">
        <v>1647.035995</v>
      </c>
      <c r="B1502" s="1">
        <f>DATE(2014,11,3) + TIME(0,51,50)</f>
        <v>41946.035995370374</v>
      </c>
      <c r="C1502">
        <v>1307.1281738</v>
      </c>
      <c r="D1502">
        <v>1294.1209716999999</v>
      </c>
      <c r="E1502">
        <v>1344.5559082</v>
      </c>
      <c r="F1502">
        <v>1340.5117187999999</v>
      </c>
      <c r="G1502">
        <v>80</v>
      </c>
      <c r="H1502">
        <v>79.465988159000005</v>
      </c>
      <c r="I1502">
        <v>50</v>
      </c>
      <c r="J1502">
        <v>43.526123046999999</v>
      </c>
      <c r="K1502">
        <v>0</v>
      </c>
      <c r="L1502">
        <v>1200</v>
      </c>
      <c r="M1502">
        <v>1200</v>
      </c>
      <c r="N1502">
        <v>0</v>
      </c>
    </row>
    <row r="1503" spans="1:14" x14ac:dyDescent="0.25">
      <c r="A1503">
        <v>1647.3138289999999</v>
      </c>
      <c r="B1503" s="1">
        <f>DATE(2014,11,3) + TIME(7,31,54)</f>
        <v>41946.313819444447</v>
      </c>
      <c r="C1503">
        <v>1307.121582</v>
      </c>
      <c r="D1503">
        <v>1294.1120605000001</v>
      </c>
      <c r="E1503">
        <v>1344.5072021000001</v>
      </c>
      <c r="F1503">
        <v>1340.4923096</v>
      </c>
      <c r="G1503">
        <v>80</v>
      </c>
      <c r="H1503">
        <v>79.420989989999995</v>
      </c>
      <c r="I1503">
        <v>50</v>
      </c>
      <c r="J1503">
        <v>44.179782867</v>
      </c>
      <c r="K1503">
        <v>0</v>
      </c>
      <c r="L1503">
        <v>1200</v>
      </c>
      <c r="M1503">
        <v>1200</v>
      </c>
      <c r="N1503">
        <v>0</v>
      </c>
    </row>
    <row r="1504" spans="1:14" x14ac:dyDescent="0.25">
      <c r="A1504">
        <v>1647.61707</v>
      </c>
      <c r="B1504" s="1">
        <f>DATE(2014,11,3) + TIME(14,48,34)</f>
        <v>41946.617060185185</v>
      </c>
      <c r="C1504">
        <v>1307.1145019999999</v>
      </c>
      <c r="D1504">
        <v>1294.1024170000001</v>
      </c>
      <c r="E1504">
        <v>1344.4606934000001</v>
      </c>
      <c r="F1504">
        <v>1340.4735106999999</v>
      </c>
      <c r="G1504">
        <v>80</v>
      </c>
      <c r="H1504">
        <v>79.372711182000003</v>
      </c>
      <c r="I1504">
        <v>50</v>
      </c>
      <c r="J1504">
        <v>44.815254211000003</v>
      </c>
      <c r="K1504">
        <v>0</v>
      </c>
      <c r="L1504">
        <v>1200</v>
      </c>
      <c r="M1504">
        <v>1200</v>
      </c>
      <c r="N1504">
        <v>0</v>
      </c>
    </row>
    <row r="1505" spans="1:14" x14ac:dyDescent="0.25">
      <c r="A1505">
        <v>1647.950503</v>
      </c>
      <c r="B1505" s="1">
        <f>DATE(2014,11,3) + TIME(22,48,43)</f>
        <v>41946.950497685182</v>
      </c>
      <c r="C1505">
        <v>1307.1065673999999</v>
      </c>
      <c r="D1505">
        <v>1294.0919189000001</v>
      </c>
      <c r="E1505">
        <v>1344.4163818</v>
      </c>
      <c r="F1505">
        <v>1340.4550781</v>
      </c>
      <c r="G1505">
        <v>80</v>
      </c>
      <c r="H1505">
        <v>79.320610045999999</v>
      </c>
      <c r="I1505">
        <v>50</v>
      </c>
      <c r="J1505">
        <v>45.430309295999997</v>
      </c>
      <c r="K1505">
        <v>0</v>
      </c>
      <c r="L1505">
        <v>1200</v>
      </c>
      <c r="M1505">
        <v>1200</v>
      </c>
      <c r="N1505">
        <v>0</v>
      </c>
    </row>
    <row r="1506" spans="1:14" x14ac:dyDescent="0.25">
      <c r="A1506">
        <v>1648.3203329999999</v>
      </c>
      <c r="B1506" s="1">
        <f>DATE(2014,11,4) + TIME(7,41,16)</f>
        <v>41947.320324074077</v>
      </c>
      <c r="C1506">
        <v>1307.0977783000001</v>
      </c>
      <c r="D1506">
        <v>1294.0802002</v>
      </c>
      <c r="E1506">
        <v>1344.3737793</v>
      </c>
      <c r="F1506">
        <v>1340.4368896000001</v>
      </c>
      <c r="G1506">
        <v>80</v>
      </c>
      <c r="H1506">
        <v>79.263961792000003</v>
      </c>
      <c r="I1506">
        <v>50</v>
      </c>
      <c r="J1506">
        <v>46.022399901999997</v>
      </c>
      <c r="K1506">
        <v>0</v>
      </c>
      <c r="L1506">
        <v>1200</v>
      </c>
      <c r="M1506">
        <v>1200</v>
      </c>
      <c r="N1506">
        <v>0</v>
      </c>
    </row>
    <row r="1507" spans="1:14" x14ac:dyDescent="0.25">
      <c r="A1507">
        <v>1648.734888</v>
      </c>
      <c r="B1507" s="1">
        <f>DATE(2014,11,4) + TIME(17,38,14)</f>
        <v>41947.734884259262</v>
      </c>
      <c r="C1507">
        <v>1307.0880127</v>
      </c>
      <c r="D1507">
        <v>1294.0672606999999</v>
      </c>
      <c r="E1507">
        <v>1344.3326416</v>
      </c>
      <c r="F1507">
        <v>1340.4185791</v>
      </c>
      <c r="G1507">
        <v>80</v>
      </c>
      <c r="H1507">
        <v>79.201843261999997</v>
      </c>
      <c r="I1507">
        <v>50</v>
      </c>
      <c r="J1507">
        <v>46.588733673</v>
      </c>
      <c r="K1507">
        <v>0</v>
      </c>
      <c r="L1507">
        <v>1200</v>
      </c>
      <c r="M1507">
        <v>1200</v>
      </c>
      <c r="N1507">
        <v>0</v>
      </c>
    </row>
    <row r="1508" spans="1:14" x14ac:dyDescent="0.25">
      <c r="A1508">
        <v>1649.2054599999999</v>
      </c>
      <c r="B1508" s="1">
        <f>DATE(2014,11,5) + TIME(4,55,51)</f>
        <v>41948.205451388887</v>
      </c>
      <c r="C1508">
        <v>1307.0769043</v>
      </c>
      <c r="D1508">
        <v>1294.0526123</v>
      </c>
      <c r="E1508">
        <v>1344.2926024999999</v>
      </c>
      <c r="F1508">
        <v>1340.3996582</v>
      </c>
      <c r="G1508">
        <v>80</v>
      </c>
      <c r="H1508">
        <v>79.133041382000002</v>
      </c>
      <c r="I1508">
        <v>50</v>
      </c>
      <c r="J1508">
        <v>47.125988006999997</v>
      </c>
      <c r="K1508">
        <v>0</v>
      </c>
      <c r="L1508">
        <v>1200</v>
      </c>
      <c r="M1508">
        <v>1200</v>
      </c>
      <c r="N1508">
        <v>0</v>
      </c>
    </row>
    <row r="1509" spans="1:14" x14ac:dyDescent="0.25">
      <c r="A1509">
        <v>1649.747944</v>
      </c>
      <c r="B1509" s="1">
        <f>DATE(2014,11,5) + TIME(17,57,2)</f>
        <v>41948.747939814813</v>
      </c>
      <c r="C1509">
        <v>1307.0642089999999</v>
      </c>
      <c r="D1509">
        <v>1294.0358887</v>
      </c>
      <c r="E1509">
        <v>1344.2532959</v>
      </c>
      <c r="F1509">
        <v>1340.3798827999999</v>
      </c>
      <c r="G1509">
        <v>80</v>
      </c>
      <c r="H1509">
        <v>79.055908203000001</v>
      </c>
      <c r="I1509">
        <v>50</v>
      </c>
      <c r="J1509">
        <v>47.630344391000001</v>
      </c>
      <c r="K1509">
        <v>0</v>
      </c>
      <c r="L1509">
        <v>1200</v>
      </c>
      <c r="M1509">
        <v>1200</v>
      </c>
      <c r="N1509">
        <v>0</v>
      </c>
    </row>
    <row r="1510" spans="1:14" x14ac:dyDescent="0.25">
      <c r="A1510">
        <v>1650.385591</v>
      </c>
      <c r="B1510" s="1">
        <f>DATE(2014,11,6) + TIME(9,15,15)</f>
        <v>41949.38559027778</v>
      </c>
      <c r="C1510">
        <v>1307.0494385</v>
      </c>
      <c r="D1510">
        <v>1294.0166016000001</v>
      </c>
      <c r="E1510">
        <v>1344.2143555</v>
      </c>
      <c r="F1510">
        <v>1340.3585204999999</v>
      </c>
      <c r="G1510">
        <v>80</v>
      </c>
      <c r="H1510">
        <v>78.968116760000001</v>
      </c>
      <c r="I1510">
        <v>50</v>
      </c>
      <c r="J1510">
        <v>48.097351074000002</v>
      </c>
      <c r="K1510">
        <v>0</v>
      </c>
      <c r="L1510">
        <v>1200</v>
      </c>
      <c r="M1510">
        <v>1200</v>
      </c>
      <c r="N1510">
        <v>0</v>
      </c>
    </row>
    <row r="1511" spans="1:14" x14ac:dyDescent="0.25">
      <c r="A1511">
        <v>1651.1540869999999</v>
      </c>
      <c r="B1511" s="1">
        <f>DATE(2014,11,7) + TIME(3,41,53)</f>
        <v>41950.154085648152</v>
      </c>
      <c r="C1511">
        <v>1307.0318603999999</v>
      </c>
      <c r="D1511">
        <v>1293.9938964999999</v>
      </c>
      <c r="E1511">
        <v>1344.1750488</v>
      </c>
      <c r="F1511">
        <v>1340.3349608999999</v>
      </c>
      <c r="G1511">
        <v>80</v>
      </c>
      <c r="H1511">
        <v>78.866325377999999</v>
      </c>
      <c r="I1511">
        <v>50</v>
      </c>
      <c r="J1511">
        <v>48.521877289000003</v>
      </c>
      <c r="K1511">
        <v>0</v>
      </c>
      <c r="L1511">
        <v>1200</v>
      </c>
      <c r="M1511">
        <v>1200</v>
      </c>
      <c r="N1511">
        <v>0</v>
      </c>
    </row>
    <row r="1512" spans="1:14" x14ac:dyDescent="0.25">
      <c r="A1512">
        <v>1652.077027</v>
      </c>
      <c r="B1512" s="1">
        <f>DATE(2014,11,8) + TIME(1,50,55)</f>
        <v>41951.077025462961</v>
      </c>
      <c r="C1512">
        <v>1307.0104980000001</v>
      </c>
      <c r="D1512">
        <v>1293.9664307</v>
      </c>
      <c r="E1512">
        <v>1344.1361084</v>
      </c>
      <c r="F1512">
        <v>1340.309082</v>
      </c>
      <c r="G1512">
        <v>80</v>
      </c>
      <c r="H1512">
        <v>78.748657226999995</v>
      </c>
      <c r="I1512">
        <v>50</v>
      </c>
      <c r="J1512">
        <v>48.888244628999999</v>
      </c>
      <c r="K1512">
        <v>0</v>
      </c>
      <c r="L1512">
        <v>1200</v>
      </c>
      <c r="M1512">
        <v>1200</v>
      </c>
      <c r="N1512">
        <v>0</v>
      </c>
    </row>
    <row r="1513" spans="1:14" x14ac:dyDescent="0.25">
      <c r="A1513">
        <v>1653.0119790000001</v>
      </c>
      <c r="B1513" s="1">
        <f>DATE(2014,11,9) + TIME(0,17,15)</f>
        <v>41952.011979166666</v>
      </c>
      <c r="C1513">
        <v>1306.9836425999999</v>
      </c>
      <c r="D1513">
        <v>1293.9338379000001</v>
      </c>
      <c r="E1513">
        <v>1344.1019286999999</v>
      </c>
      <c r="F1513">
        <v>1340.2833252</v>
      </c>
      <c r="G1513">
        <v>80</v>
      </c>
      <c r="H1513">
        <v>78.628295898000005</v>
      </c>
      <c r="I1513">
        <v>50</v>
      </c>
      <c r="J1513">
        <v>49.154140472000002</v>
      </c>
      <c r="K1513">
        <v>0</v>
      </c>
      <c r="L1513">
        <v>1200</v>
      </c>
      <c r="M1513">
        <v>1200</v>
      </c>
      <c r="N1513">
        <v>0</v>
      </c>
    </row>
    <row r="1514" spans="1:14" x14ac:dyDescent="0.25">
      <c r="A1514">
        <v>1653.9844049999999</v>
      </c>
      <c r="B1514" s="1">
        <f>DATE(2014,11,9) + TIME(23,37,32)</f>
        <v>41952.984398148146</v>
      </c>
      <c r="C1514">
        <v>1306.9562988</v>
      </c>
      <c r="D1514">
        <v>1293.9002685999999</v>
      </c>
      <c r="E1514">
        <v>1344.0692139</v>
      </c>
      <c r="F1514">
        <v>1340.2570800999999</v>
      </c>
      <c r="G1514">
        <v>80</v>
      </c>
      <c r="H1514">
        <v>78.503784179999997</v>
      </c>
      <c r="I1514">
        <v>50</v>
      </c>
      <c r="J1514">
        <v>49.350257874</v>
      </c>
      <c r="K1514">
        <v>0</v>
      </c>
      <c r="L1514">
        <v>1200</v>
      </c>
      <c r="M1514">
        <v>1200</v>
      </c>
      <c r="N1514">
        <v>0</v>
      </c>
    </row>
    <row r="1515" spans="1:14" x14ac:dyDescent="0.25">
      <c r="A1515">
        <v>1655.0051370000001</v>
      </c>
      <c r="B1515" s="1">
        <f>DATE(2014,11,11) + TIME(0,7,23)</f>
        <v>41954.005127314813</v>
      </c>
      <c r="C1515">
        <v>1306.9276123</v>
      </c>
      <c r="D1515">
        <v>1293.8648682</v>
      </c>
      <c r="E1515">
        <v>1344.0374756000001</v>
      </c>
      <c r="F1515">
        <v>1340.2304687999999</v>
      </c>
      <c r="G1515">
        <v>80</v>
      </c>
      <c r="H1515">
        <v>78.374633789000001</v>
      </c>
      <c r="I1515">
        <v>50</v>
      </c>
      <c r="J1515">
        <v>49.494499206999997</v>
      </c>
      <c r="K1515">
        <v>0</v>
      </c>
      <c r="L1515">
        <v>1200</v>
      </c>
      <c r="M1515">
        <v>1200</v>
      </c>
      <c r="N1515">
        <v>0</v>
      </c>
    </row>
    <row r="1516" spans="1:14" x14ac:dyDescent="0.25">
      <c r="A1516">
        <v>1656.0874020000001</v>
      </c>
      <c r="B1516" s="1">
        <f>DATE(2014,11,12) + TIME(2,5,51)</f>
        <v>41955.087395833332</v>
      </c>
      <c r="C1516">
        <v>1306.8972168</v>
      </c>
      <c r="D1516">
        <v>1293.8271483999999</v>
      </c>
      <c r="E1516">
        <v>1344.0064697</v>
      </c>
      <c r="F1516">
        <v>1340.2036132999999</v>
      </c>
      <c r="G1516">
        <v>80</v>
      </c>
      <c r="H1516">
        <v>78.240066528</v>
      </c>
      <c r="I1516">
        <v>50</v>
      </c>
      <c r="J1516">
        <v>49.600173949999999</v>
      </c>
      <c r="K1516">
        <v>0</v>
      </c>
      <c r="L1516">
        <v>1200</v>
      </c>
      <c r="M1516">
        <v>1200</v>
      </c>
      <c r="N1516">
        <v>0</v>
      </c>
    </row>
    <row r="1517" spans="1:14" x14ac:dyDescent="0.25">
      <c r="A1517">
        <v>1657.2406450000001</v>
      </c>
      <c r="B1517" s="1">
        <f>DATE(2014,11,13) + TIME(5,46,31)</f>
        <v>41956.240636574075</v>
      </c>
      <c r="C1517">
        <v>1306.864624</v>
      </c>
      <c r="D1517">
        <v>1293.7866211</v>
      </c>
      <c r="E1517">
        <v>1343.9758300999999</v>
      </c>
      <c r="F1517">
        <v>1340.1763916</v>
      </c>
      <c r="G1517">
        <v>80</v>
      </c>
      <c r="H1517">
        <v>78.099578856999997</v>
      </c>
      <c r="I1517">
        <v>50</v>
      </c>
      <c r="J1517">
        <v>49.676887512</v>
      </c>
      <c r="K1517">
        <v>0</v>
      </c>
      <c r="L1517">
        <v>1200</v>
      </c>
      <c r="M1517">
        <v>1200</v>
      </c>
      <c r="N1517">
        <v>0</v>
      </c>
    </row>
    <row r="1518" spans="1:14" x14ac:dyDescent="0.25">
      <c r="A1518">
        <v>1658.4674580000001</v>
      </c>
      <c r="B1518" s="1">
        <f>DATE(2014,11,14) + TIME(11,13,8)</f>
        <v>41957.467453703706</v>
      </c>
      <c r="C1518">
        <v>1306.8293457</v>
      </c>
      <c r="D1518">
        <v>1293.7430420000001</v>
      </c>
      <c r="E1518">
        <v>1343.9454346</v>
      </c>
      <c r="F1518">
        <v>1340.1489257999999</v>
      </c>
      <c r="G1518">
        <v>80</v>
      </c>
      <c r="H1518">
        <v>77.953208923000005</v>
      </c>
      <c r="I1518">
        <v>50</v>
      </c>
      <c r="J1518">
        <v>49.731849670000003</v>
      </c>
      <c r="K1518">
        <v>0</v>
      </c>
      <c r="L1518">
        <v>1200</v>
      </c>
      <c r="M1518">
        <v>1200</v>
      </c>
      <c r="N1518">
        <v>0</v>
      </c>
    </row>
    <row r="1519" spans="1:14" x14ac:dyDescent="0.25">
      <c r="A1519">
        <v>1659.7835520000001</v>
      </c>
      <c r="B1519" s="1">
        <f>DATE(2014,11,15) + TIME(18,48,18)</f>
        <v>41958.783541666664</v>
      </c>
      <c r="C1519">
        <v>1306.7915039</v>
      </c>
      <c r="D1519">
        <v>1293.6959228999999</v>
      </c>
      <c r="E1519">
        <v>1343.9152832</v>
      </c>
      <c r="F1519">
        <v>1340.1214600000001</v>
      </c>
      <c r="G1519">
        <v>80</v>
      </c>
      <c r="H1519">
        <v>77.799995421999995</v>
      </c>
      <c r="I1519">
        <v>50</v>
      </c>
      <c r="J1519">
        <v>49.771118164000001</v>
      </c>
      <c r="K1519">
        <v>0</v>
      </c>
      <c r="L1519">
        <v>1200</v>
      </c>
      <c r="M1519">
        <v>1200</v>
      </c>
      <c r="N1519">
        <v>0</v>
      </c>
    </row>
    <row r="1520" spans="1:14" x14ac:dyDescent="0.25">
      <c r="A1520">
        <v>1661.207103</v>
      </c>
      <c r="B1520" s="1">
        <f>DATE(2014,11,17) + TIME(4,58,13)</f>
        <v>41960.207094907404</v>
      </c>
      <c r="C1520">
        <v>1306.7502440999999</v>
      </c>
      <c r="D1520">
        <v>1293.6445312000001</v>
      </c>
      <c r="E1520">
        <v>1343.8851318</v>
      </c>
      <c r="F1520">
        <v>1340.09375</v>
      </c>
      <c r="G1520">
        <v>80</v>
      </c>
      <c r="H1520">
        <v>77.638801575000002</v>
      </c>
      <c r="I1520">
        <v>50</v>
      </c>
      <c r="J1520">
        <v>49.799133300999998</v>
      </c>
      <c r="K1520">
        <v>0</v>
      </c>
      <c r="L1520">
        <v>1200</v>
      </c>
      <c r="M1520">
        <v>1200</v>
      </c>
      <c r="N1520">
        <v>0</v>
      </c>
    </row>
    <row r="1521" spans="1:14" x14ac:dyDescent="0.25">
      <c r="A1521">
        <v>1662.7609809999999</v>
      </c>
      <c r="B1521" s="1">
        <f>DATE(2014,11,18) + TIME(18,15,48)</f>
        <v>41961.760972222219</v>
      </c>
      <c r="C1521">
        <v>1306.7049560999999</v>
      </c>
      <c r="D1521">
        <v>1293.5880127</v>
      </c>
      <c r="E1521">
        <v>1343.8547363</v>
      </c>
      <c r="F1521">
        <v>1340.0657959</v>
      </c>
      <c r="G1521">
        <v>80</v>
      </c>
      <c r="H1521">
        <v>77.468170165999993</v>
      </c>
      <c r="I1521">
        <v>50</v>
      </c>
      <c r="J1521">
        <v>49.819171906000001</v>
      </c>
      <c r="K1521">
        <v>0</v>
      </c>
      <c r="L1521">
        <v>1200</v>
      </c>
      <c r="M1521">
        <v>1200</v>
      </c>
      <c r="N1521">
        <v>0</v>
      </c>
    </row>
    <row r="1522" spans="1:14" x14ac:dyDescent="0.25">
      <c r="A1522">
        <v>1664.4742900000001</v>
      </c>
      <c r="B1522" s="1">
        <f>DATE(2014,11,20) + TIME(11,22,58)</f>
        <v>41963.474282407406</v>
      </c>
      <c r="C1522">
        <v>1306.6546631000001</v>
      </c>
      <c r="D1522">
        <v>1293.5252685999999</v>
      </c>
      <c r="E1522">
        <v>1343.8240966999999</v>
      </c>
      <c r="F1522">
        <v>1340.0374756000001</v>
      </c>
      <c r="G1522">
        <v>80</v>
      </c>
      <c r="H1522">
        <v>77.286270142000006</v>
      </c>
      <c r="I1522">
        <v>50</v>
      </c>
      <c r="J1522">
        <v>49.833621979</v>
      </c>
      <c r="K1522">
        <v>0</v>
      </c>
      <c r="L1522">
        <v>1200</v>
      </c>
      <c r="M1522">
        <v>1200</v>
      </c>
      <c r="N1522">
        <v>0</v>
      </c>
    </row>
    <row r="1523" spans="1:14" x14ac:dyDescent="0.25">
      <c r="A1523">
        <v>1666.3863180000001</v>
      </c>
      <c r="B1523" s="1">
        <f>DATE(2014,11,22) + TIME(9,16,17)</f>
        <v>41965.386307870373</v>
      </c>
      <c r="C1523">
        <v>1306.5982666</v>
      </c>
      <c r="D1523">
        <v>1293.4544678</v>
      </c>
      <c r="E1523">
        <v>1343.7927245999999</v>
      </c>
      <c r="F1523">
        <v>1340.0085449000001</v>
      </c>
      <c r="G1523">
        <v>80</v>
      </c>
      <c r="H1523">
        <v>77.090728760000005</v>
      </c>
      <c r="I1523">
        <v>50</v>
      </c>
      <c r="J1523">
        <v>49.844203948999997</v>
      </c>
      <c r="K1523">
        <v>0</v>
      </c>
      <c r="L1523">
        <v>1200</v>
      </c>
      <c r="M1523">
        <v>1200</v>
      </c>
      <c r="N1523">
        <v>0</v>
      </c>
    </row>
    <row r="1524" spans="1:14" x14ac:dyDescent="0.25">
      <c r="A1524">
        <v>1668.4212540000001</v>
      </c>
      <c r="B1524" s="1">
        <f>DATE(2014,11,24) + TIME(10,6,36)</f>
        <v>41967.421249999999</v>
      </c>
      <c r="C1524">
        <v>1306.5336914</v>
      </c>
      <c r="D1524">
        <v>1293.3740233999999</v>
      </c>
      <c r="E1524">
        <v>1343.7604980000001</v>
      </c>
      <c r="F1524">
        <v>1339.9788818</v>
      </c>
      <c r="G1524">
        <v>80</v>
      </c>
      <c r="H1524">
        <v>76.885589600000003</v>
      </c>
      <c r="I1524">
        <v>50</v>
      </c>
      <c r="J1524">
        <v>49.851779938</v>
      </c>
      <c r="K1524">
        <v>0</v>
      </c>
      <c r="L1524">
        <v>1200</v>
      </c>
      <c r="M1524">
        <v>1200</v>
      </c>
      <c r="N1524">
        <v>0</v>
      </c>
    </row>
    <row r="1525" spans="1:14" x14ac:dyDescent="0.25">
      <c r="A1525">
        <v>1670.5247489999999</v>
      </c>
      <c r="B1525" s="1">
        <f>DATE(2014,11,26) + TIME(12,35,38)</f>
        <v>41969.524745370371</v>
      </c>
      <c r="C1525">
        <v>1306.4630127</v>
      </c>
      <c r="D1525">
        <v>1293.2857666</v>
      </c>
      <c r="E1525">
        <v>1343.7287598</v>
      </c>
      <c r="F1525">
        <v>1339.9499512</v>
      </c>
      <c r="G1525">
        <v>80</v>
      </c>
      <c r="H1525">
        <v>76.675216675000001</v>
      </c>
      <c r="I1525">
        <v>50</v>
      </c>
      <c r="J1525">
        <v>49.857238770000002</v>
      </c>
      <c r="K1525">
        <v>0</v>
      </c>
      <c r="L1525">
        <v>1200</v>
      </c>
      <c r="M1525">
        <v>1200</v>
      </c>
      <c r="N1525">
        <v>0</v>
      </c>
    </row>
    <row r="1526" spans="1:14" x14ac:dyDescent="0.25">
      <c r="A1526">
        <v>1672.725459</v>
      </c>
      <c r="B1526" s="1">
        <f>DATE(2014,11,28) + TIME(17,24,39)</f>
        <v>41971.725451388891</v>
      </c>
      <c r="C1526">
        <v>1306.3881836</v>
      </c>
      <c r="D1526">
        <v>1293.1912841999999</v>
      </c>
      <c r="E1526">
        <v>1343.6987305</v>
      </c>
      <c r="F1526">
        <v>1339.9224853999999</v>
      </c>
      <c r="G1526">
        <v>80</v>
      </c>
      <c r="H1526">
        <v>76.460006714000002</v>
      </c>
      <c r="I1526">
        <v>50</v>
      </c>
      <c r="J1526">
        <v>49.861343384000001</v>
      </c>
      <c r="K1526">
        <v>0</v>
      </c>
      <c r="L1526">
        <v>1200</v>
      </c>
      <c r="M1526">
        <v>1200</v>
      </c>
      <c r="N1526">
        <v>0</v>
      </c>
    </row>
    <row r="1527" spans="1:14" x14ac:dyDescent="0.25">
      <c r="A1527">
        <v>1675</v>
      </c>
      <c r="B1527" s="1">
        <f>DATE(2014,12,1) + TIME(0,0,0)</f>
        <v>41974</v>
      </c>
      <c r="C1527">
        <v>1306.3077393000001</v>
      </c>
      <c r="D1527">
        <v>1293.0889893000001</v>
      </c>
      <c r="E1527">
        <v>1343.6695557</v>
      </c>
      <c r="F1527">
        <v>1339.8959961</v>
      </c>
      <c r="G1527">
        <v>80</v>
      </c>
      <c r="H1527">
        <v>76.241928100999999</v>
      </c>
      <c r="I1527">
        <v>50</v>
      </c>
      <c r="J1527">
        <v>49.864486694</v>
      </c>
      <c r="K1527">
        <v>0</v>
      </c>
      <c r="L1527">
        <v>1200</v>
      </c>
      <c r="M1527">
        <v>1200</v>
      </c>
      <c r="N1527">
        <v>0</v>
      </c>
    </row>
    <row r="1528" spans="1:14" x14ac:dyDescent="0.25">
      <c r="A1528">
        <v>1677.2519130000001</v>
      </c>
      <c r="B1528" s="1">
        <f>DATE(2014,12,3) + TIME(6,2,45)</f>
        <v>41976.251909722225</v>
      </c>
      <c r="C1528">
        <v>1306.2219238</v>
      </c>
      <c r="D1528">
        <v>1292.9797363</v>
      </c>
      <c r="E1528">
        <v>1343.6417236</v>
      </c>
      <c r="F1528">
        <v>1339.8708495999999</v>
      </c>
      <c r="G1528">
        <v>80</v>
      </c>
      <c r="H1528">
        <v>76.026809692</v>
      </c>
      <c r="I1528">
        <v>50</v>
      </c>
      <c r="J1528">
        <v>49.86687088</v>
      </c>
      <c r="K1528">
        <v>0</v>
      </c>
      <c r="L1528">
        <v>1200</v>
      </c>
      <c r="M1528">
        <v>1200</v>
      </c>
      <c r="N1528">
        <v>0</v>
      </c>
    </row>
    <row r="1529" spans="1:14" x14ac:dyDescent="0.25">
      <c r="A1529">
        <v>1679.5648590000001</v>
      </c>
      <c r="B1529" s="1">
        <f>DATE(2014,12,5) + TIME(13,33,23)</f>
        <v>41978.564849537041</v>
      </c>
      <c r="C1529">
        <v>1306.1343993999999</v>
      </c>
      <c r="D1529">
        <v>1292.8665771000001</v>
      </c>
      <c r="E1529">
        <v>1343.6163329999999</v>
      </c>
      <c r="F1529">
        <v>1339.8479004000001</v>
      </c>
      <c r="G1529">
        <v>80</v>
      </c>
      <c r="H1529">
        <v>75.812515258999994</v>
      </c>
      <c r="I1529">
        <v>50</v>
      </c>
      <c r="J1529">
        <v>49.868793488000001</v>
      </c>
      <c r="K1529">
        <v>0</v>
      </c>
      <c r="L1529">
        <v>1200</v>
      </c>
      <c r="M1529">
        <v>1200</v>
      </c>
      <c r="N1529">
        <v>0</v>
      </c>
    </row>
    <row r="1530" spans="1:14" x14ac:dyDescent="0.25">
      <c r="A1530">
        <v>1681.910584</v>
      </c>
      <c r="B1530" s="1">
        <f>DATE(2014,12,7) + TIME(21,51,14)</f>
        <v>41980.910578703704</v>
      </c>
      <c r="C1530">
        <v>1306.041626</v>
      </c>
      <c r="D1530">
        <v>1292.7460937999999</v>
      </c>
      <c r="E1530">
        <v>1343.5919189000001</v>
      </c>
      <c r="F1530">
        <v>1339.8259277</v>
      </c>
      <c r="G1530">
        <v>80</v>
      </c>
      <c r="H1530">
        <v>75.600006104000002</v>
      </c>
      <c r="I1530">
        <v>50</v>
      </c>
      <c r="J1530">
        <v>49.870361328000001</v>
      </c>
      <c r="K1530">
        <v>0</v>
      </c>
      <c r="L1530">
        <v>1200</v>
      </c>
      <c r="M1530">
        <v>1200</v>
      </c>
      <c r="N1530">
        <v>0</v>
      </c>
    </row>
    <row r="1531" spans="1:14" x14ac:dyDescent="0.25">
      <c r="A1531">
        <v>1684.2943459999999</v>
      </c>
      <c r="B1531" s="1">
        <f>DATE(2014,12,10) + TIME(7,3,51)</f>
        <v>41983.294340277775</v>
      </c>
      <c r="C1531">
        <v>1305.9445800999999</v>
      </c>
      <c r="D1531">
        <v>1292.6188964999999</v>
      </c>
      <c r="E1531">
        <v>1343.5689697</v>
      </c>
      <c r="F1531">
        <v>1339.8054199000001</v>
      </c>
      <c r="G1531">
        <v>80</v>
      </c>
      <c r="H1531">
        <v>75.389205933</v>
      </c>
      <c r="I1531">
        <v>50</v>
      </c>
      <c r="J1531">
        <v>49.871669769</v>
      </c>
      <c r="K1531">
        <v>0</v>
      </c>
      <c r="L1531">
        <v>1200</v>
      </c>
      <c r="M1531">
        <v>1200</v>
      </c>
      <c r="N1531">
        <v>0</v>
      </c>
    </row>
    <row r="1532" spans="1:14" x14ac:dyDescent="0.25">
      <c r="A1532">
        <v>1686.7222159999999</v>
      </c>
      <c r="B1532" s="1">
        <f>DATE(2014,12,12) + TIME(17,19,59)</f>
        <v>41985.722210648149</v>
      </c>
      <c r="C1532">
        <v>1305.8428954999999</v>
      </c>
      <c r="D1532">
        <v>1292.4844971</v>
      </c>
      <c r="E1532">
        <v>1343.5469971</v>
      </c>
      <c r="F1532">
        <v>1339.7858887</v>
      </c>
      <c r="G1532">
        <v>80</v>
      </c>
      <c r="H1532">
        <v>75.179733275999993</v>
      </c>
      <c r="I1532">
        <v>50</v>
      </c>
      <c r="J1532">
        <v>49.872787475999999</v>
      </c>
      <c r="K1532">
        <v>0</v>
      </c>
      <c r="L1532">
        <v>1200</v>
      </c>
      <c r="M1532">
        <v>1200</v>
      </c>
      <c r="N1532">
        <v>0</v>
      </c>
    </row>
    <row r="1533" spans="1:14" x14ac:dyDescent="0.25">
      <c r="A1533">
        <v>1689.2001889999999</v>
      </c>
      <c r="B1533" s="1">
        <f>DATE(2014,12,15) + TIME(4,48,16)</f>
        <v>41988.200185185182</v>
      </c>
      <c r="C1533">
        <v>1305.7359618999999</v>
      </c>
      <c r="D1533">
        <v>1292.3420410000001</v>
      </c>
      <c r="E1533">
        <v>1343.5261230000001</v>
      </c>
      <c r="F1533">
        <v>1339.7673339999999</v>
      </c>
      <c r="G1533">
        <v>80</v>
      </c>
      <c r="H1533">
        <v>74.971130371000001</v>
      </c>
      <c r="I1533">
        <v>50</v>
      </c>
      <c r="J1533">
        <v>49.873760222999998</v>
      </c>
      <c r="K1533">
        <v>0</v>
      </c>
      <c r="L1533">
        <v>1200</v>
      </c>
      <c r="M1533">
        <v>1200</v>
      </c>
      <c r="N1533">
        <v>0</v>
      </c>
    </row>
    <row r="1534" spans="1:14" x14ac:dyDescent="0.25">
      <c r="A1534">
        <v>1691.6999000000001</v>
      </c>
      <c r="B1534" s="1">
        <f>DATE(2014,12,17) + TIME(16,47,51)</f>
        <v>41990.699895833335</v>
      </c>
      <c r="C1534">
        <v>1305.6232910000001</v>
      </c>
      <c r="D1534">
        <v>1292.1910399999999</v>
      </c>
      <c r="E1534">
        <v>1343.5062256000001</v>
      </c>
      <c r="F1534">
        <v>1339.7496338000001</v>
      </c>
      <c r="G1534">
        <v>80</v>
      </c>
      <c r="H1534">
        <v>74.764045714999995</v>
      </c>
      <c r="I1534">
        <v>50</v>
      </c>
      <c r="J1534">
        <v>49.874614716000004</v>
      </c>
      <c r="K1534">
        <v>0</v>
      </c>
      <c r="L1534">
        <v>1200</v>
      </c>
      <c r="M1534">
        <v>1200</v>
      </c>
      <c r="N1534">
        <v>0</v>
      </c>
    </row>
    <row r="1535" spans="1:14" x14ac:dyDescent="0.25">
      <c r="A1535">
        <v>1694.2285440000001</v>
      </c>
      <c r="B1535" s="1">
        <f>DATE(2014,12,20) + TIME(5,29,6)</f>
        <v>41993.228541666664</v>
      </c>
      <c r="C1535">
        <v>1305.5058594</v>
      </c>
      <c r="D1535">
        <v>1292.0323486</v>
      </c>
      <c r="E1535">
        <v>1343.4871826000001</v>
      </c>
      <c r="F1535">
        <v>1339.7329102000001</v>
      </c>
      <c r="G1535">
        <v>80</v>
      </c>
      <c r="H1535">
        <v>74.558433532999999</v>
      </c>
      <c r="I1535">
        <v>50</v>
      </c>
      <c r="J1535">
        <v>49.875381470000001</v>
      </c>
      <c r="K1535">
        <v>0</v>
      </c>
      <c r="L1535">
        <v>1200</v>
      </c>
      <c r="M1535">
        <v>1200</v>
      </c>
      <c r="N1535">
        <v>0</v>
      </c>
    </row>
    <row r="1536" spans="1:14" x14ac:dyDescent="0.25">
      <c r="A1536">
        <v>1696.79294</v>
      </c>
      <c r="B1536" s="1">
        <f>DATE(2014,12,22) + TIME(19,1,49)</f>
        <v>41995.792928240742</v>
      </c>
      <c r="C1536">
        <v>1305.3834228999999</v>
      </c>
      <c r="D1536">
        <v>1291.8653564000001</v>
      </c>
      <c r="E1536">
        <v>1343.4692382999999</v>
      </c>
      <c r="F1536">
        <v>1339.7170410000001</v>
      </c>
      <c r="G1536">
        <v>80</v>
      </c>
      <c r="H1536">
        <v>74.353805542000003</v>
      </c>
      <c r="I1536">
        <v>50</v>
      </c>
      <c r="J1536">
        <v>49.876083373999997</v>
      </c>
      <c r="K1536">
        <v>0</v>
      </c>
      <c r="L1536">
        <v>1200</v>
      </c>
      <c r="M1536">
        <v>1200</v>
      </c>
      <c r="N1536">
        <v>0</v>
      </c>
    </row>
    <row r="1537" spans="1:14" x14ac:dyDescent="0.25">
      <c r="A1537">
        <v>1699.3980280000001</v>
      </c>
      <c r="B1537" s="1">
        <f>DATE(2014,12,25) + TIME(9,33,9)</f>
        <v>41998.398020833331</v>
      </c>
      <c r="C1537">
        <v>1305.2553711</v>
      </c>
      <c r="D1537">
        <v>1291.6894531</v>
      </c>
      <c r="E1537">
        <v>1343.4520264</v>
      </c>
      <c r="F1537">
        <v>1339.7019043</v>
      </c>
      <c r="G1537">
        <v>80</v>
      </c>
      <c r="H1537">
        <v>74.149566649999997</v>
      </c>
      <c r="I1537">
        <v>50</v>
      </c>
      <c r="J1537">
        <v>49.876735687</v>
      </c>
      <c r="K1537">
        <v>0</v>
      </c>
      <c r="L1537">
        <v>1200</v>
      </c>
      <c r="M1537">
        <v>1200</v>
      </c>
      <c r="N1537">
        <v>0</v>
      </c>
    </row>
    <row r="1538" spans="1:14" x14ac:dyDescent="0.25">
      <c r="A1538">
        <v>1702.0518420000001</v>
      </c>
      <c r="B1538" s="1">
        <f>DATE(2014,12,28) + TIME(1,14,39)</f>
        <v>42001.051840277774</v>
      </c>
      <c r="C1538">
        <v>1305.1213379000001</v>
      </c>
      <c r="D1538">
        <v>1291.5040283000001</v>
      </c>
      <c r="E1538">
        <v>1343.4354248</v>
      </c>
      <c r="F1538">
        <v>1339.6873779</v>
      </c>
      <c r="G1538">
        <v>80</v>
      </c>
      <c r="H1538">
        <v>73.944953917999996</v>
      </c>
      <c r="I1538">
        <v>50</v>
      </c>
      <c r="J1538">
        <v>49.877349854000002</v>
      </c>
      <c r="K1538">
        <v>0</v>
      </c>
      <c r="L1538">
        <v>1200</v>
      </c>
      <c r="M1538">
        <v>1200</v>
      </c>
      <c r="N1538">
        <v>0</v>
      </c>
    </row>
    <row r="1539" spans="1:14" x14ac:dyDescent="0.25">
      <c r="A1539">
        <v>1704.7611010000001</v>
      </c>
      <c r="B1539" s="1">
        <f>DATE(2014,12,30) + TIME(18,15,59)</f>
        <v>42003.761099537034</v>
      </c>
      <c r="C1539">
        <v>1304.9807129000001</v>
      </c>
      <c r="D1539">
        <v>1291.3081055</v>
      </c>
      <c r="E1539">
        <v>1343.4195557</v>
      </c>
      <c r="F1539">
        <v>1339.6735839999999</v>
      </c>
      <c r="G1539">
        <v>80</v>
      </c>
      <c r="H1539">
        <v>73.739181518999999</v>
      </c>
      <c r="I1539">
        <v>50</v>
      </c>
      <c r="J1539">
        <v>49.877941131999997</v>
      </c>
      <c r="K1539">
        <v>0</v>
      </c>
      <c r="L1539">
        <v>1200</v>
      </c>
      <c r="M1539">
        <v>1200</v>
      </c>
      <c r="N1539">
        <v>0</v>
      </c>
    </row>
    <row r="1540" spans="1:14" x14ac:dyDescent="0.25">
      <c r="A1540">
        <v>1706</v>
      </c>
      <c r="B1540" s="1">
        <f>DATE(2015,1,1) + TIME(0,0,0)</f>
        <v>42005</v>
      </c>
      <c r="C1540">
        <v>1304.8370361</v>
      </c>
      <c r="D1540">
        <v>1291.1210937999999</v>
      </c>
      <c r="E1540">
        <v>1343.402832</v>
      </c>
      <c r="F1540">
        <v>1339.6589355000001</v>
      </c>
      <c r="G1540">
        <v>80</v>
      </c>
      <c r="H1540">
        <v>73.610023498999993</v>
      </c>
      <c r="I1540">
        <v>50</v>
      </c>
      <c r="J1540">
        <v>49.878185272000003</v>
      </c>
      <c r="K1540">
        <v>0</v>
      </c>
      <c r="L1540">
        <v>1200</v>
      </c>
      <c r="M1540">
        <v>1200</v>
      </c>
      <c r="N1540">
        <v>0</v>
      </c>
    </row>
    <row r="1541" spans="1:14" x14ac:dyDescent="0.25">
      <c r="A1541">
        <v>1708.7476489999999</v>
      </c>
      <c r="B1541" s="1">
        <f>DATE(2015,1,3) + TIME(17,56,36)</f>
        <v>42007.74763888889</v>
      </c>
      <c r="C1541">
        <v>1304.7600098</v>
      </c>
      <c r="D1541">
        <v>1290.9936522999999</v>
      </c>
      <c r="E1541">
        <v>1343.3977050999999</v>
      </c>
      <c r="F1541">
        <v>1339.6545410000001</v>
      </c>
      <c r="G1541">
        <v>80</v>
      </c>
      <c r="H1541">
        <v>73.421119689999998</v>
      </c>
      <c r="I1541">
        <v>50</v>
      </c>
      <c r="J1541">
        <v>49.878742217999999</v>
      </c>
      <c r="K1541">
        <v>0</v>
      </c>
      <c r="L1541">
        <v>1200</v>
      </c>
      <c r="M1541">
        <v>1200</v>
      </c>
      <c r="N1541">
        <v>0</v>
      </c>
    </row>
    <row r="1542" spans="1:14" x14ac:dyDescent="0.25">
      <c r="A1542">
        <v>1711.5560579999999</v>
      </c>
      <c r="B1542" s="1">
        <f>DATE(2015,1,6) + TIME(13,20,43)</f>
        <v>42010.55605324074</v>
      </c>
      <c r="C1542">
        <v>1304.6060791</v>
      </c>
      <c r="D1542">
        <v>1290.777832</v>
      </c>
      <c r="E1542">
        <v>1343.3833007999999</v>
      </c>
      <c r="F1542">
        <v>1339.6420897999999</v>
      </c>
      <c r="G1542">
        <v>80</v>
      </c>
      <c r="H1542">
        <v>73.221244811999995</v>
      </c>
      <c r="I1542">
        <v>50</v>
      </c>
      <c r="J1542">
        <v>49.879283905000001</v>
      </c>
      <c r="K1542">
        <v>0</v>
      </c>
      <c r="L1542">
        <v>1200</v>
      </c>
      <c r="M1542">
        <v>1200</v>
      </c>
      <c r="N1542">
        <v>0</v>
      </c>
    </row>
    <row r="1543" spans="1:14" x14ac:dyDescent="0.25">
      <c r="A1543">
        <v>1714.4061979999999</v>
      </c>
      <c r="B1543" s="1">
        <f>DATE(2015,1,9) + TIME(9,44,55)</f>
        <v>42013.406192129631</v>
      </c>
      <c r="C1543">
        <v>1304.4434814000001</v>
      </c>
      <c r="D1543">
        <v>1290.5473632999999</v>
      </c>
      <c r="E1543">
        <v>1343.3693848</v>
      </c>
      <c r="F1543">
        <v>1339.6301269999999</v>
      </c>
      <c r="G1543">
        <v>80</v>
      </c>
      <c r="H1543">
        <v>73.014678954999994</v>
      </c>
      <c r="I1543">
        <v>50</v>
      </c>
      <c r="J1543">
        <v>49.879810333000002</v>
      </c>
      <c r="K1543">
        <v>0</v>
      </c>
      <c r="L1543">
        <v>1200</v>
      </c>
      <c r="M1543">
        <v>1200</v>
      </c>
      <c r="N1543">
        <v>0</v>
      </c>
    </row>
    <row r="1544" spans="1:14" x14ac:dyDescent="0.25">
      <c r="A1544">
        <v>1717.2883569999999</v>
      </c>
      <c r="B1544" s="1">
        <f>DATE(2015,1,12) + TIME(6,55,14)</f>
        <v>42016.288356481484</v>
      </c>
      <c r="C1544">
        <v>1304.2738036999999</v>
      </c>
      <c r="D1544">
        <v>1290.3046875</v>
      </c>
      <c r="E1544">
        <v>1343.355957</v>
      </c>
      <c r="F1544">
        <v>1339.6185303</v>
      </c>
      <c r="G1544">
        <v>80</v>
      </c>
      <c r="H1544">
        <v>72.803718567000004</v>
      </c>
      <c r="I1544">
        <v>50</v>
      </c>
      <c r="J1544">
        <v>49.880325317</v>
      </c>
      <c r="K1544">
        <v>0</v>
      </c>
      <c r="L1544">
        <v>1200</v>
      </c>
      <c r="M1544">
        <v>1200</v>
      </c>
      <c r="N1544">
        <v>0</v>
      </c>
    </row>
    <row r="1545" spans="1:14" x14ac:dyDescent="0.25">
      <c r="A1545">
        <v>1720.2093910000001</v>
      </c>
      <c r="B1545" s="1">
        <f>DATE(2015,1,15) + TIME(5,1,31)</f>
        <v>42019.209386574075</v>
      </c>
      <c r="C1545">
        <v>1304.0976562000001</v>
      </c>
      <c r="D1545">
        <v>1290.0507812000001</v>
      </c>
      <c r="E1545">
        <v>1343.3431396000001</v>
      </c>
      <c r="F1545">
        <v>1339.6075439000001</v>
      </c>
      <c r="G1545">
        <v>80</v>
      </c>
      <c r="H1545">
        <v>72.589035034000005</v>
      </c>
      <c r="I1545">
        <v>50</v>
      </c>
      <c r="J1545">
        <v>49.880828856999997</v>
      </c>
      <c r="K1545">
        <v>0</v>
      </c>
      <c r="L1545">
        <v>1200</v>
      </c>
      <c r="M1545">
        <v>1200</v>
      </c>
      <c r="N1545">
        <v>0</v>
      </c>
    </row>
    <row r="1546" spans="1:14" x14ac:dyDescent="0.25">
      <c r="A1546">
        <v>1723.175937</v>
      </c>
      <c r="B1546" s="1">
        <f>DATE(2015,1,18) + TIME(4,13,20)</f>
        <v>42022.175925925927</v>
      </c>
      <c r="C1546">
        <v>1303.9147949000001</v>
      </c>
      <c r="D1546">
        <v>1289.7855225000001</v>
      </c>
      <c r="E1546">
        <v>1343.3308105000001</v>
      </c>
      <c r="F1546">
        <v>1339.5970459</v>
      </c>
      <c r="G1546">
        <v>80</v>
      </c>
      <c r="H1546">
        <v>72.370460510000001</v>
      </c>
      <c r="I1546">
        <v>50</v>
      </c>
      <c r="J1546">
        <v>49.881324767999999</v>
      </c>
      <c r="K1546">
        <v>0</v>
      </c>
      <c r="L1546">
        <v>1200</v>
      </c>
      <c r="M1546">
        <v>1200</v>
      </c>
      <c r="N1546">
        <v>0</v>
      </c>
    </row>
    <row r="1547" spans="1:14" x14ac:dyDescent="0.25">
      <c r="A1547">
        <v>1726.1962060000001</v>
      </c>
      <c r="B1547" s="1">
        <f>DATE(2015,1,21) + TIME(4,42,32)</f>
        <v>42025.196203703701</v>
      </c>
      <c r="C1547">
        <v>1303.7248535000001</v>
      </c>
      <c r="D1547">
        <v>1289.5084228999999</v>
      </c>
      <c r="E1547">
        <v>1343.3189697</v>
      </c>
      <c r="F1547">
        <v>1339.5870361</v>
      </c>
      <c r="G1547">
        <v>80</v>
      </c>
      <c r="H1547">
        <v>72.147315978999998</v>
      </c>
      <c r="I1547">
        <v>50</v>
      </c>
      <c r="J1547">
        <v>49.881816864000001</v>
      </c>
      <c r="K1547">
        <v>0</v>
      </c>
      <c r="L1547">
        <v>1200</v>
      </c>
      <c r="M1547">
        <v>1200</v>
      </c>
      <c r="N1547">
        <v>0</v>
      </c>
    </row>
    <row r="1548" spans="1:14" x14ac:dyDescent="0.25">
      <c r="A1548">
        <v>1729.2775770000001</v>
      </c>
      <c r="B1548" s="1">
        <f>DATE(2015,1,24) + TIME(6,39,42)</f>
        <v>42028.277569444443</v>
      </c>
      <c r="C1548">
        <v>1303.5274658000001</v>
      </c>
      <c r="D1548">
        <v>1289.21875</v>
      </c>
      <c r="E1548">
        <v>1343.3074951000001</v>
      </c>
      <c r="F1548">
        <v>1339.5772704999999</v>
      </c>
      <c r="G1548">
        <v>80</v>
      </c>
      <c r="H1548">
        <v>71.918701171999999</v>
      </c>
      <c r="I1548">
        <v>50</v>
      </c>
      <c r="J1548">
        <v>49.882305144999997</v>
      </c>
      <c r="K1548">
        <v>0</v>
      </c>
      <c r="L1548">
        <v>1200</v>
      </c>
      <c r="M1548">
        <v>1200</v>
      </c>
      <c r="N1548">
        <v>0</v>
      </c>
    </row>
    <row r="1549" spans="1:14" x14ac:dyDescent="0.25">
      <c r="A1549">
        <v>1732.4023400000001</v>
      </c>
      <c r="B1549" s="1">
        <f>DATE(2015,1,27) + TIME(9,39,22)</f>
        <v>42031.402337962965</v>
      </c>
      <c r="C1549">
        <v>1303.3222656</v>
      </c>
      <c r="D1549">
        <v>1288.9161377</v>
      </c>
      <c r="E1549">
        <v>1343.2963867000001</v>
      </c>
      <c r="F1549">
        <v>1339.5679932</v>
      </c>
      <c r="G1549">
        <v>80</v>
      </c>
      <c r="H1549">
        <v>71.684448242000002</v>
      </c>
      <c r="I1549">
        <v>50</v>
      </c>
      <c r="J1549">
        <v>49.882785796999997</v>
      </c>
      <c r="K1549">
        <v>0</v>
      </c>
      <c r="L1549">
        <v>1200</v>
      </c>
      <c r="M1549">
        <v>1200</v>
      </c>
      <c r="N1549">
        <v>0</v>
      </c>
    </row>
    <row r="1550" spans="1:14" x14ac:dyDescent="0.25">
      <c r="A1550">
        <v>1735.5670500000001</v>
      </c>
      <c r="B1550" s="1">
        <f>DATE(2015,1,30) + TIME(13,36,33)</f>
        <v>42034.567048611112</v>
      </c>
      <c r="C1550">
        <v>1303.1101074000001</v>
      </c>
      <c r="D1550">
        <v>1288.6015625</v>
      </c>
      <c r="E1550">
        <v>1343.2856445</v>
      </c>
      <c r="F1550">
        <v>1339.5589600000001</v>
      </c>
      <c r="G1550">
        <v>80</v>
      </c>
      <c r="H1550">
        <v>71.444374084000003</v>
      </c>
      <c r="I1550">
        <v>50</v>
      </c>
      <c r="J1550">
        <v>49.883266448999997</v>
      </c>
      <c r="K1550">
        <v>0</v>
      </c>
      <c r="L1550">
        <v>1200</v>
      </c>
      <c r="M1550">
        <v>1200</v>
      </c>
      <c r="N1550">
        <v>0</v>
      </c>
    </row>
    <row r="1551" spans="1:14" x14ac:dyDescent="0.25">
      <c r="A1551">
        <v>1737</v>
      </c>
      <c r="B1551" s="1">
        <f>DATE(2015,2,1) + TIME(0,0,0)</f>
        <v>42036</v>
      </c>
      <c r="C1551">
        <v>1302.9007568</v>
      </c>
      <c r="D1551">
        <v>1288.3111572</v>
      </c>
      <c r="E1551">
        <v>1343.2736815999999</v>
      </c>
      <c r="F1551">
        <v>1339.5487060999999</v>
      </c>
      <c r="G1551">
        <v>80</v>
      </c>
      <c r="H1551">
        <v>71.286079407000003</v>
      </c>
      <c r="I1551">
        <v>50</v>
      </c>
      <c r="J1551">
        <v>49.883464813000003</v>
      </c>
      <c r="K1551">
        <v>0</v>
      </c>
      <c r="L1551">
        <v>1200</v>
      </c>
      <c r="M1551">
        <v>1200</v>
      </c>
      <c r="N1551">
        <v>0</v>
      </c>
    </row>
    <row r="1552" spans="1:14" x14ac:dyDescent="0.25">
      <c r="A1552">
        <v>1740.210163</v>
      </c>
      <c r="B1552" s="1">
        <f>DATE(2015,2,4) + TIME(5,2,38)</f>
        <v>42039.210162037038</v>
      </c>
      <c r="C1552">
        <v>1302.7828368999999</v>
      </c>
      <c r="D1552">
        <v>1288.1058350000001</v>
      </c>
      <c r="E1552">
        <v>1343.2709961</v>
      </c>
      <c r="F1552">
        <v>1339.546875</v>
      </c>
      <c r="G1552">
        <v>80</v>
      </c>
      <c r="H1552">
        <v>71.063667296999995</v>
      </c>
      <c r="I1552">
        <v>50</v>
      </c>
      <c r="J1552">
        <v>49.883941649999997</v>
      </c>
      <c r="K1552">
        <v>0</v>
      </c>
      <c r="L1552">
        <v>1200</v>
      </c>
      <c r="M1552">
        <v>1200</v>
      </c>
      <c r="N1552">
        <v>0</v>
      </c>
    </row>
    <row r="1553" spans="1:14" x14ac:dyDescent="0.25">
      <c r="A1553">
        <v>1743.502784</v>
      </c>
      <c r="B1553" s="1">
        <f>DATE(2015,2,7) + TIME(12,4,0)</f>
        <v>42042.50277777778</v>
      </c>
      <c r="C1553">
        <v>1302.5599365</v>
      </c>
      <c r="D1553">
        <v>1287.7751464999999</v>
      </c>
      <c r="E1553">
        <v>1343.2612305</v>
      </c>
      <c r="F1553">
        <v>1339.5386963000001</v>
      </c>
      <c r="G1553">
        <v>80</v>
      </c>
      <c r="H1553">
        <v>70.818695067999997</v>
      </c>
      <c r="I1553">
        <v>50</v>
      </c>
      <c r="J1553">
        <v>49.884414673000002</v>
      </c>
      <c r="K1553">
        <v>0</v>
      </c>
      <c r="L1553">
        <v>1200</v>
      </c>
      <c r="M1553">
        <v>1200</v>
      </c>
      <c r="N1553">
        <v>0</v>
      </c>
    </row>
    <row r="1554" spans="1:14" x14ac:dyDescent="0.25">
      <c r="A1554">
        <v>1746.8596689999999</v>
      </c>
      <c r="B1554" s="1">
        <f>DATE(2015,2,10) + TIME(20,37,55)</f>
        <v>42045.859664351854</v>
      </c>
      <c r="C1554">
        <v>1302.3256836</v>
      </c>
      <c r="D1554">
        <v>1287.4237060999999</v>
      </c>
      <c r="E1554">
        <v>1343.2517089999999</v>
      </c>
      <c r="F1554">
        <v>1339.5308838000001</v>
      </c>
      <c r="G1554">
        <v>80</v>
      </c>
      <c r="H1554">
        <v>70.557876586999996</v>
      </c>
      <c r="I1554">
        <v>50</v>
      </c>
      <c r="J1554">
        <v>49.884887695000003</v>
      </c>
      <c r="K1554">
        <v>0</v>
      </c>
      <c r="L1554">
        <v>1200</v>
      </c>
      <c r="M1554">
        <v>1200</v>
      </c>
      <c r="N1554">
        <v>0</v>
      </c>
    </row>
    <row r="1555" spans="1:14" x14ac:dyDescent="0.25">
      <c r="A1555">
        <v>1750.2709</v>
      </c>
      <c r="B1555" s="1">
        <f>DATE(2015,2,14) + TIME(6,30,5)</f>
        <v>42049.270891203705</v>
      </c>
      <c r="C1555">
        <v>1302.0823975000001</v>
      </c>
      <c r="D1555">
        <v>1287.0561522999999</v>
      </c>
      <c r="E1555">
        <v>1343.2424315999999</v>
      </c>
      <c r="F1555">
        <v>1339.5233154</v>
      </c>
      <c r="G1555">
        <v>80</v>
      </c>
      <c r="H1555">
        <v>70.284484863000003</v>
      </c>
      <c r="I1555">
        <v>50</v>
      </c>
      <c r="J1555">
        <v>49.885353088000002</v>
      </c>
      <c r="K1555">
        <v>0</v>
      </c>
      <c r="L1555">
        <v>1200</v>
      </c>
      <c r="M1555">
        <v>1200</v>
      </c>
      <c r="N1555">
        <v>0</v>
      </c>
    </row>
    <row r="1556" spans="1:14" x14ac:dyDescent="0.25">
      <c r="A1556">
        <v>1753.724629</v>
      </c>
      <c r="B1556" s="1">
        <f>DATE(2015,2,17) + TIME(17,23,27)</f>
        <v>42052.724618055552</v>
      </c>
      <c r="C1556">
        <v>1301.8316649999999</v>
      </c>
      <c r="D1556">
        <v>1286.6748047000001</v>
      </c>
      <c r="E1556">
        <v>1343.2333983999999</v>
      </c>
      <c r="F1556">
        <v>1339.5159911999999</v>
      </c>
      <c r="G1556">
        <v>80</v>
      </c>
      <c r="H1556">
        <v>70.000267029</v>
      </c>
      <c r="I1556">
        <v>50</v>
      </c>
      <c r="J1556">
        <v>49.885814666999998</v>
      </c>
      <c r="K1556">
        <v>0</v>
      </c>
      <c r="L1556">
        <v>1200</v>
      </c>
      <c r="M1556">
        <v>1200</v>
      </c>
      <c r="N1556">
        <v>0</v>
      </c>
    </row>
    <row r="1557" spans="1:14" x14ac:dyDescent="0.25">
      <c r="A1557">
        <v>1757.2262470000001</v>
      </c>
      <c r="B1557" s="1">
        <f>DATE(2015,2,21) + TIME(5,25,47)</f>
        <v>42056.226238425923</v>
      </c>
      <c r="C1557">
        <v>1301.5743408000001</v>
      </c>
      <c r="D1557">
        <v>1286.2816161999999</v>
      </c>
      <c r="E1557">
        <v>1343.2247314000001</v>
      </c>
      <c r="F1557">
        <v>1339.5090332</v>
      </c>
      <c r="G1557">
        <v>80</v>
      </c>
      <c r="H1557">
        <v>69.705177307</v>
      </c>
      <c r="I1557">
        <v>50</v>
      </c>
      <c r="J1557">
        <v>49.886276244999998</v>
      </c>
      <c r="K1557">
        <v>0</v>
      </c>
      <c r="L1557">
        <v>1200</v>
      </c>
      <c r="M1557">
        <v>1200</v>
      </c>
      <c r="N1557">
        <v>0</v>
      </c>
    </row>
    <row r="1558" spans="1:14" x14ac:dyDescent="0.25">
      <c r="A1558">
        <v>1760.7842479999999</v>
      </c>
      <c r="B1558" s="1">
        <f>DATE(2015,2,24) + TIME(18,49,19)</f>
        <v>42059.784247685187</v>
      </c>
      <c r="C1558">
        <v>1301.3107910000001</v>
      </c>
      <c r="D1558">
        <v>1285.8765868999999</v>
      </c>
      <c r="E1558">
        <v>1343.2164307</v>
      </c>
      <c r="F1558">
        <v>1339.5023193</v>
      </c>
      <c r="G1558">
        <v>80</v>
      </c>
      <c r="H1558">
        <v>69.398811339999995</v>
      </c>
      <c r="I1558">
        <v>50</v>
      </c>
      <c r="J1558">
        <v>49.886730194000002</v>
      </c>
      <c r="K1558">
        <v>0</v>
      </c>
      <c r="L1558">
        <v>1200</v>
      </c>
      <c r="M1558">
        <v>1200</v>
      </c>
      <c r="N1558">
        <v>0</v>
      </c>
    </row>
    <row r="1559" spans="1:14" x14ac:dyDescent="0.25">
      <c r="A1559">
        <v>1764.4071590000001</v>
      </c>
      <c r="B1559" s="1">
        <f>DATE(2015,2,28) + TIME(9,46,18)</f>
        <v>42063.407152777778</v>
      </c>
      <c r="C1559">
        <v>1301.0404053</v>
      </c>
      <c r="D1559">
        <v>1285.4593506000001</v>
      </c>
      <c r="E1559">
        <v>1343.2082519999999</v>
      </c>
      <c r="F1559">
        <v>1339.4958495999999</v>
      </c>
      <c r="G1559">
        <v>80</v>
      </c>
      <c r="H1559">
        <v>69.080162048000005</v>
      </c>
      <c r="I1559">
        <v>50</v>
      </c>
      <c r="J1559">
        <v>49.887184142999999</v>
      </c>
      <c r="K1559">
        <v>0</v>
      </c>
      <c r="L1559">
        <v>1200</v>
      </c>
      <c r="M1559">
        <v>1200</v>
      </c>
      <c r="N1559">
        <v>0</v>
      </c>
    </row>
    <row r="1560" spans="1:14" x14ac:dyDescent="0.25">
      <c r="A1560">
        <v>1765</v>
      </c>
      <c r="B1560" s="1">
        <f>DATE(2015,3,1) + TIME(0,0,0)</f>
        <v>42064</v>
      </c>
      <c r="C1560">
        <v>1300.7874756000001</v>
      </c>
      <c r="D1560">
        <v>1285.1275635</v>
      </c>
      <c r="E1560">
        <v>1343.1973877</v>
      </c>
      <c r="F1560">
        <v>1339.4866943</v>
      </c>
      <c r="G1560">
        <v>80</v>
      </c>
      <c r="H1560">
        <v>68.973686217999997</v>
      </c>
      <c r="I1560">
        <v>50</v>
      </c>
      <c r="J1560">
        <v>49.887248993</v>
      </c>
      <c r="K1560">
        <v>0</v>
      </c>
      <c r="L1560">
        <v>1200</v>
      </c>
      <c r="M1560">
        <v>1200</v>
      </c>
      <c r="N1560">
        <v>0</v>
      </c>
    </row>
    <row r="1561" spans="1:14" x14ac:dyDescent="0.25">
      <c r="A1561">
        <v>1768.6962980000001</v>
      </c>
      <c r="B1561" s="1">
        <f>DATE(2015,3,4) + TIME(16,42,40)</f>
        <v>42067.696296296293</v>
      </c>
      <c r="C1561">
        <v>1300.7092285000001</v>
      </c>
      <c r="D1561">
        <v>1284.9373779</v>
      </c>
      <c r="E1561">
        <v>1343.1993408000001</v>
      </c>
      <c r="F1561">
        <v>1339.4888916</v>
      </c>
      <c r="G1561">
        <v>80</v>
      </c>
      <c r="H1561">
        <v>68.671241760000001</v>
      </c>
      <c r="I1561">
        <v>50</v>
      </c>
      <c r="J1561">
        <v>49.887706756999997</v>
      </c>
      <c r="K1561">
        <v>0</v>
      </c>
      <c r="L1561">
        <v>1200</v>
      </c>
      <c r="M1561">
        <v>1200</v>
      </c>
      <c r="N1561">
        <v>0</v>
      </c>
    </row>
    <row r="1562" spans="1:14" x14ac:dyDescent="0.25">
      <c r="A1562">
        <v>1772.4894939999999</v>
      </c>
      <c r="B1562" s="1">
        <f>DATE(2015,3,8) + TIME(11,44,52)</f>
        <v>42071.489490740743</v>
      </c>
      <c r="C1562">
        <v>1300.4287108999999</v>
      </c>
      <c r="D1562">
        <v>1284.5047606999999</v>
      </c>
      <c r="E1562">
        <v>1343.1916504000001</v>
      </c>
      <c r="F1562">
        <v>1339.4829102000001</v>
      </c>
      <c r="G1562">
        <v>80</v>
      </c>
      <c r="H1562">
        <v>68.334953307999996</v>
      </c>
      <c r="I1562">
        <v>50</v>
      </c>
      <c r="J1562">
        <v>49.888164519999997</v>
      </c>
      <c r="K1562">
        <v>0</v>
      </c>
      <c r="L1562">
        <v>1200</v>
      </c>
      <c r="M1562">
        <v>1200</v>
      </c>
      <c r="N1562">
        <v>0</v>
      </c>
    </row>
    <row r="1563" spans="1:14" x14ac:dyDescent="0.25">
      <c r="A1563">
        <v>1776.3608569999999</v>
      </c>
      <c r="B1563" s="1">
        <f>DATE(2015,3,12) + TIME(8,39,38)</f>
        <v>42075.360856481479</v>
      </c>
      <c r="C1563">
        <v>1300.1364745999999</v>
      </c>
      <c r="D1563">
        <v>1284.0493164</v>
      </c>
      <c r="E1563">
        <v>1343.184082</v>
      </c>
      <c r="F1563">
        <v>1339.4770507999999</v>
      </c>
      <c r="G1563">
        <v>80</v>
      </c>
      <c r="H1563">
        <v>67.974700928000004</v>
      </c>
      <c r="I1563">
        <v>50</v>
      </c>
      <c r="J1563">
        <v>49.888618469000001</v>
      </c>
      <c r="K1563">
        <v>0</v>
      </c>
      <c r="L1563">
        <v>1200</v>
      </c>
      <c r="M1563">
        <v>1200</v>
      </c>
      <c r="N1563">
        <v>0</v>
      </c>
    </row>
    <row r="1564" spans="1:14" x14ac:dyDescent="0.25">
      <c r="A1564">
        <v>1780.3185189999999</v>
      </c>
      <c r="B1564" s="1">
        <f>DATE(2015,3,16) + TIME(7,38,40)</f>
        <v>42079.318518518521</v>
      </c>
      <c r="C1564">
        <v>1299.8355713000001</v>
      </c>
      <c r="D1564">
        <v>1283.5767822</v>
      </c>
      <c r="E1564">
        <v>1343.1767577999999</v>
      </c>
      <c r="F1564">
        <v>1339.4714355000001</v>
      </c>
      <c r="G1564">
        <v>80</v>
      </c>
      <c r="H1564">
        <v>67.594337463000002</v>
      </c>
      <c r="I1564">
        <v>50</v>
      </c>
      <c r="J1564">
        <v>49.889072417999998</v>
      </c>
      <c r="K1564">
        <v>0</v>
      </c>
      <c r="L1564">
        <v>1200</v>
      </c>
      <c r="M1564">
        <v>1200</v>
      </c>
      <c r="N1564">
        <v>0</v>
      </c>
    </row>
    <row r="1565" spans="1:14" x14ac:dyDescent="0.25">
      <c r="A1565">
        <v>1784.349614</v>
      </c>
      <c r="B1565" s="1">
        <f>DATE(2015,3,20) + TIME(8,23,26)</f>
        <v>42083.349606481483</v>
      </c>
      <c r="C1565">
        <v>1299.5266113</v>
      </c>
      <c r="D1565">
        <v>1283.0887451000001</v>
      </c>
      <c r="E1565">
        <v>1343.1695557</v>
      </c>
      <c r="F1565">
        <v>1339.4660644999999</v>
      </c>
      <c r="G1565">
        <v>80</v>
      </c>
      <c r="H1565">
        <v>67.195419311999999</v>
      </c>
      <c r="I1565">
        <v>50</v>
      </c>
      <c r="J1565">
        <v>49.889522552000003</v>
      </c>
      <c r="K1565">
        <v>0</v>
      </c>
      <c r="L1565">
        <v>1200</v>
      </c>
      <c r="M1565">
        <v>1200</v>
      </c>
      <c r="N1565">
        <v>0</v>
      </c>
    </row>
    <row r="1566" spans="1:14" x14ac:dyDescent="0.25">
      <c r="A1566">
        <v>1788.4494749999999</v>
      </c>
      <c r="B1566" s="1">
        <f>DATE(2015,3,24) + TIME(10,47,14)</f>
        <v>42087.449467592596</v>
      </c>
      <c r="C1566">
        <v>1299.2108154</v>
      </c>
      <c r="D1566">
        <v>1282.5875243999999</v>
      </c>
      <c r="E1566">
        <v>1343.1625977000001</v>
      </c>
      <c r="F1566">
        <v>1339.4608154</v>
      </c>
      <c r="G1566">
        <v>80</v>
      </c>
      <c r="H1566">
        <v>66.778793335000003</v>
      </c>
      <c r="I1566">
        <v>50</v>
      </c>
      <c r="J1566">
        <v>49.889972686999997</v>
      </c>
      <c r="K1566">
        <v>0</v>
      </c>
      <c r="L1566">
        <v>1200</v>
      </c>
      <c r="M1566">
        <v>1200</v>
      </c>
      <c r="N1566">
        <v>0</v>
      </c>
    </row>
    <row r="1567" spans="1:14" x14ac:dyDescent="0.25">
      <c r="A1567">
        <v>1792.6368179999999</v>
      </c>
      <c r="B1567" s="1">
        <f>DATE(2015,3,28) + TIME(15,17,1)</f>
        <v>42091.636817129627</v>
      </c>
      <c r="C1567">
        <v>1298.8889160000001</v>
      </c>
      <c r="D1567">
        <v>1282.0738524999999</v>
      </c>
      <c r="E1567">
        <v>1343.1557617000001</v>
      </c>
      <c r="F1567">
        <v>1339.4558105000001</v>
      </c>
      <c r="G1567">
        <v>80</v>
      </c>
      <c r="H1567">
        <v>66.344039917000003</v>
      </c>
      <c r="I1567">
        <v>50</v>
      </c>
      <c r="J1567">
        <v>49.890419006000002</v>
      </c>
      <c r="K1567">
        <v>0</v>
      </c>
      <c r="L1567">
        <v>1200</v>
      </c>
      <c r="M1567">
        <v>1200</v>
      </c>
      <c r="N1567">
        <v>0</v>
      </c>
    </row>
    <row r="1568" spans="1:14" x14ac:dyDescent="0.25">
      <c r="A1568">
        <v>1796</v>
      </c>
      <c r="B1568" s="1">
        <f>DATE(2015,4,1) + TIME(0,0,0)</f>
        <v>42095</v>
      </c>
      <c r="C1568">
        <v>1298.5639647999999</v>
      </c>
      <c r="D1568">
        <v>1281.5643310999999</v>
      </c>
      <c r="E1568">
        <v>1343.1485596</v>
      </c>
      <c r="F1568">
        <v>1339.4503173999999</v>
      </c>
      <c r="G1568">
        <v>80</v>
      </c>
      <c r="H1568">
        <v>65.930961608999993</v>
      </c>
      <c r="I1568">
        <v>50</v>
      </c>
      <c r="J1568">
        <v>49.890766143999997</v>
      </c>
      <c r="K1568">
        <v>0</v>
      </c>
      <c r="L1568">
        <v>1200</v>
      </c>
      <c r="M1568">
        <v>1200</v>
      </c>
      <c r="N156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2022-06-01T08:58:29Z</dcterms:created>
  <dcterms:modified xsi:type="dcterms:W3CDTF">2022-06-01T08:59:04Z</dcterms:modified>
</cp:coreProperties>
</file>