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20_5_spot_pattern/"/>
    </mc:Choice>
  </mc:AlternateContent>
  <xr:revisionPtr revIDLastSave="0" documentId="8_{BA9C94DC-93FB-4937-92B0-C9131EEF253A}" xr6:coauthVersionLast="47" xr6:coauthVersionMax="47" xr10:uidLastSave="{00000000-0000-0000-0000-000000000000}"/>
  <bookViews>
    <workbookView xWindow="-17400" yWindow="4320" windowWidth="15375" windowHeight="7545" xr2:uid="{E7B79B35-D450-4C1B-BAF2-330467B67C5D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86" i="1" l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<sst xmlns="http://schemas.openxmlformats.org/spreadsheetml/2006/main" count="15" uniqueCount="15">
  <si>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MODEL\SCENARIOS\2022\S20_5_spot_pattern\S20_5_spot_pattern_smallerwellspacing.sr3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</si>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</sst>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BEE7F2-453B-4DFB-8EAD-2B6AE73CC1C1}" name="Table1" displayName="Table1" ref="A3:N1486" totalsRowShown="0">
  <autoFilter ref="A3:N1486" xr:uid="{40BEE7F2-453B-4DFB-8EAD-2B6AE73CC1C1}"/>
  <tableColumns count="14">
    <tableColumn id="1" xr3:uid="{FA7D89F7-E772-4FEA-84F5-F888AB9A27EF}" name="Time (day)"/>
    <tableColumn id="2" xr3:uid="{F794DB29-21D0-430F-A32C-36CF76AB2125}" name="Date" dataDxfId="0"/>
    <tableColumn id="3" xr3:uid="{A93DB798-1BB9-48E3-B4D3-B47099E88717}" name="Hot well INJ-Well bottom hole temperature (C)"/>
    <tableColumn id="4" xr3:uid="{AE054075-A4D9-4E4A-B1DA-1FB594E5912C}" name="Hot well PROD-Well bottom hole temperature (C)"/>
    <tableColumn id="5" xr3:uid="{CC28DC08-3E71-4AC7-B6FF-A1587582C079}" name="Warm well INJ-Well bottom hole temperature (C)"/>
    <tableColumn id="6" xr3:uid="{B8A38A4C-0E6D-4E52-B5B1-1BE277437F49}" name="Warm well PROD-Well bottom hole temperature (C)"/>
    <tableColumn id="7" xr3:uid="{C122ABB1-7964-422B-B8FD-AE451DA0EC16}" name="Hot well INJ-Well Bottom-hole Pressure (kPa)"/>
    <tableColumn id="8" xr3:uid="{30584B6A-F019-45D6-8EFB-FA0706C3FCE8}" name="Hot well PROD-Well Bottom-hole Pressure (kPa)"/>
    <tableColumn id="9" xr3:uid="{5B52ACD7-850E-4ED4-A12B-B999BD46EC2F}" name="Warm well INJ-Well Bottom-hole Pressure (kPa)"/>
    <tableColumn id="10" xr3:uid="{F3AEFC13-9CB2-4D65-991F-4AF293C730B0}" name="Warm well PROD-Well Bottom-hole Pressure (kPa)"/>
    <tableColumn id="11" xr3:uid="{79384455-8871-4F79-AD06-AFFEDC5628AD}" name="Hot well INJ-Fluid Rate SC (m³/day)"/>
    <tableColumn id="12" xr3:uid="{7F96E9A3-427D-46F1-A511-836969095BC8}" name="Hot well PROD-Fluid Rate SC (m³/day)"/>
    <tableColumn id="13" xr3:uid="{88A58727-1A7A-4BFB-A18C-28A061620676}" name="Warm well INJ-Fluid Rate SC (m³/day)"/>
    <tableColumn id="14" xr3:uid="{F2B2C8B1-AAD2-433B-9BE7-0508202713C5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17C5-D911-4BCD-8FAE-D03D7FA4D8D6}">
  <dimension ref="A1:N1486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15.000038147</v>
      </c>
      <c r="E4">
        <v>50</v>
      </c>
      <c r="F4">
        <v>14.999985694999999</v>
      </c>
      <c r="G4">
        <v>1371.1635742000001</v>
      </c>
      <c r="H4">
        <v>1329.5518798999999</v>
      </c>
      <c r="I4">
        <v>1329.2692870999999</v>
      </c>
      <c r="J4">
        <v>1322.4046631000001</v>
      </c>
      <c r="K4">
        <v>1200</v>
      </c>
      <c r="L4">
        <v>0</v>
      </c>
      <c r="M4">
        <v>0</v>
      </c>
      <c r="N4">
        <v>1200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15.000151634</v>
      </c>
      <c r="E5">
        <v>50</v>
      </c>
      <c r="F5">
        <v>14.999944686999999</v>
      </c>
      <c r="G5">
        <v>1371.5791016000001</v>
      </c>
      <c r="H5">
        <v>1329.9675293</v>
      </c>
      <c r="I5">
        <v>1328.8692627</v>
      </c>
      <c r="J5">
        <v>1322.0046387</v>
      </c>
      <c r="K5">
        <v>1200</v>
      </c>
      <c r="L5">
        <v>0</v>
      </c>
      <c r="M5">
        <v>0</v>
      </c>
      <c r="N5">
        <v>1200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15.000481605999999</v>
      </c>
      <c r="E6">
        <v>50</v>
      </c>
      <c r="F6">
        <v>14.999836922</v>
      </c>
      <c r="G6">
        <v>1372.7379149999999</v>
      </c>
      <c r="H6">
        <v>1331.1265868999999</v>
      </c>
      <c r="I6">
        <v>1327.8273925999999</v>
      </c>
      <c r="J6">
        <v>1320.9627685999999</v>
      </c>
      <c r="K6">
        <v>1200</v>
      </c>
      <c r="L6">
        <v>0</v>
      </c>
      <c r="M6">
        <v>0</v>
      </c>
      <c r="N6">
        <v>1200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15.001411438</v>
      </c>
      <c r="E7">
        <v>50</v>
      </c>
      <c r="F7">
        <v>14.999609947</v>
      </c>
      <c r="G7">
        <v>1375.6175536999999</v>
      </c>
      <c r="H7">
        <v>1334.0072021000001</v>
      </c>
      <c r="I7">
        <v>1325.6192627</v>
      </c>
      <c r="J7">
        <v>1318.7546387</v>
      </c>
      <c r="K7">
        <v>1200</v>
      </c>
      <c r="L7">
        <v>0</v>
      </c>
      <c r="M7">
        <v>0</v>
      </c>
      <c r="N7">
        <v>1200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15.003904343</v>
      </c>
      <c r="E8">
        <v>50</v>
      </c>
      <c r="F8">
        <v>14.999270439</v>
      </c>
      <c r="G8">
        <v>1381.3725586</v>
      </c>
      <c r="H8">
        <v>1339.7647704999999</v>
      </c>
      <c r="I8">
        <v>1322.3107910000001</v>
      </c>
      <c r="J8">
        <v>1315.4460449000001</v>
      </c>
      <c r="K8">
        <v>1200</v>
      </c>
      <c r="L8">
        <v>0</v>
      </c>
      <c r="M8">
        <v>0</v>
      </c>
      <c r="N8">
        <v>1200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15.010498047</v>
      </c>
      <c r="E9">
        <v>50</v>
      </c>
      <c r="F9">
        <v>14.998914719</v>
      </c>
      <c r="G9">
        <v>1390.0363769999999</v>
      </c>
      <c r="H9">
        <v>1348.4357910000001</v>
      </c>
      <c r="I9">
        <v>1318.8588867000001</v>
      </c>
      <c r="J9">
        <v>1311.9942627</v>
      </c>
      <c r="K9">
        <v>1200</v>
      </c>
      <c r="L9">
        <v>0</v>
      </c>
      <c r="M9">
        <v>0</v>
      </c>
      <c r="N9">
        <v>1200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15.028662682</v>
      </c>
      <c r="E10">
        <v>50</v>
      </c>
      <c r="F10">
        <v>14.998598099000001</v>
      </c>
      <c r="G10">
        <v>1400.3492432</v>
      </c>
      <c r="H10">
        <v>1358.7685547000001</v>
      </c>
      <c r="I10">
        <v>1315.7770995999999</v>
      </c>
      <c r="J10">
        <v>1308.9123535000001</v>
      </c>
      <c r="K10">
        <v>1200</v>
      </c>
      <c r="L10">
        <v>0</v>
      </c>
      <c r="M10">
        <v>0</v>
      </c>
      <c r="N10">
        <v>1200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15.081023216</v>
      </c>
      <c r="E11">
        <v>50</v>
      </c>
      <c r="F11">
        <v>14.998328209</v>
      </c>
      <c r="G11">
        <v>1410.9677733999999</v>
      </c>
      <c r="H11">
        <v>1369.4444579999999</v>
      </c>
      <c r="I11">
        <v>1313.1428223</v>
      </c>
      <c r="J11">
        <v>1306.2780762</v>
      </c>
      <c r="K11">
        <v>1200</v>
      </c>
      <c r="L11">
        <v>0</v>
      </c>
      <c r="M11">
        <v>0</v>
      </c>
      <c r="N11">
        <v>1200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15.235406876000001</v>
      </c>
      <c r="E12">
        <v>50</v>
      </c>
      <c r="F12">
        <v>14.998197555999999</v>
      </c>
      <c r="G12">
        <v>1420.0272216999999</v>
      </c>
      <c r="H12">
        <v>1378.671875</v>
      </c>
      <c r="I12">
        <v>1311.8468018000001</v>
      </c>
      <c r="J12">
        <v>1304.9820557</v>
      </c>
      <c r="K12">
        <v>1200</v>
      </c>
      <c r="L12">
        <v>0</v>
      </c>
      <c r="M12">
        <v>0</v>
      </c>
      <c r="N12">
        <v>1200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80</v>
      </c>
      <c r="D13">
        <v>15.693180084</v>
      </c>
      <c r="E13">
        <v>50</v>
      </c>
      <c r="F13">
        <v>14.998263358999999</v>
      </c>
      <c r="G13">
        <v>1425.4123535000001</v>
      </c>
      <c r="H13">
        <v>1384.5482178</v>
      </c>
      <c r="I13">
        <v>1312.4285889</v>
      </c>
      <c r="J13">
        <v>1305.5639647999999</v>
      </c>
      <c r="K13">
        <v>1200</v>
      </c>
      <c r="L13">
        <v>0</v>
      </c>
      <c r="M13">
        <v>0</v>
      </c>
      <c r="N13">
        <v>1200</v>
      </c>
    </row>
    <row r="14" spans="1:14" x14ac:dyDescent="0.25">
      <c r="A14">
        <v>7.2519E-2</v>
      </c>
      <c r="B14" s="1">
        <f>DATE(2010,5,1) + TIME(1,44,25)</f>
        <v>40299.072511574072</v>
      </c>
      <c r="C14">
        <v>80</v>
      </c>
      <c r="D14">
        <v>16.678941727000002</v>
      </c>
      <c r="E14">
        <v>50</v>
      </c>
      <c r="F14">
        <v>14.998385429000001</v>
      </c>
      <c r="G14">
        <v>1426.7283935999999</v>
      </c>
      <c r="H14">
        <v>1386.8873291</v>
      </c>
      <c r="I14">
        <v>1313.5142822</v>
      </c>
      <c r="J14">
        <v>1306.6496582</v>
      </c>
      <c r="K14">
        <v>1200</v>
      </c>
      <c r="L14">
        <v>0</v>
      </c>
      <c r="M14">
        <v>0</v>
      </c>
      <c r="N14">
        <v>1200</v>
      </c>
    </row>
    <row r="15" spans="1:14" x14ac:dyDescent="0.25">
      <c r="A15">
        <v>0.11612699999999999</v>
      </c>
      <c r="B15" s="1">
        <f>DATE(2010,5,1) + TIME(2,47,13)</f>
        <v>40299.116122685184</v>
      </c>
      <c r="C15">
        <v>80</v>
      </c>
      <c r="D15">
        <v>17.665103911999999</v>
      </c>
      <c r="E15">
        <v>50</v>
      </c>
      <c r="F15">
        <v>14.998456955</v>
      </c>
      <c r="G15">
        <v>1426.3151855000001</v>
      </c>
      <c r="H15">
        <v>1387.4455565999999</v>
      </c>
      <c r="I15">
        <v>1314.0908202999999</v>
      </c>
      <c r="J15">
        <v>1307.2259521000001</v>
      </c>
      <c r="K15">
        <v>1200</v>
      </c>
      <c r="L15">
        <v>0</v>
      </c>
      <c r="M15">
        <v>0</v>
      </c>
      <c r="N15">
        <v>1200</v>
      </c>
    </row>
    <row r="16" spans="1:14" x14ac:dyDescent="0.25">
      <c r="A16">
        <v>0.16033600000000001</v>
      </c>
      <c r="B16" s="1">
        <f>DATE(2010,5,1) + TIME(3,50,53)</f>
        <v>40299.16033564815</v>
      </c>
      <c r="C16">
        <v>80</v>
      </c>
      <c r="D16">
        <v>18.651327132999999</v>
      </c>
      <c r="E16">
        <v>50</v>
      </c>
      <c r="F16">
        <v>14.998503684999999</v>
      </c>
      <c r="G16">
        <v>1425.4803466999999</v>
      </c>
      <c r="H16">
        <v>1387.5418701000001</v>
      </c>
      <c r="I16">
        <v>1314.4246826000001</v>
      </c>
      <c r="J16">
        <v>1307.5596923999999</v>
      </c>
      <c r="K16">
        <v>1200</v>
      </c>
      <c r="L16">
        <v>0</v>
      </c>
      <c r="M16">
        <v>0</v>
      </c>
      <c r="N16">
        <v>1200</v>
      </c>
    </row>
    <row r="17" spans="1:14" x14ac:dyDescent="0.25">
      <c r="A17">
        <v>0.205148</v>
      </c>
      <c r="B17" s="1">
        <f>DATE(2010,5,1) + TIME(4,55,24)</f>
        <v>40299.205138888887</v>
      </c>
      <c r="C17">
        <v>80</v>
      </c>
      <c r="D17">
        <v>19.637248993</v>
      </c>
      <c r="E17">
        <v>50</v>
      </c>
      <c r="F17">
        <v>14.998538971</v>
      </c>
      <c r="G17">
        <v>1424.5194091999999</v>
      </c>
      <c r="H17">
        <v>1387.4735106999999</v>
      </c>
      <c r="I17">
        <v>1314.6386719</v>
      </c>
      <c r="J17">
        <v>1307.7735596</v>
      </c>
      <c r="K17">
        <v>1200</v>
      </c>
      <c r="L17">
        <v>0</v>
      </c>
      <c r="M17">
        <v>0</v>
      </c>
      <c r="N17">
        <v>1200</v>
      </c>
    </row>
    <row r="18" spans="1:14" x14ac:dyDescent="0.25">
      <c r="A18">
        <v>0.250581</v>
      </c>
      <c r="B18" s="1">
        <f>DATE(2010,5,1) + TIME(6,0,50)</f>
        <v>40299.250578703701</v>
      </c>
      <c r="C18">
        <v>80</v>
      </c>
      <c r="D18">
        <v>20.623401642000001</v>
      </c>
      <c r="E18">
        <v>50</v>
      </c>
      <c r="F18">
        <v>14.998566628000001</v>
      </c>
      <c r="G18">
        <v>1423.5207519999999</v>
      </c>
      <c r="H18">
        <v>1387.3312988</v>
      </c>
      <c r="I18">
        <v>1314.7850341999999</v>
      </c>
      <c r="J18">
        <v>1307.9196777</v>
      </c>
      <c r="K18">
        <v>1200</v>
      </c>
      <c r="L18">
        <v>0</v>
      </c>
      <c r="M18">
        <v>0</v>
      </c>
      <c r="N18">
        <v>1200</v>
      </c>
    </row>
    <row r="19" spans="1:14" x14ac:dyDescent="0.25">
      <c r="A19">
        <v>0.29663</v>
      </c>
      <c r="B19" s="1">
        <f>DATE(2010,5,1) + TIME(7,7,8)</f>
        <v>40299.296620370369</v>
      </c>
      <c r="C19">
        <v>80</v>
      </c>
      <c r="D19">
        <v>21.609008789000001</v>
      </c>
      <c r="E19">
        <v>50</v>
      </c>
      <c r="F19">
        <v>14.998589515999999</v>
      </c>
      <c r="G19">
        <v>1422.5186768000001</v>
      </c>
      <c r="H19">
        <v>1387.1507568</v>
      </c>
      <c r="I19">
        <v>1314.8886719</v>
      </c>
      <c r="J19">
        <v>1308.0231934000001</v>
      </c>
      <c r="K19">
        <v>1200</v>
      </c>
      <c r="L19">
        <v>0</v>
      </c>
      <c r="M19">
        <v>0</v>
      </c>
      <c r="N19">
        <v>1200</v>
      </c>
    </row>
    <row r="20" spans="1:14" x14ac:dyDescent="0.25">
      <c r="A20">
        <v>0.34332800000000002</v>
      </c>
      <c r="B20" s="1">
        <f>DATE(2010,5,1) + TIME(8,14,23)</f>
        <v>40299.343321759261</v>
      </c>
      <c r="C20">
        <v>80</v>
      </c>
      <c r="D20">
        <v>22.593965529999998</v>
      </c>
      <c r="E20">
        <v>50</v>
      </c>
      <c r="F20">
        <v>14.998610497</v>
      </c>
      <c r="G20">
        <v>1421.5285644999999</v>
      </c>
      <c r="H20">
        <v>1386.9488524999999</v>
      </c>
      <c r="I20">
        <v>1314.9633789</v>
      </c>
      <c r="J20">
        <v>1308.0976562000001</v>
      </c>
      <c r="K20">
        <v>1200</v>
      </c>
      <c r="L20">
        <v>0</v>
      </c>
      <c r="M20">
        <v>0</v>
      </c>
      <c r="N20">
        <v>1200</v>
      </c>
    </row>
    <row r="21" spans="1:14" x14ac:dyDescent="0.25">
      <c r="A21">
        <v>0.390712</v>
      </c>
      <c r="B21" s="1">
        <f>DATE(2010,5,1) + TIME(9,22,37)</f>
        <v>40299.390706018516</v>
      </c>
      <c r="C21">
        <v>80</v>
      </c>
      <c r="D21">
        <v>23.578580855999999</v>
      </c>
      <c r="E21">
        <v>50</v>
      </c>
      <c r="F21">
        <v>14.998628616</v>
      </c>
      <c r="G21">
        <v>1420.5578613</v>
      </c>
      <c r="H21">
        <v>1386.7352295000001</v>
      </c>
      <c r="I21">
        <v>1315.0179443</v>
      </c>
      <c r="J21">
        <v>1308.1520995999999</v>
      </c>
      <c r="K21">
        <v>1200</v>
      </c>
      <c r="L21">
        <v>0</v>
      </c>
      <c r="M21">
        <v>0</v>
      </c>
      <c r="N21">
        <v>1200</v>
      </c>
    </row>
    <row r="22" spans="1:14" x14ac:dyDescent="0.25">
      <c r="A22">
        <v>0.438805</v>
      </c>
      <c r="B22" s="1">
        <f>DATE(2010,5,1) + TIME(10,31,52)</f>
        <v>40299.438796296294</v>
      </c>
      <c r="C22">
        <v>80</v>
      </c>
      <c r="D22">
        <v>24.562845230000001</v>
      </c>
      <c r="E22">
        <v>50</v>
      </c>
      <c r="F22">
        <v>14.998645782000001</v>
      </c>
      <c r="G22">
        <v>1419.6113281</v>
      </c>
      <c r="H22">
        <v>1386.5161132999999</v>
      </c>
      <c r="I22">
        <v>1315.0583495999999</v>
      </c>
      <c r="J22">
        <v>1308.1922606999999</v>
      </c>
      <c r="K22">
        <v>1200</v>
      </c>
      <c r="L22">
        <v>0</v>
      </c>
      <c r="M22">
        <v>0</v>
      </c>
      <c r="N22">
        <v>1200</v>
      </c>
    </row>
    <row r="23" spans="1:14" x14ac:dyDescent="0.25">
      <c r="A23">
        <v>0.48763400000000001</v>
      </c>
      <c r="B23" s="1">
        <f>DATE(2010,5,1) + TIME(11,42,11)</f>
        <v>40299.487627314818</v>
      </c>
      <c r="C23">
        <v>80</v>
      </c>
      <c r="D23">
        <v>25.547126769999998</v>
      </c>
      <c r="E23">
        <v>50</v>
      </c>
      <c r="F23">
        <v>14.998661995000001</v>
      </c>
      <c r="G23">
        <v>1418.6911620999999</v>
      </c>
      <c r="H23">
        <v>1386.2954102000001</v>
      </c>
      <c r="I23">
        <v>1315.088501</v>
      </c>
      <c r="J23">
        <v>1308.222168</v>
      </c>
      <c r="K23">
        <v>1200</v>
      </c>
      <c r="L23">
        <v>0</v>
      </c>
      <c r="M23">
        <v>0</v>
      </c>
      <c r="N23">
        <v>1200</v>
      </c>
    </row>
    <row r="24" spans="1:14" x14ac:dyDescent="0.25">
      <c r="A24">
        <v>0.53720699999999999</v>
      </c>
      <c r="B24" s="1">
        <f>DATE(2010,5,1) + TIME(12,53,34)</f>
        <v>40299.537199074075</v>
      </c>
      <c r="C24">
        <v>80</v>
      </c>
      <c r="D24">
        <v>26.530988693000001</v>
      </c>
      <c r="E24">
        <v>50</v>
      </c>
      <c r="F24">
        <v>14.998677254</v>
      </c>
      <c r="G24">
        <v>1417.7990723</v>
      </c>
      <c r="H24">
        <v>1386.0759277</v>
      </c>
      <c r="I24">
        <v>1315.1113281</v>
      </c>
      <c r="J24">
        <v>1308.244751</v>
      </c>
      <c r="K24">
        <v>1200</v>
      </c>
      <c r="L24">
        <v>0</v>
      </c>
      <c r="M24">
        <v>0</v>
      </c>
      <c r="N24">
        <v>1200</v>
      </c>
    </row>
    <row r="25" spans="1:14" x14ac:dyDescent="0.25">
      <c r="A25">
        <v>0.58755400000000002</v>
      </c>
      <c r="B25" s="1">
        <f>DATE(2010,5,1) + TIME(14,6,4)</f>
        <v>40299.587546296294</v>
      </c>
      <c r="C25">
        <v>80</v>
      </c>
      <c r="D25">
        <v>27.514202118</v>
      </c>
      <c r="E25">
        <v>50</v>
      </c>
      <c r="F25">
        <v>14.998691558999999</v>
      </c>
      <c r="G25">
        <v>1416.9354248</v>
      </c>
      <c r="H25">
        <v>1385.8591309000001</v>
      </c>
      <c r="I25">
        <v>1315.1290283000001</v>
      </c>
      <c r="J25">
        <v>1308.2620850000001</v>
      </c>
      <c r="K25">
        <v>1200</v>
      </c>
      <c r="L25">
        <v>0</v>
      </c>
      <c r="M25">
        <v>0</v>
      </c>
      <c r="N25">
        <v>1200</v>
      </c>
    </row>
    <row r="26" spans="1:14" x14ac:dyDescent="0.25">
      <c r="A26">
        <v>0.63872099999999998</v>
      </c>
      <c r="B26" s="1">
        <f>DATE(2010,5,1) + TIME(15,19,45)</f>
        <v>40299.638715277775</v>
      </c>
      <c r="C26">
        <v>80</v>
      </c>
      <c r="D26">
        <v>28.497041702000001</v>
      </c>
      <c r="E26">
        <v>50</v>
      </c>
      <c r="F26">
        <v>14.998705864</v>
      </c>
      <c r="G26">
        <v>1416.0999756000001</v>
      </c>
      <c r="H26">
        <v>1385.6463623</v>
      </c>
      <c r="I26">
        <v>1315.1428223</v>
      </c>
      <c r="J26">
        <v>1308.2756348</v>
      </c>
      <c r="K26">
        <v>1200</v>
      </c>
      <c r="L26">
        <v>0</v>
      </c>
      <c r="M26">
        <v>0</v>
      </c>
      <c r="N26">
        <v>1200</v>
      </c>
    </row>
    <row r="27" spans="1:14" x14ac:dyDescent="0.25">
      <c r="A27">
        <v>0.69073700000000005</v>
      </c>
      <c r="B27" s="1">
        <f>DATE(2010,5,1) + TIME(16,34,39)</f>
        <v>40299.690729166665</v>
      </c>
      <c r="C27">
        <v>80</v>
      </c>
      <c r="D27">
        <v>29.479497909999999</v>
      </c>
      <c r="E27">
        <v>50</v>
      </c>
      <c r="F27">
        <v>14.998720169</v>
      </c>
      <c r="G27">
        <v>1415.2923584</v>
      </c>
      <c r="H27">
        <v>1385.4382324000001</v>
      </c>
      <c r="I27">
        <v>1315.1539307</v>
      </c>
      <c r="J27">
        <v>1308.286499</v>
      </c>
      <c r="K27">
        <v>1200</v>
      </c>
      <c r="L27">
        <v>0</v>
      </c>
      <c r="M27">
        <v>0</v>
      </c>
      <c r="N27">
        <v>1200</v>
      </c>
    </row>
    <row r="28" spans="1:14" x14ac:dyDescent="0.25">
      <c r="A28">
        <v>0.74363599999999996</v>
      </c>
      <c r="B28" s="1">
        <f>DATE(2010,5,1) + TIME(17,50,50)</f>
        <v>40299.743634259263</v>
      </c>
      <c r="C28">
        <v>80</v>
      </c>
      <c r="D28">
        <v>30.461668015000001</v>
      </c>
      <c r="E28">
        <v>50</v>
      </c>
      <c r="F28">
        <v>14.998733521</v>
      </c>
      <c r="G28">
        <v>1414.5117187999999</v>
      </c>
      <c r="H28">
        <v>1385.2351074000001</v>
      </c>
      <c r="I28">
        <v>1315.1630858999999</v>
      </c>
      <c r="J28">
        <v>1308.2952881000001</v>
      </c>
      <c r="K28">
        <v>1200</v>
      </c>
      <c r="L28">
        <v>0</v>
      </c>
      <c r="M28">
        <v>0</v>
      </c>
      <c r="N28">
        <v>1200</v>
      </c>
    </row>
    <row r="29" spans="1:14" x14ac:dyDescent="0.25">
      <c r="A29">
        <v>0.79744700000000002</v>
      </c>
      <c r="B29" s="1">
        <f>DATE(2010,5,1) + TIME(19,8,19)</f>
        <v>40299.797442129631</v>
      </c>
      <c r="C29">
        <v>80</v>
      </c>
      <c r="D29">
        <v>31.443452834999999</v>
      </c>
      <c r="E29">
        <v>50</v>
      </c>
      <c r="F29">
        <v>14.998747826000001</v>
      </c>
      <c r="G29">
        <v>1413.7573242000001</v>
      </c>
      <c r="H29">
        <v>1385.0372314000001</v>
      </c>
      <c r="I29">
        <v>1315.1707764</v>
      </c>
      <c r="J29">
        <v>1308.3026123</v>
      </c>
      <c r="K29">
        <v>1200</v>
      </c>
      <c r="L29">
        <v>0</v>
      </c>
      <c r="M29">
        <v>0</v>
      </c>
      <c r="N29">
        <v>1200</v>
      </c>
    </row>
    <row r="30" spans="1:14" x14ac:dyDescent="0.25">
      <c r="A30">
        <v>0.85220600000000002</v>
      </c>
      <c r="B30" s="1">
        <f>DATE(2010,5,1) + TIME(20,27,10)</f>
        <v>40299.852199074077</v>
      </c>
      <c r="C30">
        <v>80</v>
      </c>
      <c r="D30">
        <v>32.424709319999998</v>
      </c>
      <c r="E30">
        <v>50</v>
      </c>
      <c r="F30">
        <v>14.998761177</v>
      </c>
      <c r="G30">
        <v>1413.0281981999999</v>
      </c>
      <c r="H30">
        <v>1384.8446045000001</v>
      </c>
      <c r="I30">
        <v>1315.1774902</v>
      </c>
      <c r="J30">
        <v>1308.3089600000001</v>
      </c>
      <c r="K30">
        <v>1200</v>
      </c>
      <c r="L30">
        <v>0</v>
      </c>
      <c r="M30">
        <v>0</v>
      </c>
      <c r="N30">
        <v>1200</v>
      </c>
    </row>
    <row r="31" spans="1:14" x14ac:dyDescent="0.25">
      <c r="A31">
        <v>0.90795899999999996</v>
      </c>
      <c r="B31" s="1">
        <f>DATE(2010,5,1) + TIME(21,47,27)</f>
        <v>40299.907951388886</v>
      </c>
      <c r="C31">
        <v>80</v>
      </c>
      <c r="D31">
        <v>33.405536652000002</v>
      </c>
      <c r="E31">
        <v>50</v>
      </c>
      <c r="F31">
        <v>14.998774529</v>
      </c>
      <c r="G31">
        <v>1412.3233643000001</v>
      </c>
      <c r="H31">
        <v>1384.6571045000001</v>
      </c>
      <c r="I31">
        <v>1315.1832274999999</v>
      </c>
      <c r="J31">
        <v>1308.3143310999999</v>
      </c>
      <c r="K31">
        <v>1200</v>
      </c>
      <c r="L31">
        <v>0</v>
      </c>
      <c r="M31">
        <v>0</v>
      </c>
      <c r="N31">
        <v>1200</v>
      </c>
    </row>
    <row r="32" spans="1:14" x14ac:dyDescent="0.25">
      <c r="A32">
        <v>0.96474599999999999</v>
      </c>
      <c r="B32" s="1">
        <f>DATE(2010,5,1) + TIME(23,9,14)</f>
        <v>40299.964745370373</v>
      </c>
      <c r="C32">
        <v>80</v>
      </c>
      <c r="D32">
        <v>34.385921478</v>
      </c>
      <c r="E32">
        <v>50</v>
      </c>
      <c r="F32">
        <v>14.99878788</v>
      </c>
      <c r="G32">
        <v>1411.6417236</v>
      </c>
      <c r="H32">
        <v>1384.4744873</v>
      </c>
      <c r="I32">
        <v>1315.1884766000001</v>
      </c>
      <c r="J32">
        <v>1308.3190918</v>
      </c>
      <c r="K32">
        <v>1200</v>
      </c>
      <c r="L32">
        <v>0</v>
      </c>
      <c r="M32">
        <v>0</v>
      </c>
      <c r="N32">
        <v>1200</v>
      </c>
    </row>
    <row r="33" spans="1:14" x14ac:dyDescent="0.25">
      <c r="A33">
        <v>1.022613</v>
      </c>
      <c r="B33" s="1">
        <f>DATE(2010,5,2) + TIME(0,32,33)</f>
        <v>40300.022604166668</v>
      </c>
      <c r="C33">
        <v>80</v>
      </c>
      <c r="D33">
        <v>35.365844727000002</v>
      </c>
      <c r="E33">
        <v>50</v>
      </c>
      <c r="F33">
        <v>14.998801231</v>
      </c>
      <c r="G33">
        <v>1410.9822998</v>
      </c>
      <c r="H33">
        <v>1384.2966309000001</v>
      </c>
      <c r="I33">
        <v>1315.1931152</v>
      </c>
      <c r="J33">
        <v>1308.3234863</v>
      </c>
      <c r="K33">
        <v>1200</v>
      </c>
      <c r="L33">
        <v>0</v>
      </c>
      <c r="M33">
        <v>0</v>
      </c>
      <c r="N33">
        <v>1200</v>
      </c>
    </row>
    <row r="34" spans="1:14" x14ac:dyDescent="0.25">
      <c r="A34">
        <v>1.0816060000000001</v>
      </c>
      <c r="B34" s="1">
        <f>DATE(2010,5,2) + TIME(1,57,30)</f>
        <v>40300.081597222219</v>
      </c>
      <c r="C34">
        <v>80</v>
      </c>
      <c r="D34">
        <v>36.345291138</v>
      </c>
      <c r="E34">
        <v>50</v>
      </c>
      <c r="F34">
        <v>14.998814583</v>
      </c>
      <c r="G34">
        <v>1410.3442382999999</v>
      </c>
      <c r="H34">
        <v>1384.1234131000001</v>
      </c>
      <c r="I34">
        <v>1315.1975098</v>
      </c>
      <c r="J34">
        <v>1308.3272704999999</v>
      </c>
      <c r="K34">
        <v>1200</v>
      </c>
      <c r="L34">
        <v>0</v>
      </c>
      <c r="M34">
        <v>0</v>
      </c>
      <c r="N34">
        <v>1200</v>
      </c>
    </row>
    <row r="35" spans="1:14" x14ac:dyDescent="0.25">
      <c r="A35">
        <v>1.1417759999999999</v>
      </c>
      <c r="B35" s="1">
        <f>DATE(2010,5,2) + TIME(3,24,9)</f>
        <v>40300.141770833332</v>
      </c>
      <c r="C35">
        <v>80</v>
      </c>
      <c r="D35">
        <v>37.324237822999997</v>
      </c>
      <c r="E35">
        <v>50</v>
      </c>
      <c r="F35">
        <v>14.998827933999999</v>
      </c>
      <c r="G35">
        <v>1409.7263184000001</v>
      </c>
      <c r="H35">
        <v>1383.9543457</v>
      </c>
      <c r="I35">
        <v>1315.2014160000001</v>
      </c>
      <c r="J35">
        <v>1308.3308105000001</v>
      </c>
      <c r="K35">
        <v>1200</v>
      </c>
      <c r="L35">
        <v>0</v>
      </c>
      <c r="M35">
        <v>0</v>
      </c>
      <c r="N35">
        <v>1200</v>
      </c>
    </row>
    <row r="36" spans="1:14" x14ac:dyDescent="0.25">
      <c r="A36">
        <v>1.203174</v>
      </c>
      <c r="B36" s="1">
        <f>DATE(2010,5,2) + TIME(4,52,34)</f>
        <v>40300.2031712963</v>
      </c>
      <c r="C36">
        <v>80</v>
      </c>
      <c r="D36">
        <v>38.302658080999997</v>
      </c>
      <c r="E36">
        <v>50</v>
      </c>
      <c r="F36">
        <v>14.998841285999999</v>
      </c>
      <c r="G36">
        <v>1409.1278076000001</v>
      </c>
      <c r="H36">
        <v>1383.7894286999999</v>
      </c>
      <c r="I36">
        <v>1315.2050781</v>
      </c>
      <c r="J36">
        <v>1308.3341064000001</v>
      </c>
      <c r="K36">
        <v>1200</v>
      </c>
      <c r="L36">
        <v>0</v>
      </c>
      <c r="M36">
        <v>0</v>
      </c>
      <c r="N36">
        <v>1200</v>
      </c>
    </row>
    <row r="37" spans="1:14" x14ac:dyDescent="0.25">
      <c r="A37">
        <v>1.26586</v>
      </c>
      <c r="B37" s="1">
        <f>DATE(2010,5,2) + TIME(6,22,50)</f>
        <v>40300.265856481485</v>
      </c>
      <c r="C37">
        <v>80</v>
      </c>
      <c r="D37">
        <v>39.280536652000002</v>
      </c>
      <c r="E37">
        <v>50</v>
      </c>
      <c r="F37">
        <v>14.998854637000001</v>
      </c>
      <c r="G37">
        <v>1408.5476074000001</v>
      </c>
      <c r="H37">
        <v>1383.6282959</v>
      </c>
      <c r="I37">
        <v>1315.2084961</v>
      </c>
      <c r="J37">
        <v>1308.3370361</v>
      </c>
      <c r="K37">
        <v>1200</v>
      </c>
      <c r="L37">
        <v>0</v>
      </c>
      <c r="M37">
        <v>0</v>
      </c>
      <c r="N37">
        <v>1200</v>
      </c>
    </row>
    <row r="38" spans="1:14" x14ac:dyDescent="0.25">
      <c r="A38">
        <v>1.329893</v>
      </c>
      <c r="B38" s="1">
        <f>DATE(2010,5,2) + TIME(7,55,2)</f>
        <v>40300.329884259256</v>
      </c>
      <c r="C38">
        <v>80</v>
      </c>
      <c r="D38">
        <v>40.257900237999998</v>
      </c>
      <c r="E38">
        <v>50</v>
      </c>
      <c r="F38">
        <v>14.998867989000001</v>
      </c>
      <c r="G38">
        <v>1407.9851074000001</v>
      </c>
      <c r="H38">
        <v>1383.4707031</v>
      </c>
      <c r="I38">
        <v>1315.2117920000001</v>
      </c>
      <c r="J38">
        <v>1308.3397216999999</v>
      </c>
      <c r="K38">
        <v>1200</v>
      </c>
      <c r="L38">
        <v>0</v>
      </c>
      <c r="M38">
        <v>0</v>
      </c>
      <c r="N38">
        <v>1200</v>
      </c>
    </row>
    <row r="39" spans="1:14" x14ac:dyDescent="0.25">
      <c r="A39">
        <v>1.3953359999999999</v>
      </c>
      <c r="B39" s="1">
        <f>DATE(2010,5,2) + TIME(9,29,17)</f>
        <v>40300.395335648151</v>
      </c>
      <c r="C39">
        <v>80</v>
      </c>
      <c r="D39">
        <v>41.234767914000003</v>
      </c>
      <c r="E39">
        <v>50</v>
      </c>
      <c r="F39">
        <v>14.998881340000001</v>
      </c>
      <c r="G39">
        <v>1407.4393310999999</v>
      </c>
      <c r="H39">
        <v>1383.3164062000001</v>
      </c>
      <c r="I39">
        <v>1315.2148437999999</v>
      </c>
      <c r="J39">
        <v>1308.3422852000001</v>
      </c>
      <c r="K39">
        <v>1200</v>
      </c>
      <c r="L39">
        <v>0</v>
      </c>
      <c r="M39">
        <v>0</v>
      </c>
      <c r="N39">
        <v>1200</v>
      </c>
    </row>
    <row r="40" spans="1:14" x14ac:dyDescent="0.25">
      <c r="A40">
        <v>1.46225</v>
      </c>
      <c r="B40" s="1">
        <f>DATE(2010,5,2) + TIME(11,5,38)</f>
        <v>40300.462245370371</v>
      </c>
      <c r="C40">
        <v>80</v>
      </c>
      <c r="D40">
        <v>42.210842133</v>
      </c>
      <c r="E40">
        <v>50</v>
      </c>
      <c r="F40">
        <v>14.998894691</v>
      </c>
      <c r="G40">
        <v>1406.9094238</v>
      </c>
      <c r="H40">
        <v>1383.1651611</v>
      </c>
      <c r="I40">
        <v>1315.2176514</v>
      </c>
      <c r="J40">
        <v>1308.3447266000001</v>
      </c>
      <c r="K40">
        <v>1200</v>
      </c>
      <c r="L40">
        <v>0</v>
      </c>
      <c r="M40">
        <v>0</v>
      </c>
      <c r="N40">
        <v>1200</v>
      </c>
    </row>
    <row r="41" spans="1:14" x14ac:dyDescent="0.25">
      <c r="A41">
        <v>1.5307219999999999</v>
      </c>
      <c r="B41" s="1">
        <f>DATE(2010,5,2) + TIME(12,44,14)</f>
        <v>40300.530717592592</v>
      </c>
      <c r="C41">
        <v>80</v>
      </c>
      <c r="D41">
        <v>43.186244965</v>
      </c>
      <c r="E41">
        <v>50</v>
      </c>
      <c r="F41">
        <v>14.998908043</v>
      </c>
      <c r="G41">
        <v>1406.3947754000001</v>
      </c>
      <c r="H41">
        <v>1383.0167236</v>
      </c>
      <c r="I41">
        <v>1315.2204589999999</v>
      </c>
      <c r="J41">
        <v>1308.3468018000001</v>
      </c>
      <c r="K41">
        <v>1200</v>
      </c>
      <c r="L41">
        <v>0</v>
      </c>
      <c r="M41">
        <v>0</v>
      </c>
      <c r="N41">
        <v>1200</v>
      </c>
    </row>
    <row r="42" spans="1:14" x14ac:dyDescent="0.25">
      <c r="A42">
        <v>1.6008340000000001</v>
      </c>
      <c r="B42" s="1">
        <f>DATE(2010,5,2) + TIME(14,25,12)</f>
        <v>40300.60083333333</v>
      </c>
      <c r="C42">
        <v>80</v>
      </c>
      <c r="D42">
        <v>44.160938262999998</v>
      </c>
      <c r="E42">
        <v>50</v>
      </c>
      <c r="F42">
        <v>14.998921394</v>
      </c>
      <c r="G42">
        <v>1405.8945312000001</v>
      </c>
      <c r="H42">
        <v>1382.8707274999999</v>
      </c>
      <c r="I42">
        <v>1315.2230225000001</v>
      </c>
      <c r="J42">
        <v>1308.3488769999999</v>
      </c>
      <c r="K42">
        <v>1200</v>
      </c>
      <c r="L42">
        <v>0</v>
      </c>
      <c r="M42">
        <v>0</v>
      </c>
      <c r="N42">
        <v>1200</v>
      </c>
    </row>
    <row r="43" spans="1:14" x14ac:dyDescent="0.25">
      <c r="A43">
        <v>1.6726730000000001</v>
      </c>
      <c r="B43" s="1">
        <f>DATE(2010,5,2) + TIME(16,8,38)</f>
        <v>40300.672662037039</v>
      </c>
      <c r="C43">
        <v>80</v>
      </c>
      <c r="D43">
        <v>45.134876251000001</v>
      </c>
      <c r="E43">
        <v>50</v>
      </c>
      <c r="F43">
        <v>14.998934746</v>
      </c>
      <c r="G43">
        <v>1405.4080810999999</v>
      </c>
      <c r="H43">
        <v>1382.7271728999999</v>
      </c>
      <c r="I43">
        <v>1315.2253418</v>
      </c>
      <c r="J43">
        <v>1308.3507079999999</v>
      </c>
      <c r="K43">
        <v>1200</v>
      </c>
      <c r="L43">
        <v>0</v>
      </c>
      <c r="M43">
        <v>0</v>
      </c>
      <c r="N43">
        <v>1200</v>
      </c>
    </row>
    <row r="44" spans="1:14" x14ac:dyDescent="0.25">
      <c r="A44">
        <v>1.7463340000000001</v>
      </c>
      <c r="B44" s="1">
        <f>DATE(2010,5,2) + TIME(17,54,43)</f>
        <v>40300.746331018519</v>
      </c>
      <c r="C44">
        <v>80</v>
      </c>
      <c r="D44">
        <v>46.108013153000002</v>
      </c>
      <c r="E44">
        <v>50</v>
      </c>
      <c r="F44">
        <v>14.998948097</v>
      </c>
      <c r="G44">
        <v>1404.9346923999999</v>
      </c>
      <c r="H44">
        <v>1382.5856934000001</v>
      </c>
      <c r="I44">
        <v>1315.2276611</v>
      </c>
      <c r="J44">
        <v>1308.3524170000001</v>
      </c>
      <c r="K44">
        <v>1200</v>
      </c>
      <c r="L44">
        <v>0</v>
      </c>
      <c r="M44">
        <v>0</v>
      </c>
      <c r="N44">
        <v>1200</v>
      </c>
    </row>
    <row r="45" spans="1:14" x14ac:dyDescent="0.25">
      <c r="A45">
        <v>1.82192</v>
      </c>
      <c r="B45" s="1">
        <f>DATE(2010,5,2) + TIME(19,43,33)</f>
        <v>40300.821909722225</v>
      </c>
      <c r="C45">
        <v>80</v>
      </c>
      <c r="D45">
        <v>47.080299377000003</v>
      </c>
      <c r="E45">
        <v>50</v>
      </c>
      <c r="F45">
        <v>14.998961448999999</v>
      </c>
      <c r="G45">
        <v>1404.4738769999999</v>
      </c>
      <c r="H45">
        <v>1382.4461670000001</v>
      </c>
      <c r="I45">
        <v>1315.2299805</v>
      </c>
      <c r="J45">
        <v>1308.3540039</v>
      </c>
      <c r="K45">
        <v>1200</v>
      </c>
      <c r="L45">
        <v>0</v>
      </c>
      <c r="M45">
        <v>0</v>
      </c>
      <c r="N45">
        <v>1200</v>
      </c>
    </row>
    <row r="46" spans="1:14" x14ac:dyDescent="0.25">
      <c r="A46">
        <v>1.8995439999999999</v>
      </c>
      <c r="B46" s="1">
        <f>DATE(2010,5,2) + TIME(21,35,20)</f>
        <v>40300.899537037039</v>
      </c>
      <c r="C46">
        <v>80</v>
      </c>
      <c r="D46">
        <v>48.051670074</v>
      </c>
      <c r="E46">
        <v>50</v>
      </c>
      <c r="F46">
        <v>14.998974799999999</v>
      </c>
      <c r="G46">
        <v>1404.0246582</v>
      </c>
      <c r="H46">
        <v>1382.3082274999999</v>
      </c>
      <c r="I46">
        <v>1315.2320557</v>
      </c>
      <c r="J46">
        <v>1308.3555908000001</v>
      </c>
      <c r="K46">
        <v>1200</v>
      </c>
      <c r="L46">
        <v>0</v>
      </c>
      <c r="M46">
        <v>0</v>
      </c>
      <c r="N46">
        <v>1200</v>
      </c>
    </row>
    <row r="47" spans="1:14" x14ac:dyDescent="0.25">
      <c r="A47">
        <v>1.9793259999999999</v>
      </c>
      <c r="B47" s="1">
        <f>DATE(2010,5,2) + TIME(23,30,13)</f>
        <v>40300.979317129626</v>
      </c>
      <c r="C47">
        <v>80</v>
      </c>
      <c r="D47">
        <v>49.022071838000002</v>
      </c>
      <c r="E47">
        <v>50</v>
      </c>
      <c r="F47">
        <v>14.998988152000001</v>
      </c>
      <c r="G47">
        <v>1403.5866699000001</v>
      </c>
      <c r="H47">
        <v>1382.1716309000001</v>
      </c>
      <c r="I47">
        <v>1315.2340088000001</v>
      </c>
      <c r="J47">
        <v>1308.3569336</v>
      </c>
      <c r="K47">
        <v>1200</v>
      </c>
      <c r="L47">
        <v>0</v>
      </c>
      <c r="M47">
        <v>0</v>
      </c>
      <c r="N47">
        <v>1200</v>
      </c>
    </row>
    <row r="48" spans="1:14" x14ac:dyDescent="0.25">
      <c r="A48">
        <v>2.061401</v>
      </c>
      <c r="B48" s="1">
        <f>DATE(2010,5,3) + TIME(1,28,25)</f>
        <v>40301.061400462961</v>
      </c>
      <c r="C48">
        <v>80</v>
      </c>
      <c r="D48">
        <v>49.991428374999998</v>
      </c>
      <c r="E48">
        <v>50</v>
      </c>
      <c r="F48">
        <v>14.999001503000001</v>
      </c>
      <c r="G48">
        <v>1403.1593018000001</v>
      </c>
      <c r="H48">
        <v>1382.0361327999999</v>
      </c>
      <c r="I48">
        <v>1315.2359618999999</v>
      </c>
      <c r="J48">
        <v>1308.3581543</v>
      </c>
      <c r="K48">
        <v>1200</v>
      </c>
      <c r="L48">
        <v>0</v>
      </c>
      <c r="M48">
        <v>0</v>
      </c>
      <c r="N48">
        <v>1200</v>
      </c>
    </row>
    <row r="49" spans="1:14" x14ac:dyDescent="0.25">
      <c r="A49">
        <v>2.145915</v>
      </c>
      <c r="B49" s="1">
        <f>DATE(2010,5,3) + TIME(3,30,7)</f>
        <v>40301.145914351851</v>
      </c>
      <c r="C49">
        <v>80</v>
      </c>
      <c r="D49">
        <v>50.959224700999997</v>
      </c>
      <c r="E49">
        <v>50</v>
      </c>
      <c r="F49">
        <v>14.999014854</v>
      </c>
      <c r="G49">
        <v>1402.7419434000001</v>
      </c>
      <c r="H49">
        <v>1381.9016113</v>
      </c>
      <c r="I49">
        <v>1315.237793</v>
      </c>
      <c r="J49">
        <v>1308.359375</v>
      </c>
      <c r="K49">
        <v>1200</v>
      </c>
      <c r="L49">
        <v>0</v>
      </c>
      <c r="M49">
        <v>0</v>
      </c>
      <c r="N49">
        <v>1200</v>
      </c>
    </row>
    <row r="50" spans="1:14" x14ac:dyDescent="0.25">
      <c r="A50">
        <v>2.2330679999999998</v>
      </c>
      <c r="B50" s="1">
        <f>DATE(2010,5,3) + TIME(5,35,37)</f>
        <v>40301.233067129629</v>
      </c>
      <c r="C50">
        <v>80</v>
      </c>
      <c r="D50">
        <v>51.926235198999997</v>
      </c>
      <c r="E50">
        <v>50</v>
      </c>
      <c r="F50">
        <v>14.999028206</v>
      </c>
      <c r="G50">
        <v>1402.3341064000001</v>
      </c>
      <c r="H50">
        <v>1381.7678223</v>
      </c>
      <c r="I50">
        <v>1315.239624</v>
      </c>
      <c r="J50">
        <v>1308.3604736</v>
      </c>
      <c r="K50">
        <v>1200</v>
      </c>
      <c r="L50">
        <v>0</v>
      </c>
      <c r="M50">
        <v>0</v>
      </c>
      <c r="N50">
        <v>1200</v>
      </c>
    </row>
    <row r="51" spans="1:14" x14ac:dyDescent="0.25">
      <c r="A51">
        <v>2.3229989999999998</v>
      </c>
      <c r="B51" s="1">
        <f>DATE(2010,5,3) + TIME(7,45,7)</f>
        <v>40301.322997685187</v>
      </c>
      <c r="C51">
        <v>80</v>
      </c>
      <c r="D51">
        <v>52.8919487</v>
      </c>
      <c r="E51">
        <v>50</v>
      </c>
      <c r="F51">
        <v>14.999042511000001</v>
      </c>
      <c r="G51">
        <v>1401.9351807</v>
      </c>
      <c r="H51">
        <v>1381.6345214999999</v>
      </c>
      <c r="I51">
        <v>1315.2413329999999</v>
      </c>
      <c r="J51">
        <v>1308.3614502</v>
      </c>
      <c r="K51">
        <v>1200</v>
      </c>
      <c r="L51">
        <v>0</v>
      </c>
      <c r="M51">
        <v>0</v>
      </c>
      <c r="N51">
        <v>1200</v>
      </c>
    </row>
    <row r="52" spans="1:14" x14ac:dyDescent="0.25">
      <c r="A52">
        <v>2.4159030000000001</v>
      </c>
      <c r="B52" s="1">
        <f>DATE(2010,5,3) + TIME(9,58,54)</f>
        <v>40301.415902777779</v>
      </c>
      <c r="C52">
        <v>80</v>
      </c>
      <c r="D52">
        <v>53.856266022</v>
      </c>
      <c r="E52">
        <v>50</v>
      </c>
      <c r="F52">
        <v>14.999055862000001</v>
      </c>
      <c r="G52">
        <v>1401.5446777</v>
      </c>
      <c r="H52">
        <v>1381.5015868999999</v>
      </c>
      <c r="I52">
        <v>1315.2429199000001</v>
      </c>
      <c r="J52">
        <v>1308.3624268000001</v>
      </c>
      <c r="K52">
        <v>1200</v>
      </c>
      <c r="L52">
        <v>0</v>
      </c>
      <c r="M52">
        <v>0</v>
      </c>
      <c r="N52">
        <v>1200</v>
      </c>
    </row>
    <row r="53" spans="1:14" x14ac:dyDescent="0.25">
      <c r="A53">
        <v>2.511997</v>
      </c>
      <c r="B53" s="1">
        <f>DATE(2010,5,3) + TIME(12,17,16)</f>
        <v>40301.511990740742</v>
      </c>
      <c r="C53">
        <v>80</v>
      </c>
      <c r="D53">
        <v>54.819072722999998</v>
      </c>
      <c r="E53">
        <v>50</v>
      </c>
      <c r="F53">
        <v>14.999069214</v>
      </c>
      <c r="G53">
        <v>1401.1622314000001</v>
      </c>
      <c r="H53">
        <v>1381.3686522999999</v>
      </c>
      <c r="I53">
        <v>1315.2446289</v>
      </c>
      <c r="J53">
        <v>1308.3632812000001</v>
      </c>
      <c r="K53">
        <v>1200</v>
      </c>
      <c r="L53">
        <v>0</v>
      </c>
      <c r="M53">
        <v>0</v>
      </c>
      <c r="N53">
        <v>1200</v>
      </c>
    </row>
    <row r="54" spans="1:14" x14ac:dyDescent="0.25">
      <c r="A54">
        <v>2.6115200000000001</v>
      </c>
      <c r="B54" s="1">
        <f>DATE(2010,5,3) + TIME(14,40,35)</f>
        <v>40301.611516203702</v>
      </c>
      <c r="C54">
        <v>80</v>
      </c>
      <c r="D54">
        <v>55.780246734999999</v>
      </c>
      <c r="E54">
        <v>50</v>
      </c>
      <c r="F54">
        <v>14.999083518999999</v>
      </c>
      <c r="G54">
        <v>1400.7871094</v>
      </c>
      <c r="H54">
        <v>1381.2354736</v>
      </c>
      <c r="I54">
        <v>1315.2462158000001</v>
      </c>
      <c r="J54">
        <v>1308.3641356999999</v>
      </c>
      <c r="K54">
        <v>1200</v>
      </c>
      <c r="L54">
        <v>0</v>
      </c>
      <c r="M54">
        <v>0</v>
      </c>
      <c r="N54">
        <v>1200</v>
      </c>
    </row>
    <row r="55" spans="1:14" x14ac:dyDescent="0.25">
      <c r="A55">
        <v>2.7147410000000001</v>
      </c>
      <c r="B55" s="1">
        <f>DATE(2010,5,3) + TIME(17,9,13)</f>
        <v>40301.714733796296</v>
      </c>
      <c r="C55">
        <v>80</v>
      </c>
      <c r="D55">
        <v>56.739650726000001</v>
      </c>
      <c r="E55">
        <v>50</v>
      </c>
      <c r="F55">
        <v>14.999097824</v>
      </c>
      <c r="G55">
        <v>1400.4189452999999</v>
      </c>
      <c r="H55">
        <v>1381.1019286999999</v>
      </c>
      <c r="I55">
        <v>1315.2478027</v>
      </c>
      <c r="J55">
        <v>1308.3649902</v>
      </c>
      <c r="K55">
        <v>1200</v>
      </c>
      <c r="L55">
        <v>0</v>
      </c>
      <c r="M55">
        <v>0</v>
      </c>
      <c r="N55">
        <v>1200</v>
      </c>
    </row>
    <row r="56" spans="1:14" x14ac:dyDescent="0.25">
      <c r="A56">
        <v>2.8219599999999998</v>
      </c>
      <c r="B56" s="1">
        <f>DATE(2010,5,3) + TIME(19,43,37)</f>
        <v>40301.821956018517</v>
      </c>
      <c r="C56">
        <v>80</v>
      </c>
      <c r="D56">
        <v>57.697128296000002</v>
      </c>
      <c r="E56">
        <v>50</v>
      </c>
      <c r="F56">
        <v>14.999111176</v>
      </c>
      <c r="G56">
        <v>1400.057251</v>
      </c>
      <c r="H56">
        <v>1380.9675293</v>
      </c>
      <c r="I56">
        <v>1315.2493896000001</v>
      </c>
      <c r="J56">
        <v>1308.3658447</v>
      </c>
      <c r="K56">
        <v>1200</v>
      </c>
      <c r="L56">
        <v>0</v>
      </c>
      <c r="M56">
        <v>0</v>
      </c>
      <c r="N56">
        <v>1200</v>
      </c>
    </row>
    <row r="57" spans="1:14" x14ac:dyDescent="0.25">
      <c r="A57">
        <v>2.933516</v>
      </c>
      <c r="B57" s="1">
        <f>DATE(2010,5,3) + TIME(22,24,15)</f>
        <v>40301.933506944442</v>
      </c>
      <c r="C57">
        <v>80</v>
      </c>
      <c r="D57">
        <v>58.652507782000001</v>
      </c>
      <c r="E57">
        <v>50</v>
      </c>
      <c r="F57">
        <v>14.999125481</v>
      </c>
      <c r="G57">
        <v>1399.7011719</v>
      </c>
      <c r="H57">
        <v>1380.8320312000001</v>
      </c>
      <c r="I57">
        <v>1315.2509766000001</v>
      </c>
      <c r="J57">
        <v>1308.3665771000001</v>
      </c>
      <c r="K57">
        <v>1200</v>
      </c>
      <c r="L57">
        <v>0</v>
      </c>
      <c r="M57">
        <v>0</v>
      </c>
      <c r="N57">
        <v>1200</v>
      </c>
    </row>
    <row r="58" spans="1:14" x14ac:dyDescent="0.25">
      <c r="A58">
        <v>3.0497890000000001</v>
      </c>
      <c r="B58" s="1">
        <f>DATE(2010,5,4) + TIME(1,11,41)</f>
        <v>40302.049780092595</v>
      </c>
      <c r="C58">
        <v>80</v>
      </c>
      <c r="D58">
        <v>59.605598450000002</v>
      </c>
      <c r="E58">
        <v>50</v>
      </c>
      <c r="F58">
        <v>14.999139786000001</v>
      </c>
      <c r="G58">
        <v>1399.3505858999999</v>
      </c>
      <c r="H58">
        <v>1380.6950684000001</v>
      </c>
      <c r="I58">
        <v>1315.2525635</v>
      </c>
      <c r="J58">
        <v>1308.3673096</v>
      </c>
      <c r="K58">
        <v>1200</v>
      </c>
      <c r="L58">
        <v>0</v>
      </c>
      <c r="M58">
        <v>0</v>
      </c>
      <c r="N58">
        <v>1200</v>
      </c>
    </row>
    <row r="59" spans="1:14" x14ac:dyDescent="0.25">
      <c r="A59">
        <v>3.171217</v>
      </c>
      <c r="B59" s="1">
        <f>DATE(2010,5,4) + TIME(4,6,33)</f>
        <v>40302.171215277776</v>
      </c>
      <c r="C59">
        <v>80</v>
      </c>
      <c r="D59">
        <v>60.555770873999997</v>
      </c>
      <c r="E59">
        <v>50</v>
      </c>
      <c r="F59">
        <v>14.999154090999999</v>
      </c>
      <c r="G59">
        <v>1399.0046387</v>
      </c>
      <c r="H59">
        <v>1380.5562743999999</v>
      </c>
      <c r="I59">
        <v>1315.2540283000001</v>
      </c>
      <c r="J59">
        <v>1308.3679199000001</v>
      </c>
      <c r="K59">
        <v>1200</v>
      </c>
      <c r="L59">
        <v>0</v>
      </c>
      <c r="M59">
        <v>0</v>
      </c>
      <c r="N59">
        <v>1200</v>
      </c>
    </row>
    <row r="60" spans="1:14" x14ac:dyDescent="0.25">
      <c r="A60">
        <v>3.2983549999999999</v>
      </c>
      <c r="B60" s="1">
        <f>DATE(2010,5,4) + TIME(7,9,37)</f>
        <v>40302.298344907409</v>
      </c>
      <c r="C60">
        <v>80</v>
      </c>
      <c r="D60">
        <v>61.503314971999998</v>
      </c>
      <c r="E60">
        <v>50</v>
      </c>
      <c r="F60">
        <v>14.999168396</v>
      </c>
      <c r="G60">
        <v>1398.6629639</v>
      </c>
      <c r="H60">
        <v>1380.4152832</v>
      </c>
      <c r="I60">
        <v>1315.2556152</v>
      </c>
      <c r="J60">
        <v>1308.3686522999999</v>
      </c>
      <c r="K60">
        <v>1200</v>
      </c>
      <c r="L60">
        <v>0</v>
      </c>
      <c r="M60">
        <v>0</v>
      </c>
      <c r="N60">
        <v>1200</v>
      </c>
    </row>
    <row r="61" spans="1:14" x14ac:dyDescent="0.25">
      <c r="A61">
        <v>3.4317570000000002</v>
      </c>
      <c r="B61" s="1">
        <f>DATE(2010,5,4) + TIME(10,21,43)</f>
        <v>40302.431747685187</v>
      </c>
      <c r="C61">
        <v>80</v>
      </c>
      <c r="D61">
        <v>62.448036193999997</v>
      </c>
      <c r="E61">
        <v>50</v>
      </c>
      <c r="F61">
        <v>14.999183655</v>
      </c>
      <c r="G61">
        <v>1398.3248291</v>
      </c>
      <c r="H61">
        <v>1380.2718506000001</v>
      </c>
      <c r="I61">
        <v>1315.2572021000001</v>
      </c>
      <c r="J61">
        <v>1308.3692627</v>
      </c>
      <c r="K61">
        <v>1200</v>
      </c>
      <c r="L61">
        <v>0</v>
      </c>
      <c r="M61">
        <v>0</v>
      </c>
      <c r="N61">
        <v>1200</v>
      </c>
    </row>
    <row r="62" spans="1:14" x14ac:dyDescent="0.25">
      <c r="A62">
        <v>3.5720580000000002</v>
      </c>
      <c r="B62" s="1">
        <f>DATE(2010,5,4) + TIME(13,43,45)</f>
        <v>40302.572048611109</v>
      </c>
      <c r="C62">
        <v>80</v>
      </c>
      <c r="D62">
        <v>63.389400481999999</v>
      </c>
      <c r="E62">
        <v>50</v>
      </c>
      <c r="F62">
        <v>14.99919796</v>
      </c>
      <c r="G62">
        <v>1397.9897461</v>
      </c>
      <c r="H62">
        <v>1380.1254882999999</v>
      </c>
      <c r="I62">
        <v>1315.2587891000001</v>
      </c>
      <c r="J62">
        <v>1308.3699951000001</v>
      </c>
      <c r="K62">
        <v>1200</v>
      </c>
      <c r="L62">
        <v>0</v>
      </c>
      <c r="M62">
        <v>0</v>
      </c>
      <c r="N62">
        <v>1200</v>
      </c>
    </row>
    <row r="63" spans="1:14" x14ac:dyDescent="0.25">
      <c r="A63">
        <v>3.7200299999999999</v>
      </c>
      <c r="B63" s="1">
        <f>DATE(2010,5,4) + TIME(17,16,50)</f>
        <v>40302.720023148147</v>
      </c>
      <c r="C63">
        <v>80</v>
      </c>
      <c r="D63">
        <v>64.327049255000006</v>
      </c>
      <c r="E63">
        <v>50</v>
      </c>
      <c r="F63">
        <v>14.999213219</v>
      </c>
      <c r="G63">
        <v>1397.6569824000001</v>
      </c>
      <c r="H63">
        <v>1379.9754639</v>
      </c>
      <c r="I63">
        <v>1315.260376</v>
      </c>
      <c r="J63">
        <v>1308.3707274999999</v>
      </c>
      <c r="K63">
        <v>1200</v>
      </c>
      <c r="L63">
        <v>0</v>
      </c>
      <c r="M63">
        <v>0</v>
      </c>
      <c r="N63">
        <v>1200</v>
      </c>
    </row>
    <row r="64" spans="1:14" x14ac:dyDescent="0.25">
      <c r="A64">
        <v>3.7946680000000002</v>
      </c>
      <c r="B64" s="1">
        <f>DATE(2010,5,4) + TIME(19,4,19)</f>
        <v>40302.794664351852</v>
      </c>
      <c r="C64">
        <v>80</v>
      </c>
      <c r="D64">
        <v>64.787254333000007</v>
      </c>
      <c r="E64">
        <v>50</v>
      </c>
      <c r="F64">
        <v>14.999220848</v>
      </c>
      <c r="G64">
        <v>1397.4714355000001</v>
      </c>
      <c r="H64">
        <v>1379.8461914</v>
      </c>
      <c r="I64">
        <v>1315.2620850000001</v>
      </c>
      <c r="J64">
        <v>1308.371582</v>
      </c>
      <c r="K64">
        <v>1200</v>
      </c>
      <c r="L64">
        <v>0</v>
      </c>
      <c r="M64">
        <v>0</v>
      </c>
      <c r="N64">
        <v>1200</v>
      </c>
    </row>
    <row r="65" spans="1:14" x14ac:dyDescent="0.25">
      <c r="A65">
        <v>3.8693059999999999</v>
      </c>
      <c r="B65" s="1">
        <f>DATE(2010,5,4) + TIME(20,51,48)</f>
        <v>40302.869305555556</v>
      </c>
      <c r="C65">
        <v>80</v>
      </c>
      <c r="D65">
        <v>65.234130859000004</v>
      </c>
      <c r="E65">
        <v>50</v>
      </c>
      <c r="F65">
        <v>14.999228477000001</v>
      </c>
      <c r="G65">
        <v>1397.3117675999999</v>
      </c>
      <c r="H65">
        <v>1379.7702637</v>
      </c>
      <c r="I65">
        <v>1315.2629394999999</v>
      </c>
      <c r="J65">
        <v>1308.3718262</v>
      </c>
      <c r="K65">
        <v>1200</v>
      </c>
      <c r="L65">
        <v>0</v>
      </c>
      <c r="M65">
        <v>0</v>
      </c>
      <c r="N65">
        <v>1200</v>
      </c>
    </row>
    <row r="66" spans="1:14" x14ac:dyDescent="0.25">
      <c r="A66">
        <v>3.943943</v>
      </c>
      <c r="B66" s="1">
        <f>DATE(2010,5,4) + TIME(22,39,16)</f>
        <v>40302.943935185183</v>
      </c>
      <c r="C66">
        <v>80</v>
      </c>
      <c r="D66">
        <v>65.668037415000001</v>
      </c>
      <c r="E66">
        <v>50</v>
      </c>
      <c r="F66">
        <v>14.999235153000001</v>
      </c>
      <c r="G66">
        <v>1397.1574707</v>
      </c>
      <c r="H66">
        <v>1379.6960449000001</v>
      </c>
      <c r="I66">
        <v>1315.2636719</v>
      </c>
      <c r="J66">
        <v>1308.3720702999999</v>
      </c>
      <c r="K66">
        <v>1200</v>
      </c>
      <c r="L66">
        <v>0</v>
      </c>
      <c r="M66">
        <v>0</v>
      </c>
      <c r="N66">
        <v>1200</v>
      </c>
    </row>
    <row r="67" spans="1:14" x14ac:dyDescent="0.25">
      <c r="A67">
        <v>4.0185810000000002</v>
      </c>
      <c r="B67" s="1">
        <f>DATE(2010,5,5) + TIME(0,26,45)</f>
        <v>40303.018576388888</v>
      </c>
      <c r="C67">
        <v>80</v>
      </c>
      <c r="D67">
        <v>66.089256286999998</v>
      </c>
      <c r="E67">
        <v>50</v>
      </c>
      <c r="F67">
        <v>14.999242783</v>
      </c>
      <c r="G67">
        <v>1397.0073242000001</v>
      </c>
      <c r="H67">
        <v>1379.6226807</v>
      </c>
      <c r="I67">
        <v>1315.2644043</v>
      </c>
      <c r="J67">
        <v>1308.3723144999999</v>
      </c>
      <c r="K67">
        <v>1200</v>
      </c>
      <c r="L67">
        <v>0</v>
      </c>
      <c r="M67">
        <v>0</v>
      </c>
      <c r="N67">
        <v>1200</v>
      </c>
    </row>
    <row r="68" spans="1:14" x14ac:dyDescent="0.25">
      <c r="A68">
        <v>4.1678559999999996</v>
      </c>
      <c r="B68" s="1">
        <f>DATE(2010,5,5) + TIME(4,1,42)</f>
        <v>40303.167847222219</v>
      </c>
      <c r="C68">
        <v>80</v>
      </c>
      <c r="D68">
        <v>66.882247925000001</v>
      </c>
      <c r="E68">
        <v>50</v>
      </c>
      <c r="F68">
        <v>14.999256133999999</v>
      </c>
      <c r="G68">
        <v>1396.7480469</v>
      </c>
      <c r="H68">
        <v>1379.5328368999999</v>
      </c>
      <c r="I68">
        <v>1315.2650146000001</v>
      </c>
      <c r="J68">
        <v>1308.3725586</v>
      </c>
      <c r="K68">
        <v>1200</v>
      </c>
      <c r="L68">
        <v>0</v>
      </c>
      <c r="M68">
        <v>0</v>
      </c>
      <c r="N68">
        <v>1200</v>
      </c>
    </row>
    <row r="69" spans="1:14" x14ac:dyDescent="0.25">
      <c r="A69">
        <v>4.3172740000000003</v>
      </c>
      <c r="B69" s="1">
        <f>DATE(2010,5,5) + TIME(7,36,52)</f>
        <v>40303.31726851852</v>
      </c>
      <c r="C69">
        <v>80</v>
      </c>
      <c r="D69">
        <v>67.630577087000006</v>
      </c>
      <c r="E69">
        <v>50</v>
      </c>
      <c r="F69">
        <v>14.999269484999999</v>
      </c>
      <c r="G69">
        <v>1396.4765625</v>
      </c>
      <c r="H69">
        <v>1379.3912353999999</v>
      </c>
      <c r="I69">
        <v>1315.2666016000001</v>
      </c>
      <c r="J69">
        <v>1308.3731689000001</v>
      </c>
      <c r="K69">
        <v>1200</v>
      </c>
      <c r="L69">
        <v>0</v>
      </c>
      <c r="M69">
        <v>0</v>
      </c>
      <c r="N69">
        <v>1200</v>
      </c>
    </row>
    <row r="70" spans="1:14" x14ac:dyDescent="0.25">
      <c r="A70">
        <v>4.4673629999999998</v>
      </c>
      <c r="B70" s="1">
        <f>DATE(2010,5,5) + TIME(11,13,0)</f>
        <v>40303.467361111114</v>
      </c>
      <c r="C70">
        <v>80</v>
      </c>
      <c r="D70">
        <v>68.338867187999995</v>
      </c>
      <c r="E70">
        <v>50</v>
      </c>
      <c r="F70">
        <v>14.999281883</v>
      </c>
      <c r="G70">
        <v>1396.2166748</v>
      </c>
      <c r="H70">
        <v>1379.2515868999999</v>
      </c>
      <c r="I70">
        <v>1315.2680664</v>
      </c>
      <c r="J70">
        <v>1308.3737793</v>
      </c>
      <c r="K70">
        <v>1200</v>
      </c>
      <c r="L70">
        <v>0</v>
      </c>
      <c r="M70">
        <v>0</v>
      </c>
      <c r="N70">
        <v>1200</v>
      </c>
    </row>
    <row r="71" spans="1:14" x14ac:dyDescent="0.25">
      <c r="A71">
        <v>4.6183350000000001</v>
      </c>
      <c r="B71" s="1">
        <f>DATE(2010,5,5) + TIME(14,50,24)</f>
        <v>40303.618333333332</v>
      </c>
      <c r="C71">
        <v>80</v>
      </c>
      <c r="D71">
        <v>69.009742736999996</v>
      </c>
      <c r="E71">
        <v>50</v>
      </c>
      <c r="F71">
        <v>14.999294280999999</v>
      </c>
      <c r="G71">
        <v>1395.9672852000001</v>
      </c>
      <c r="H71">
        <v>1379.1140137</v>
      </c>
      <c r="I71">
        <v>1315.2694091999999</v>
      </c>
      <c r="J71">
        <v>1308.3743896000001</v>
      </c>
      <c r="K71">
        <v>1200</v>
      </c>
      <c r="L71">
        <v>0</v>
      </c>
      <c r="M71">
        <v>0</v>
      </c>
      <c r="N71">
        <v>1200</v>
      </c>
    </row>
    <row r="72" spans="1:14" x14ac:dyDescent="0.25">
      <c r="A72">
        <v>4.7704050000000002</v>
      </c>
      <c r="B72" s="1">
        <f>DATE(2010,5,5) + TIME(18,29,23)</f>
        <v>40303.770405092589</v>
      </c>
      <c r="C72">
        <v>80</v>
      </c>
      <c r="D72">
        <v>69.645622252999999</v>
      </c>
      <c r="E72">
        <v>50</v>
      </c>
      <c r="F72">
        <v>14.999305724999999</v>
      </c>
      <c r="G72">
        <v>1395.7274170000001</v>
      </c>
      <c r="H72">
        <v>1378.9780272999999</v>
      </c>
      <c r="I72">
        <v>1315.2707519999999</v>
      </c>
      <c r="J72">
        <v>1308.3748779</v>
      </c>
      <c r="K72">
        <v>1200</v>
      </c>
      <c r="L72">
        <v>0</v>
      </c>
      <c r="M72">
        <v>0</v>
      </c>
      <c r="N72">
        <v>1200</v>
      </c>
    </row>
    <row r="73" spans="1:14" x14ac:dyDescent="0.25">
      <c r="A73">
        <v>4.9237859999999998</v>
      </c>
      <c r="B73" s="1">
        <f>DATE(2010,5,5) + TIME(22,10,15)</f>
        <v>40303.923784722225</v>
      </c>
      <c r="C73">
        <v>80</v>
      </c>
      <c r="D73">
        <v>70.248474121000001</v>
      </c>
      <c r="E73">
        <v>50</v>
      </c>
      <c r="F73">
        <v>14.999317168999999</v>
      </c>
      <c r="G73">
        <v>1395.4960937999999</v>
      </c>
      <c r="H73">
        <v>1378.8433838000001</v>
      </c>
      <c r="I73">
        <v>1315.2720947</v>
      </c>
      <c r="J73">
        <v>1308.3753661999999</v>
      </c>
      <c r="K73">
        <v>1200</v>
      </c>
      <c r="L73">
        <v>0</v>
      </c>
      <c r="M73">
        <v>0</v>
      </c>
      <c r="N73">
        <v>1200</v>
      </c>
    </row>
    <row r="74" spans="1:14" x14ac:dyDescent="0.25">
      <c r="A74">
        <v>5.0786829999999998</v>
      </c>
      <c r="B74" s="1">
        <f>DATE(2010,5,6) + TIME(1,53,18)</f>
        <v>40304.078680555554</v>
      </c>
      <c r="C74">
        <v>80</v>
      </c>
      <c r="D74">
        <v>70.820144653</v>
      </c>
      <c r="E74">
        <v>50</v>
      </c>
      <c r="F74">
        <v>14.999328612999999</v>
      </c>
      <c r="G74">
        <v>1395.2723389</v>
      </c>
      <c r="H74">
        <v>1378.7098389</v>
      </c>
      <c r="I74">
        <v>1315.2733154</v>
      </c>
      <c r="J74">
        <v>1308.3758545000001</v>
      </c>
      <c r="K74">
        <v>1200</v>
      </c>
      <c r="L74">
        <v>0</v>
      </c>
      <c r="M74">
        <v>0</v>
      </c>
      <c r="N74">
        <v>1200</v>
      </c>
    </row>
    <row r="75" spans="1:14" x14ac:dyDescent="0.25">
      <c r="A75">
        <v>5.2352920000000003</v>
      </c>
      <c r="B75" s="1">
        <f>DATE(2010,5,6) + TIME(5,38,49)</f>
        <v>40304.235289351855</v>
      </c>
      <c r="C75">
        <v>80</v>
      </c>
      <c r="D75">
        <v>71.362617493000002</v>
      </c>
      <c r="E75">
        <v>50</v>
      </c>
      <c r="F75">
        <v>14.999339104000001</v>
      </c>
      <c r="G75">
        <v>1395.0554199000001</v>
      </c>
      <c r="H75">
        <v>1378.5771483999999</v>
      </c>
      <c r="I75">
        <v>1315.2745361</v>
      </c>
      <c r="J75">
        <v>1308.3763428</v>
      </c>
      <c r="K75">
        <v>1200</v>
      </c>
      <c r="L75">
        <v>0</v>
      </c>
      <c r="M75">
        <v>0</v>
      </c>
      <c r="N75">
        <v>1200</v>
      </c>
    </row>
    <row r="76" spans="1:14" x14ac:dyDescent="0.25">
      <c r="A76">
        <v>5.3938610000000002</v>
      </c>
      <c r="B76" s="1">
        <f>DATE(2010,5,6) + TIME(9,27,9)</f>
        <v>40304.393854166665</v>
      </c>
      <c r="C76">
        <v>80</v>
      </c>
      <c r="D76">
        <v>71.877586364999999</v>
      </c>
      <c r="E76">
        <v>50</v>
      </c>
      <c r="F76">
        <v>14.999349594</v>
      </c>
      <c r="G76">
        <v>1394.8444824000001</v>
      </c>
      <c r="H76">
        <v>1378.4449463000001</v>
      </c>
      <c r="I76">
        <v>1315.2756348</v>
      </c>
      <c r="J76">
        <v>1308.3768310999999</v>
      </c>
      <c r="K76">
        <v>1200</v>
      </c>
      <c r="L76">
        <v>0</v>
      </c>
      <c r="M76">
        <v>0</v>
      </c>
      <c r="N76">
        <v>1200</v>
      </c>
    </row>
    <row r="77" spans="1:14" x14ac:dyDescent="0.25">
      <c r="A77">
        <v>5.5546170000000004</v>
      </c>
      <c r="B77" s="1">
        <f>DATE(2010,5,6) + TIME(13,18,38)</f>
        <v>40304.554606481484</v>
      </c>
      <c r="C77">
        <v>80</v>
      </c>
      <c r="D77">
        <v>72.366531371999997</v>
      </c>
      <c r="E77">
        <v>50</v>
      </c>
      <c r="F77">
        <v>14.999360084999999</v>
      </c>
      <c r="G77">
        <v>1394.6391602000001</v>
      </c>
      <c r="H77">
        <v>1378.3132324000001</v>
      </c>
      <c r="I77">
        <v>1315.2768555</v>
      </c>
      <c r="J77">
        <v>1308.3773193</v>
      </c>
      <c r="K77">
        <v>1200</v>
      </c>
      <c r="L77">
        <v>0</v>
      </c>
      <c r="M77">
        <v>0</v>
      </c>
      <c r="N77">
        <v>1200</v>
      </c>
    </row>
    <row r="78" spans="1:14" x14ac:dyDescent="0.25">
      <c r="A78">
        <v>5.7177949999999997</v>
      </c>
      <c r="B78" s="1">
        <f>DATE(2010,5,6) + TIME(17,13,37)</f>
        <v>40304.717789351853</v>
      </c>
      <c r="C78">
        <v>80</v>
      </c>
      <c r="D78">
        <v>72.830810546999999</v>
      </c>
      <c r="E78">
        <v>50</v>
      </c>
      <c r="F78">
        <v>14.999370575</v>
      </c>
      <c r="G78">
        <v>1394.4384766000001</v>
      </c>
      <c r="H78">
        <v>1378.1816406</v>
      </c>
      <c r="I78">
        <v>1315.2779541</v>
      </c>
      <c r="J78">
        <v>1308.3776855000001</v>
      </c>
      <c r="K78">
        <v>1200</v>
      </c>
      <c r="L78">
        <v>0</v>
      </c>
      <c r="M78">
        <v>0</v>
      </c>
      <c r="N78">
        <v>1200</v>
      </c>
    </row>
    <row r="79" spans="1:14" x14ac:dyDescent="0.25">
      <c r="A79">
        <v>5.8836440000000003</v>
      </c>
      <c r="B79" s="1">
        <f>DATE(2010,5,6) + TIME(21,12,26)</f>
        <v>40304.883634259262</v>
      </c>
      <c r="C79">
        <v>80</v>
      </c>
      <c r="D79">
        <v>73.271667480000005</v>
      </c>
      <c r="E79">
        <v>50</v>
      </c>
      <c r="F79">
        <v>14.999380112000001</v>
      </c>
      <c r="G79">
        <v>1394.2423096</v>
      </c>
      <c r="H79">
        <v>1378.0501709</v>
      </c>
      <c r="I79">
        <v>1315.2790527</v>
      </c>
      <c r="J79">
        <v>1308.3781738</v>
      </c>
      <c r="K79">
        <v>1200</v>
      </c>
      <c r="L79">
        <v>0</v>
      </c>
      <c r="M79">
        <v>0</v>
      </c>
      <c r="N79">
        <v>1200</v>
      </c>
    </row>
    <row r="80" spans="1:14" x14ac:dyDescent="0.25">
      <c r="A80">
        <v>6.0522109999999998</v>
      </c>
      <c r="B80" s="1">
        <f>DATE(2010,5,7) + TIME(1,15,11)</f>
        <v>40305.052210648151</v>
      </c>
      <c r="C80">
        <v>80</v>
      </c>
      <c r="D80">
        <v>73.689750670999999</v>
      </c>
      <c r="E80">
        <v>50</v>
      </c>
      <c r="F80">
        <v>14.999390602</v>
      </c>
      <c r="G80">
        <v>1394.0499268000001</v>
      </c>
      <c r="H80">
        <v>1377.918457</v>
      </c>
      <c r="I80">
        <v>1315.2800293</v>
      </c>
      <c r="J80">
        <v>1308.3785399999999</v>
      </c>
      <c r="K80">
        <v>1200</v>
      </c>
      <c r="L80">
        <v>0</v>
      </c>
      <c r="M80">
        <v>0</v>
      </c>
      <c r="N80">
        <v>1200</v>
      </c>
    </row>
    <row r="81" spans="1:14" x14ac:dyDescent="0.25">
      <c r="A81">
        <v>6.2237400000000003</v>
      </c>
      <c r="B81" s="1">
        <f>DATE(2010,5,7) + TIME(5,22,11)</f>
        <v>40305.223738425928</v>
      </c>
      <c r="C81">
        <v>80</v>
      </c>
      <c r="D81">
        <v>74.086166382000002</v>
      </c>
      <c r="E81">
        <v>50</v>
      </c>
      <c r="F81">
        <v>14.999400139</v>
      </c>
      <c r="G81">
        <v>1393.8612060999999</v>
      </c>
      <c r="H81">
        <v>1377.7866211</v>
      </c>
      <c r="I81">
        <v>1315.2811279</v>
      </c>
      <c r="J81">
        <v>1308.3789062000001</v>
      </c>
      <c r="K81">
        <v>1200</v>
      </c>
      <c r="L81">
        <v>0</v>
      </c>
      <c r="M81">
        <v>0</v>
      </c>
      <c r="N81">
        <v>1200</v>
      </c>
    </row>
    <row r="82" spans="1:14" x14ac:dyDescent="0.25">
      <c r="A82">
        <v>6.3984949999999996</v>
      </c>
      <c r="B82" s="1">
        <f>DATE(2010,5,7) + TIME(9,33,50)</f>
        <v>40305.398495370369</v>
      </c>
      <c r="C82">
        <v>80</v>
      </c>
      <c r="D82">
        <v>74.461929321</v>
      </c>
      <c r="E82">
        <v>50</v>
      </c>
      <c r="F82">
        <v>14.999408722</v>
      </c>
      <c r="G82">
        <v>1393.6755370999999</v>
      </c>
      <c r="H82">
        <v>1377.6542969</v>
      </c>
      <c r="I82">
        <v>1315.2821045000001</v>
      </c>
      <c r="J82">
        <v>1308.3792725000001</v>
      </c>
      <c r="K82">
        <v>1200</v>
      </c>
      <c r="L82">
        <v>0</v>
      </c>
      <c r="M82">
        <v>0</v>
      </c>
      <c r="N82">
        <v>1200</v>
      </c>
    </row>
    <row r="83" spans="1:14" x14ac:dyDescent="0.25">
      <c r="A83">
        <v>6.5767600000000002</v>
      </c>
      <c r="B83" s="1">
        <f>DATE(2010,5,7) + TIME(13,50,32)</f>
        <v>40305.57675925926</v>
      </c>
      <c r="C83">
        <v>80</v>
      </c>
      <c r="D83">
        <v>74.818008422999995</v>
      </c>
      <c r="E83">
        <v>50</v>
      </c>
      <c r="F83">
        <v>14.999418259</v>
      </c>
      <c r="G83">
        <v>1393.4926757999999</v>
      </c>
      <c r="H83">
        <v>1377.5216064000001</v>
      </c>
      <c r="I83">
        <v>1315.2830810999999</v>
      </c>
      <c r="J83">
        <v>1308.3796387</v>
      </c>
      <c r="K83">
        <v>1200</v>
      </c>
      <c r="L83">
        <v>0</v>
      </c>
      <c r="M83">
        <v>0</v>
      </c>
      <c r="N83">
        <v>1200</v>
      </c>
    </row>
    <row r="84" spans="1:14" x14ac:dyDescent="0.25">
      <c r="A84">
        <v>6.7588340000000002</v>
      </c>
      <c r="B84" s="1">
        <f>DATE(2010,5,7) + TIME(18,12,43)</f>
        <v>40305.758831018517</v>
      </c>
      <c r="C84">
        <v>80</v>
      </c>
      <c r="D84">
        <v>75.155174255000006</v>
      </c>
      <c r="E84">
        <v>50</v>
      </c>
      <c r="F84">
        <v>14.999427795000001</v>
      </c>
      <c r="G84">
        <v>1393.3122559000001</v>
      </c>
      <c r="H84">
        <v>1377.3881836</v>
      </c>
      <c r="I84">
        <v>1315.2840576000001</v>
      </c>
      <c r="J84">
        <v>1308.3800048999999</v>
      </c>
      <c r="K84">
        <v>1200</v>
      </c>
      <c r="L84">
        <v>0</v>
      </c>
      <c r="M84">
        <v>0</v>
      </c>
      <c r="N84">
        <v>1200</v>
      </c>
    </row>
    <row r="85" spans="1:14" x14ac:dyDescent="0.25">
      <c r="A85">
        <v>6.9451200000000002</v>
      </c>
      <c r="B85" s="1">
        <f>DATE(2010,5,7) + TIME(22,40,58)</f>
        <v>40305.945115740738</v>
      </c>
      <c r="C85">
        <v>80</v>
      </c>
      <c r="D85">
        <v>75.474365234000004</v>
      </c>
      <c r="E85">
        <v>50</v>
      </c>
      <c r="F85">
        <v>14.999436378</v>
      </c>
      <c r="G85">
        <v>1393.1337891000001</v>
      </c>
      <c r="H85">
        <v>1377.2539062000001</v>
      </c>
      <c r="I85">
        <v>1315.2850341999999</v>
      </c>
      <c r="J85">
        <v>1308.3803711</v>
      </c>
      <c r="K85">
        <v>1200</v>
      </c>
      <c r="L85">
        <v>0</v>
      </c>
      <c r="M85">
        <v>0</v>
      </c>
      <c r="N85">
        <v>1200</v>
      </c>
    </row>
    <row r="86" spans="1:14" x14ac:dyDescent="0.25">
      <c r="A86">
        <v>7.1359050000000002</v>
      </c>
      <c r="B86" s="1">
        <f>DATE(2010,5,8) + TIME(3,15,42)</f>
        <v>40306.13590277778</v>
      </c>
      <c r="C86">
        <v>80</v>
      </c>
      <c r="D86">
        <v>75.776367187999995</v>
      </c>
      <c r="E86">
        <v>50</v>
      </c>
      <c r="F86">
        <v>14.999444962</v>
      </c>
      <c r="G86">
        <v>1392.9569091999999</v>
      </c>
      <c r="H86">
        <v>1377.1186522999999</v>
      </c>
      <c r="I86">
        <v>1315.2860106999999</v>
      </c>
      <c r="J86">
        <v>1308.3806152</v>
      </c>
      <c r="K86">
        <v>1200</v>
      </c>
      <c r="L86">
        <v>0</v>
      </c>
      <c r="M86">
        <v>0</v>
      </c>
      <c r="N86">
        <v>1200</v>
      </c>
    </row>
    <row r="87" spans="1:14" x14ac:dyDescent="0.25">
      <c r="A87">
        <v>7.3315659999999996</v>
      </c>
      <c r="B87" s="1">
        <f>DATE(2010,5,8) + TIME(7,57,27)</f>
        <v>40306.331562500003</v>
      </c>
      <c r="C87">
        <v>80</v>
      </c>
      <c r="D87">
        <v>76.061904906999999</v>
      </c>
      <c r="E87">
        <v>50</v>
      </c>
      <c r="F87">
        <v>14.999454498</v>
      </c>
      <c r="G87">
        <v>1392.7814940999999</v>
      </c>
      <c r="H87">
        <v>1376.9822998</v>
      </c>
      <c r="I87">
        <v>1315.2868652</v>
      </c>
      <c r="J87">
        <v>1308.3809814000001</v>
      </c>
      <c r="K87">
        <v>1200</v>
      </c>
      <c r="L87">
        <v>0</v>
      </c>
      <c r="M87">
        <v>0</v>
      </c>
      <c r="N87">
        <v>1200</v>
      </c>
    </row>
    <row r="88" spans="1:14" x14ac:dyDescent="0.25">
      <c r="A88">
        <v>7.5325230000000003</v>
      </c>
      <c r="B88" s="1">
        <f>DATE(2010,5,8) + TIME(12,46,50)</f>
        <v>40306.532523148147</v>
      </c>
      <c r="C88">
        <v>80</v>
      </c>
      <c r="D88">
        <v>76.331680297999995</v>
      </c>
      <c r="E88">
        <v>50</v>
      </c>
      <c r="F88">
        <v>14.999463081</v>
      </c>
      <c r="G88">
        <v>1392.6071777</v>
      </c>
      <c r="H88">
        <v>1376.8446045000001</v>
      </c>
      <c r="I88">
        <v>1315.2878418</v>
      </c>
      <c r="J88">
        <v>1308.3813477000001</v>
      </c>
      <c r="K88">
        <v>1200</v>
      </c>
      <c r="L88">
        <v>0</v>
      </c>
      <c r="M88">
        <v>0</v>
      </c>
      <c r="N88">
        <v>1200</v>
      </c>
    </row>
    <row r="89" spans="1:14" x14ac:dyDescent="0.25">
      <c r="A89">
        <v>7.739236</v>
      </c>
      <c r="B89" s="1">
        <f>DATE(2010,5,8) + TIME(17,44,29)</f>
        <v>40306.739224537036</v>
      </c>
      <c r="C89">
        <v>80</v>
      </c>
      <c r="D89">
        <v>76.586334229000002</v>
      </c>
      <c r="E89">
        <v>50</v>
      </c>
      <c r="F89">
        <v>14.999471664</v>
      </c>
      <c r="G89">
        <v>1392.4334716999999</v>
      </c>
      <c r="H89">
        <v>1376.7055664</v>
      </c>
      <c r="I89">
        <v>1315.2886963000001</v>
      </c>
      <c r="J89">
        <v>1308.3815918</v>
      </c>
      <c r="K89">
        <v>1200</v>
      </c>
      <c r="L89">
        <v>0</v>
      </c>
      <c r="M89">
        <v>0</v>
      </c>
      <c r="N89">
        <v>1200</v>
      </c>
    </row>
    <row r="90" spans="1:14" x14ac:dyDescent="0.25">
      <c r="A90">
        <v>7.9522110000000001</v>
      </c>
      <c r="B90" s="1">
        <f>DATE(2010,5,8) + TIME(22,51,11)</f>
        <v>40306.952210648145</v>
      </c>
      <c r="C90">
        <v>80</v>
      </c>
      <c r="D90">
        <v>76.826477050999998</v>
      </c>
      <c r="E90">
        <v>50</v>
      </c>
      <c r="F90">
        <v>14.999480246999999</v>
      </c>
      <c r="G90">
        <v>1392.2602539</v>
      </c>
      <c r="H90">
        <v>1376.5648193</v>
      </c>
      <c r="I90">
        <v>1315.2895507999999</v>
      </c>
      <c r="J90">
        <v>1308.3819579999999</v>
      </c>
      <c r="K90">
        <v>1200</v>
      </c>
      <c r="L90">
        <v>0</v>
      </c>
      <c r="M90">
        <v>0</v>
      </c>
      <c r="N90">
        <v>1200</v>
      </c>
    </row>
    <row r="91" spans="1:14" x14ac:dyDescent="0.25">
      <c r="A91">
        <v>8.1720190000000006</v>
      </c>
      <c r="B91" s="1">
        <f>DATE(2010,5,9) + TIME(4,7,42)</f>
        <v>40307.172013888892</v>
      </c>
      <c r="C91">
        <v>80</v>
      </c>
      <c r="D91">
        <v>77.052696228000002</v>
      </c>
      <c r="E91">
        <v>50</v>
      </c>
      <c r="F91">
        <v>14.999488831000001</v>
      </c>
      <c r="G91">
        <v>1392.0870361</v>
      </c>
      <c r="H91">
        <v>1376.4222411999999</v>
      </c>
      <c r="I91">
        <v>1315.2904053</v>
      </c>
      <c r="J91">
        <v>1308.3823242000001</v>
      </c>
      <c r="K91">
        <v>1200</v>
      </c>
      <c r="L91">
        <v>0</v>
      </c>
      <c r="M91">
        <v>0</v>
      </c>
      <c r="N91">
        <v>1200</v>
      </c>
    </row>
    <row r="92" spans="1:14" x14ac:dyDescent="0.25">
      <c r="A92">
        <v>8.3992880000000003</v>
      </c>
      <c r="B92" s="1">
        <f>DATE(2010,5,9) + TIME(9,34,58)</f>
        <v>40307.399282407408</v>
      </c>
      <c r="C92">
        <v>80</v>
      </c>
      <c r="D92">
        <v>77.265548706000004</v>
      </c>
      <c r="E92">
        <v>50</v>
      </c>
      <c r="F92">
        <v>14.99949646</v>
      </c>
      <c r="G92">
        <v>1391.9136963000001</v>
      </c>
      <c r="H92">
        <v>1376.2777100000001</v>
      </c>
      <c r="I92">
        <v>1315.2913818</v>
      </c>
      <c r="J92">
        <v>1308.3825684000001</v>
      </c>
      <c r="K92">
        <v>1200</v>
      </c>
      <c r="L92">
        <v>0</v>
      </c>
      <c r="M92">
        <v>0</v>
      </c>
      <c r="N92">
        <v>1200</v>
      </c>
    </row>
    <row r="93" spans="1:14" x14ac:dyDescent="0.25">
      <c r="A93">
        <v>8.6347229999999993</v>
      </c>
      <c r="B93" s="1">
        <f>DATE(2010,5,9) + TIME(15,14,0)</f>
        <v>40307.634722222225</v>
      </c>
      <c r="C93">
        <v>80</v>
      </c>
      <c r="D93">
        <v>77.465553283999995</v>
      </c>
      <c r="E93">
        <v>50</v>
      </c>
      <c r="F93">
        <v>14.999505042999999</v>
      </c>
      <c r="G93">
        <v>1391.7398682</v>
      </c>
      <c r="H93">
        <v>1376.1309814000001</v>
      </c>
      <c r="I93">
        <v>1315.2922363</v>
      </c>
      <c r="J93">
        <v>1308.3829346</v>
      </c>
      <c r="K93">
        <v>1200</v>
      </c>
      <c r="L93">
        <v>0</v>
      </c>
      <c r="M93">
        <v>0</v>
      </c>
      <c r="N93">
        <v>1200</v>
      </c>
    </row>
    <row r="94" spans="1:14" x14ac:dyDescent="0.25">
      <c r="A94">
        <v>8.8791189999999993</v>
      </c>
      <c r="B94" s="1">
        <f>DATE(2010,5,9) + TIME(21,5,55)</f>
        <v>40307.879108796296</v>
      </c>
      <c r="C94">
        <v>80</v>
      </c>
      <c r="D94">
        <v>77.653190613000007</v>
      </c>
      <c r="E94">
        <v>50</v>
      </c>
      <c r="F94">
        <v>14.999513626000001</v>
      </c>
      <c r="G94">
        <v>1391.5650635</v>
      </c>
      <c r="H94">
        <v>1375.9815673999999</v>
      </c>
      <c r="I94">
        <v>1315.2930908000001</v>
      </c>
      <c r="J94">
        <v>1308.3831786999999</v>
      </c>
      <c r="K94">
        <v>1200</v>
      </c>
      <c r="L94">
        <v>0</v>
      </c>
      <c r="M94">
        <v>0</v>
      </c>
      <c r="N94">
        <v>1200</v>
      </c>
    </row>
    <row r="95" spans="1:14" x14ac:dyDescent="0.25">
      <c r="A95">
        <v>9.004937</v>
      </c>
      <c r="B95" s="1">
        <f>DATE(2010,5,10) + TIME(0,7,6)</f>
        <v>40308.004930555559</v>
      </c>
      <c r="C95">
        <v>80</v>
      </c>
      <c r="D95">
        <v>77.744827271000005</v>
      </c>
      <c r="E95">
        <v>50</v>
      </c>
      <c r="F95">
        <v>14.999518394000001</v>
      </c>
      <c r="G95">
        <v>1391.4101562000001</v>
      </c>
      <c r="H95">
        <v>1375.8308105000001</v>
      </c>
      <c r="I95">
        <v>1315.2937012</v>
      </c>
      <c r="J95">
        <v>1308.3833007999999</v>
      </c>
      <c r="K95">
        <v>1200</v>
      </c>
      <c r="L95">
        <v>0</v>
      </c>
      <c r="M95">
        <v>0</v>
      </c>
      <c r="N95">
        <v>1200</v>
      </c>
    </row>
    <row r="96" spans="1:14" x14ac:dyDescent="0.25">
      <c r="A96">
        <v>9.2565749999999998</v>
      </c>
      <c r="B96" s="1">
        <f>DATE(2010,5,10) + TIME(6,9,28)</f>
        <v>40308.256574074076</v>
      </c>
      <c r="C96">
        <v>80</v>
      </c>
      <c r="D96">
        <v>77.909912109000004</v>
      </c>
      <c r="E96">
        <v>50</v>
      </c>
      <c r="F96">
        <v>14.999526024</v>
      </c>
      <c r="G96">
        <v>1391.3007812000001</v>
      </c>
      <c r="H96">
        <v>1375.7521973</v>
      </c>
      <c r="I96">
        <v>1315.2940673999999</v>
      </c>
      <c r="J96">
        <v>1308.3833007999999</v>
      </c>
      <c r="K96">
        <v>1200</v>
      </c>
      <c r="L96">
        <v>0</v>
      </c>
      <c r="M96">
        <v>0</v>
      </c>
      <c r="N96">
        <v>1200</v>
      </c>
    </row>
    <row r="97" spans="1:14" x14ac:dyDescent="0.25">
      <c r="A97">
        <v>9.5082629999999995</v>
      </c>
      <c r="B97" s="1">
        <f>DATE(2010,5,10) + TIME(12,11,53)</f>
        <v>40308.508252314816</v>
      </c>
      <c r="C97">
        <v>80</v>
      </c>
      <c r="D97">
        <v>78.058715820000003</v>
      </c>
      <c r="E97">
        <v>50</v>
      </c>
      <c r="F97">
        <v>14.999534606999999</v>
      </c>
      <c r="G97">
        <v>1391.1295166</v>
      </c>
      <c r="H97">
        <v>1375.6010742000001</v>
      </c>
      <c r="I97">
        <v>1315.2950439000001</v>
      </c>
      <c r="J97">
        <v>1308.3837891000001</v>
      </c>
      <c r="K97">
        <v>1200</v>
      </c>
      <c r="L97">
        <v>0</v>
      </c>
      <c r="M97">
        <v>0</v>
      </c>
      <c r="N97">
        <v>1200</v>
      </c>
    </row>
    <row r="98" spans="1:14" x14ac:dyDescent="0.25">
      <c r="A98">
        <v>9.7605380000000004</v>
      </c>
      <c r="B98" s="1">
        <f>DATE(2010,5,10) + TIME(18,15,10)</f>
        <v>40308.76053240741</v>
      </c>
      <c r="C98">
        <v>80</v>
      </c>
      <c r="D98">
        <v>78.193130492999998</v>
      </c>
      <c r="E98">
        <v>50</v>
      </c>
      <c r="F98">
        <v>14.999542236</v>
      </c>
      <c r="G98">
        <v>1390.9622803</v>
      </c>
      <c r="H98">
        <v>1375.4523925999999</v>
      </c>
      <c r="I98">
        <v>1315.2957764</v>
      </c>
      <c r="J98">
        <v>1308.3840332</v>
      </c>
      <c r="K98">
        <v>1200</v>
      </c>
      <c r="L98">
        <v>0</v>
      </c>
      <c r="M98">
        <v>0</v>
      </c>
      <c r="N98">
        <v>1200</v>
      </c>
    </row>
    <row r="99" spans="1:14" x14ac:dyDescent="0.25">
      <c r="A99">
        <v>10.013832000000001</v>
      </c>
      <c r="B99" s="1">
        <f>DATE(2010,5,11) + TIME(0,19,55)</f>
        <v>40309.013831018521</v>
      </c>
      <c r="C99">
        <v>80</v>
      </c>
      <c r="D99">
        <v>78.314697265999996</v>
      </c>
      <c r="E99">
        <v>50</v>
      </c>
      <c r="F99">
        <v>14.999548912</v>
      </c>
      <c r="G99">
        <v>1390.7990723</v>
      </c>
      <c r="H99">
        <v>1375.3061522999999</v>
      </c>
      <c r="I99">
        <v>1315.2965088000001</v>
      </c>
      <c r="J99">
        <v>1308.3842772999999</v>
      </c>
      <c r="K99">
        <v>1200</v>
      </c>
      <c r="L99">
        <v>0</v>
      </c>
      <c r="M99">
        <v>0</v>
      </c>
      <c r="N99">
        <v>1200</v>
      </c>
    </row>
    <row r="100" spans="1:14" x14ac:dyDescent="0.25">
      <c r="A100">
        <v>10.268563</v>
      </c>
      <c r="B100" s="1">
        <f>DATE(2010,5,11) + TIME(6,26,43)</f>
        <v>40309.268553240741</v>
      </c>
      <c r="C100">
        <v>80</v>
      </c>
      <c r="D100">
        <v>78.424781799000002</v>
      </c>
      <c r="E100">
        <v>50</v>
      </c>
      <c r="F100">
        <v>14.999556541</v>
      </c>
      <c r="G100">
        <v>1390.6394043</v>
      </c>
      <c r="H100">
        <v>1375.1622314000001</v>
      </c>
      <c r="I100">
        <v>1315.2972411999999</v>
      </c>
      <c r="J100">
        <v>1308.3843993999999</v>
      </c>
      <c r="K100">
        <v>1200</v>
      </c>
      <c r="L100">
        <v>0</v>
      </c>
      <c r="M100">
        <v>0</v>
      </c>
      <c r="N100">
        <v>1200</v>
      </c>
    </row>
    <row r="101" spans="1:14" x14ac:dyDescent="0.25">
      <c r="A101">
        <v>10.524597</v>
      </c>
      <c r="B101" s="1">
        <f>DATE(2010,5,11) + TIME(12,35,25)</f>
        <v>40309.524594907409</v>
      </c>
      <c r="C101">
        <v>80</v>
      </c>
      <c r="D101">
        <v>78.524375915999997</v>
      </c>
      <c r="E101">
        <v>50</v>
      </c>
      <c r="F101">
        <v>14.999564170999999</v>
      </c>
      <c r="G101">
        <v>1390.4830322</v>
      </c>
      <c r="H101">
        <v>1375.0202637</v>
      </c>
      <c r="I101">
        <v>1315.2978516000001</v>
      </c>
      <c r="J101">
        <v>1308.3846435999999</v>
      </c>
      <c r="K101">
        <v>1200</v>
      </c>
      <c r="L101">
        <v>0</v>
      </c>
      <c r="M101">
        <v>0</v>
      </c>
      <c r="N101">
        <v>1200</v>
      </c>
    </row>
    <row r="102" spans="1:14" x14ac:dyDescent="0.25">
      <c r="A102">
        <v>10.782216</v>
      </c>
      <c r="B102" s="1">
        <f>DATE(2010,5,11) + TIME(18,46,23)</f>
        <v>40309.782210648147</v>
      </c>
      <c r="C102">
        <v>80</v>
      </c>
      <c r="D102">
        <v>78.614532471000004</v>
      </c>
      <c r="E102">
        <v>50</v>
      </c>
      <c r="F102">
        <v>14.999570846999999</v>
      </c>
      <c r="G102">
        <v>1390.3297118999999</v>
      </c>
      <c r="H102">
        <v>1374.880249</v>
      </c>
      <c r="I102">
        <v>1315.2985839999999</v>
      </c>
      <c r="J102">
        <v>1308.3847656</v>
      </c>
      <c r="K102">
        <v>1200</v>
      </c>
      <c r="L102">
        <v>0</v>
      </c>
      <c r="M102">
        <v>0</v>
      </c>
      <c r="N102">
        <v>1200</v>
      </c>
    </row>
    <row r="103" spans="1:14" x14ac:dyDescent="0.25">
      <c r="A103">
        <v>11.041809000000001</v>
      </c>
      <c r="B103" s="1">
        <f>DATE(2010,5,12) + TIME(1,0,12)</f>
        <v>40310.041805555556</v>
      </c>
      <c r="C103">
        <v>80</v>
      </c>
      <c r="D103">
        <v>78.696212768999999</v>
      </c>
      <c r="E103">
        <v>50</v>
      </c>
      <c r="F103">
        <v>14.999577521999999</v>
      </c>
      <c r="G103">
        <v>1390.1793213000001</v>
      </c>
      <c r="H103">
        <v>1374.7421875</v>
      </c>
      <c r="I103">
        <v>1315.2991943</v>
      </c>
      <c r="J103">
        <v>1308.3848877</v>
      </c>
      <c r="K103">
        <v>1200</v>
      </c>
      <c r="L103">
        <v>0</v>
      </c>
      <c r="M103">
        <v>0</v>
      </c>
      <c r="N103">
        <v>1200</v>
      </c>
    </row>
    <row r="104" spans="1:14" x14ac:dyDescent="0.25">
      <c r="A104">
        <v>11.303742</v>
      </c>
      <c r="B104" s="1">
        <f>DATE(2010,5,12) + TIME(7,17,23)</f>
        <v>40310.303738425922</v>
      </c>
      <c r="C104">
        <v>80</v>
      </c>
      <c r="D104">
        <v>78.770263671999999</v>
      </c>
      <c r="E104">
        <v>50</v>
      </c>
      <c r="F104">
        <v>14.999584198000001</v>
      </c>
      <c r="G104">
        <v>1390.03125</v>
      </c>
      <c r="H104">
        <v>1374.6055908000001</v>
      </c>
      <c r="I104">
        <v>1315.2998047000001</v>
      </c>
      <c r="J104">
        <v>1308.3850098</v>
      </c>
      <c r="K104">
        <v>1200</v>
      </c>
      <c r="L104">
        <v>0</v>
      </c>
      <c r="M104">
        <v>0</v>
      </c>
      <c r="N104">
        <v>1200</v>
      </c>
    </row>
    <row r="105" spans="1:14" x14ac:dyDescent="0.25">
      <c r="A105">
        <v>11.568382</v>
      </c>
      <c r="B105" s="1">
        <f>DATE(2010,5,12) + TIME(13,38,28)</f>
        <v>40310.568379629629</v>
      </c>
      <c r="C105">
        <v>80</v>
      </c>
      <c r="D105">
        <v>78.837432860999996</v>
      </c>
      <c r="E105">
        <v>50</v>
      </c>
      <c r="F105">
        <v>14.999590874000001</v>
      </c>
      <c r="G105">
        <v>1389.885376</v>
      </c>
      <c r="H105">
        <v>1374.4705810999999</v>
      </c>
      <c r="I105">
        <v>1315.3004149999999</v>
      </c>
      <c r="J105">
        <v>1308.3852539</v>
      </c>
      <c r="K105">
        <v>1200</v>
      </c>
      <c r="L105">
        <v>0</v>
      </c>
      <c r="M105">
        <v>0</v>
      </c>
      <c r="N105">
        <v>1200</v>
      </c>
    </row>
    <row r="106" spans="1:14" x14ac:dyDescent="0.25">
      <c r="A106">
        <v>11.836107</v>
      </c>
      <c r="B106" s="1">
        <f>DATE(2010,5,12) + TIME(20,3,59)</f>
        <v>40310.836099537039</v>
      </c>
      <c r="C106">
        <v>80</v>
      </c>
      <c r="D106">
        <v>78.898376464999998</v>
      </c>
      <c r="E106">
        <v>50</v>
      </c>
      <c r="F106">
        <v>14.999597549000001</v>
      </c>
      <c r="G106">
        <v>1389.7414550999999</v>
      </c>
      <c r="H106">
        <v>1374.3367920000001</v>
      </c>
      <c r="I106">
        <v>1315.3010254000001</v>
      </c>
      <c r="J106">
        <v>1308.385376</v>
      </c>
      <c r="K106">
        <v>1200</v>
      </c>
      <c r="L106">
        <v>0</v>
      </c>
      <c r="M106">
        <v>0</v>
      </c>
      <c r="N106">
        <v>1200</v>
      </c>
    </row>
    <row r="107" spans="1:14" x14ac:dyDescent="0.25">
      <c r="A107">
        <v>12.107301</v>
      </c>
      <c r="B107" s="1">
        <f>DATE(2010,5,13) + TIME(2,34,30)</f>
        <v>40311.107291666667</v>
      </c>
      <c r="C107">
        <v>80</v>
      </c>
      <c r="D107">
        <v>78.953689574999999</v>
      </c>
      <c r="E107">
        <v>50</v>
      </c>
      <c r="F107">
        <v>14.999603271</v>
      </c>
      <c r="G107">
        <v>1389.5991211</v>
      </c>
      <c r="H107">
        <v>1374.2039795000001</v>
      </c>
      <c r="I107">
        <v>1315.3015137</v>
      </c>
      <c r="J107">
        <v>1308.3854980000001</v>
      </c>
      <c r="K107">
        <v>1200</v>
      </c>
      <c r="L107">
        <v>0</v>
      </c>
      <c r="M107">
        <v>0</v>
      </c>
      <c r="N107">
        <v>1200</v>
      </c>
    </row>
    <row r="108" spans="1:14" x14ac:dyDescent="0.25">
      <c r="A108">
        <v>12.382365999999999</v>
      </c>
      <c r="B108" s="1">
        <f>DATE(2010,5,13) + TIME(9,10,36)</f>
        <v>40311.382361111115</v>
      </c>
      <c r="C108">
        <v>80</v>
      </c>
      <c r="D108">
        <v>79.003898621000005</v>
      </c>
      <c r="E108">
        <v>50</v>
      </c>
      <c r="F108">
        <v>14.999609947</v>
      </c>
      <c r="G108">
        <v>1389.4582519999999</v>
      </c>
      <c r="H108">
        <v>1374.0720214999999</v>
      </c>
      <c r="I108">
        <v>1315.302124</v>
      </c>
      <c r="J108">
        <v>1308.3856201000001</v>
      </c>
      <c r="K108">
        <v>1200</v>
      </c>
      <c r="L108">
        <v>0</v>
      </c>
      <c r="M108">
        <v>0</v>
      </c>
      <c r="N108">
        <v>1200</v>
      </c>
    </row>
    <row r="109" spans="1:14" x14ac:dyDescent="0.25">
      <c r="A109">
        <v>12.661723</v>
      </c>
      <c r="B109" s="1">
        <f>DATE(2010,5,13) + TIME(15,52,52)</f>
        <v>40311.661712962959</v>
      </c>
      <c r="C109">
        <v>80</v>
      </c>
      <c r="D109">
        <v>79.049476623999993</v>
      </c>
      <c r="E109">
        <v>50</v>
      </c>
      <c r="F109">
        <v>14.999615669000001</v>
      </c>
      <c r="G109">
        <v>1389.3184814000001</v>
      </c>
      <c r="H109">
        <v>1373.940918</v>
      </c>
      <c r="I109">
        <v>1315.3027344</v>
      </c>
      <c r="J109">
        <v>1308.3857422000001</v>
      </c>
      <c r="K109">
        <v>1200</v>
      </c>
      <c r="L109">
        <v>0</v>
      </c>
      <c r="M109">
        <v>0</v>
      </c>
      <c r="N109">
        <v>1200</v>
      </c>
    </row>
    <row r="110" spans="1:14" x14ac:dyDescent="0.25">
      <c r="A110">
        <v>12.945807</v>
      </c>
      <c r="B110" s="1">
        <f>DATE(2010,5,13) + TIME(22,41,57)</f>
        <v>40311.945798611108</v>
      </c>
      <c r="C110">
        <v>80</v>
      </c>
      <c r="D110">
        <v>79.090843200999998</v>
      </c>
      <c r="E110">
        <v>50</v>
      </c>
      <c r="F110">
        <v>14.999622345000001</v>
      </c>
      <c r="G110">
        <v>1389.1798096</v>
      </c>
      <c r="H110">
        <v>1373.8101807</v>
      </c>
      <c r="I110">
        <v>1315.3032227000001</v>
      </c>
      <c r="J110">
        <v>1308.3857422000001</v>
      </c>
      <c r="K110">
        <v>1200</v>
      </c>
      <c r="L110">
        <v>0</v>
      </c>
      <c r="M110">
        <v>0</v>
      </c>
      <c r="N110">
        <v>1200</v>
      </c>
    </row>
    <row r="111" spans="1:14" x14ac:dyDescent="0.25">
      <c r="A111">
        <v>13.235150000000001</v>
      </c>
      <c r="B111" s="1">
        <f>DATE(2010,5,14) + TIME(5,38,36)</f>
        <v>40312.235138888886</v>
      </c>
      <c r="C111">
        <v>80</v>
      </c>
      <c r="D111">
        <v>79.128387450999995</v>
      </c>
      <c r="E111">
        <v>50</v>
      </c>
      <c r="F111">
        <v>14.999628067</v>
      </c>
      <c r="G111">
        <v>1389.0417480000001</v>
      </c>
      <c r="H111">
        <v>1373.6799315999999</v>
      </c>
      <c r="I111">
        <v>1315.3038329999999</v>
      </c>
      <c r="J111">
        <v>1308.3858643000001</v>
      </c>
      <c r="K111">
        <v>1200</v>
      </c>
      <c r="L111">
        <v>0</v>
      </c>
      <c r="M111">
        <v>0</v>
      </c>
      <c r="N111">
        <v>1200</v>
      </c>
    </row>
    <row r="112" spans="1:14" x14ac:dyDescent="0.25">
      <c r="A112">
        <v>13.53027</v>
      </c>
      <c r="B112" s="1">
        <f>DATE(2010,5,14) + TIME(12,43,35)</f>
        <v>40312.530266203707</v>
      </c>
      <c r="C112">
        <v>80</v>
      </c>
      <c r="D112">
        <v>79.162460327000005</v>
      </c>
      <c r="E112">
        <v>50</v>
      </c>
      <c r="F112">
        <v>14.999634743</v>
      </c>
      <c r="G112">
        <v>1388.9042969</v>
      </c>
      <c r="H112">
        <v>1373.5499268000001</v>
      </c>
      <c r="I112">
        <v>1315.3043213000001</v>
      </c>
      <c r="J112">
        <v>1308.3859863</v>
      </c>
      <c r="K112">
        <v>1200</v>
      </c>
      <c r="L112">
        <v>0</v>
      </c>
      <c r="M112">
        <v>0</v>
      </c>
      <c r="N112">
        <v>1200</v>
      </c>
    </row>
    <row r="113" spans="1:14" x14ac:dyDescent="0.25">
      <c r="A113">
        <v>13.831642</v>
      </c>
      <c r="B113" s="1">
        <f>DATE(2010,5,14) + TIME(19,57,33)</f>
        <v>40312.831631944442</v>
      </c>
      <c r="C113">
        <v>80</v>
      </c>
      <c r="D113">
        <v>79.193359375</v>
      </c>
      <c r="E113">
        <v>50</v>
      </c>
      <c r="F113">
        <v>14.999640465000001</v>
      </c>
      <c r="G113">
        <v>1388.7670897999999</v>
      </c>
      <c r="H113">
        <v>1373.4199219</v>
      </c>
      <c r="I113">
        <v>1315.3048096</v>
      </c>
      <c r="J113">
        <v>1308.3859863</v>
      </c>
      <c r="K113">
        <v>1200</v>
      </c>
      <c r="L113">
        <v>0</v>
      </c>
      <c r="M113">
        <v>0</v>
      </c>
      <c r="N113">
        <v>1200</v>
      </c>
    </row>
    <row r="114" spans="1:14" x14ac:dyDescent="0.25">
      <c r="A114">
        <v>14.139853</v>
      </c>
      <c r="B114" s="1">
        <f>DATE(2010,5,15) + TIME(3,21,23)</f>
        <v>40313.139849537038</v>
      </c>
      <c r="C114">
        <v>80</v>
      </c>
      <c r="D114">
        <v>79.221366881999998</v>
      </c>
      <c r="E114">
        <v>50</v>
      </c>
      <c r="F114">
        <v>14.999647141000001</v>
      </c>
      <c r="G114">
        <v>1388.6300048999999</v>
      </c>
      <c r="H114">
        <v>1373.2897949000001</v>
      </c>
      <c r="I114">
        <v>1315.3054199000001</v>
      </c>
      <c r="J114">
        <v>1308.3861084</v>
      </c>
      <c r="K114">
        <v>1200</v>
      </c>
      <c r="L114">
        <v>0</v>
      </c>
      <c r="M114">
        <v>0</v>
      </c>
      <c r="N114">
        <v>1200</v>
      </c>
    </row>
    <row r="115" spans="1:14" x14ac:dyDescent="0.25">
      <c r="A115">
        <v>14.455539</v>
      </c>
      <c r="B115" s="1">
        <f>DATE(2010,5,15) + TIME(10,55,58)</f>
        <v>40313.45553240741</v>
      </c>
      <c r="C115">
        <v>80</v>
      </c>
      <c r="D115">
        <v>79.246742248999993</v>
      </c>
      <c r="E115">
        <v>50</v>
      </c>
      <c r="F115">
        <v>14.999652863</v>
      </c>
      <c r="G115">
        <v>1388.4927978999999</v>
      </c>
      <c r="H115">
        <v>1373.1595459</v>
      </c>
      <c r="I115">
        <v>1315.3059082</v>
      </c>
      <c r="J115">
        <v>1308.3862305</v>
      </c>
      <c r="K115">
        <v>1200</v>
      </c>
      <c r="L115">
        <v>0</v>
      </c>
      <c r="M115">
        <v>0</v>
      </c>
      <c r="N115">
        <v>1200</v>
      </c>
    </row>
    <row r="116" spans="1:14" x14ac:dyDescent="0.25">
      <c r="A116">
        <v>14.779396999999999</v>
      </c>
      <c r="B116" s="1">
        <f>DATE(2010,5,15) + TIME(18,42,19)</f>
        <v>40313.779386574075</v>
      </c>
      <c r="C116">
        <v>80</v>
      </c>
      <c r="D116">
        <v>79.269721985000004</v>
      </c>
      <c r="E116">
        <v>50</v>
      </c>
      <c r="F116">
        <v>14.999659538</v>
      </c>
      <c r="G116">
        <v>1388.3553466999999</v>
      </c>
      <c r="H116">
        <v>1373.0286865</v>
      </c>
      <c r="I116">
        <v>1315.3065185999999</v>
      </c>
      <c r="J116">
        <v>1308.3862305</v>
      </c>
      <c r="K116">
        <v>1200</v>
      </c>
      <c r="L116">
        <v>0</v>
      </c>
      <c r="M116">
        <v>0</v>
      </c>
      <c r="N116">
        <v>1200</v>
      </c>
    </row>
    <row r="117" spans="1:14" x14ac:dyDescent="0.25">
      <c r="A117">
        <v>15.112221999999999</v>
      </c>
      <c r="B117" s="1">
        <f>DATE(2010,5,16) + TIME(2,41,35)</f>
        <v>40314.112210648149</v>
      </c>
      <c r="C117">
        <v>80</v>
      </c>
      <c r="D117">
        <v>79.290519713999998</v>
      </c>
      <c r="E117">
        <v>50</v>
      </c>
      <c r="F117">
        <v>14.99966526</v>
      </c>
      <c r="G117">
        <v>1388.2174072</v>
      </c>
      <c r="H117">
        <v>1372.8973389</v>
      </c>
      <c r="I117">
        <v>1315.3070068</v>
      </c>
      <c r="J117">
        <v>1308.3863524999999</v>
      </c>
      <c r="K117">
        <v>1200</v>
      </c>
      <c r="L117">
        <v>0</v>
      </c>
      <c r="M117">
        <v>0</v>
      </c>
      <c r="N117">
        <v>1200</v>
      </c>
    </row>
    <row r="118" spans="1:14" x14ac:dyDescent="0.25">
      <c r="A118">
        <v>15.454867999999999</v>
      </c>
      <c r="B118" s="1">
        <f>DATE(2010,5,16) + TIME(10,55,0)</f>
        <v>40314.454861111109</v>
      </c>
      <c r="C118">
        <v>80</v>
      </c>
      <c r="D118">
        <v>79.309326171999999</v>
      </c>
      <c r="E118">
        <v>50</v>
      </c>
      <c r="F118">
        <v>14.999671936</v>
      </c>
      <c r="G118">
        <v>1388.0788574000001</v>
      </c>
      <c r="H118">
        <v>1372.7650146000001</v>
      </c>
      <c r="I118">
        <v>1315.3076172000001</v>
      </c>
      <c r="J118">
        <v>1308.3863524999999</v>
      </c>
      <c r="K118">
        <v>1200</v>
      </c>
      <c r="L118">
        <v>0</v>
      </c>
      <c r="M118">
        <v>0</v>
      </c>
      <c r="N118">
        <v>1200</v>
      </c>
    </row>
    <row r="119" spans="1:14" x14ac:dyDescent="0.25">
      <c r="A119">
        <v>15.807848</v>
      </c>
      <c r="B119" s="1">
        <f>DATE(2010,5,16) + TIME(19,23,18)</f>
        <v>40314.807847222219</v>
      </c>
      <c r="C119">
        <v>80</v>
      </c>
      <c r="D119">
        <v>79.326293945000003</v>
      </c>
      <c r="E119">
        <v>50</v>
      </c>
      <c r="F119">
        <v>14.999677658</v>
      </c>
      <c r="G119">
        <v>1387.9392089999999</v>
      </c>
      <c r="H119">
        <v>1372.6318358999999</v>
      </c>
      <c r="I119">
        <v>1315.3081055</v>
      </c>
      <c r="J119">
        <v>1308.3864745999999</v>
      </c>
      <c r="K119">
        <v>1200</v>
      </c>
      <c r="L119">
        <v>0</v>
      </c>
      <c r="M119">
        <v>0</v>
      </c>
      <c r="N119">
        <v>1200</v>
      </c>
    </row>
    <row r="120" spans="1:14" x14ac:dyDescent="0.25">
      <c r="A120">
        <v>16.171751</v>
      </c>
      <c r="B120" s="1">
        <f>DATE(2010,5,17) + TIME(4,7,19)</f>
        <v>40315.171747685185</v>
      </c>
      <c r="C120">
        <v>80</v>
      </c>
      <c r="D120">
        <v>79.341590881000002</v>
      </c>
      <c r="E120">
        <v>50</v>
      </c>
      <c r="F120">
        <v>14.999684333999999</v>
      </c>
      <c r="G120">
        <v>1387.7984618999999</v>
      </c>
      <c r="H120">
        <v>1372.4974365</v>
      </c>
      <c r="I120">
        <v>1315.3087158000001</v>
      </c>
      <c r="J120">
        <v>1308.3864745999999</v>
      </c>
      <c r="K120">
        <v>1200</v>
      </c>
      <c r="L120">
        <v>0</v>
      </c>
      <c r="M120">
        <v>0</v>
      </c>
      <c r="N120">
        <v>1200</v>
      </c>
    </row>
    <row r="121" spans="1:14" x14ac:dyDescent="0.25">
      <c r="A121">
        <v>16.547132999999999</v>
      </c>
      <c r="B121" s="1">
        <f>DATE(2010,5,17) + TIME(13,7,52)</f>
        <v>40315.547129629631</v>
      </c>
      <c r="C121">
        <v>80</v>
      </c>
      <c r="D121">
        <v>79.355339049999998</v>
      </c>
      <c r="E121">
        <v>50</v>
      </c>
      <c r="F121">
        <v>14.999691009999999</v>
      </c>
      <c r="G121">
        <v>1387.6566161999999</v>
      </c>
      <c r="H121">
        <v>1372.3619385</v>
      </c>
      <c r="I121">
        <v>1315.3093262</v>
      </c>
      <c r="J121">
        <v>1308.3864745999999</v>
      </c>
      <c r="K121">
        <v>1200</v>
      </c>
      <c r="L121">
        <v>0</v>
      </c>
      <c r="M121">
        <v>0</v>
      </c>
      <c r="N121">
        <v>1200</v>
      </c>
    </row>
    <row r="122" spans="1:14" x14ac:dyDescent="0.25">
      <c r="A122">
        <v>16.736499999999999</v>
      </c>
      <c r="B122" s="1">
        <f>DATE(2010,5,17) + TIME(17,40,33)</f>
        <v>40315.736493055556</v>
      </c>
      <c r="C122">
        <v>80</v>
      </c>
      <c r="D122">
        <v>79.361778259000005</v>
      </c>
      <c r="E122">
        <v>50</v>
      </c>
      <c r="F122">
        <v>14.999693871</v>
      </c>
      <c r="G122">
        <v>1387.5142822</v>
      </c>
      <c r="H122">
        <v>1372.2241211</v>
      </c>
      <c r="I122">
        <v>1315.3095702999999</v>
      </c>
      <c r="J122">
        <v>1308.3862305</v>
      </c>
      <c r="K122">
        <v>1200</v>
      </c>
      <c r="L122">
        <v>0</v>
      </c>
      <c r="M122">
        <v>0</v>
      </c>
      <c r="N122">
        <v>1200</v>
      </c>
    </row>
    <row r="123" spans="1:14" x14ac:dyDescent="0.25">
      <c r="A123">
        <v>16.925867</v>
      </c>
      <c r="B123" s="1">
        <f>DATE(2010,5,17) + TIME(22,13,14)</f>
        <v>40315.925856481481</v>
      </c>
      <c r="C123">
        <v>80</v>
      </c>
      <c r="D123">
        <v>79.367782593000001</v>
      </c>
      <c r="E123">
        <v>50</v>
      </c>
      <c r="F123">
        <v>14.999697684999999</v>
      </c>
      <c r="G123">
        <v>1387.4420166</v>
      </c>
      <c r="H123">
        <v>1372.1550293</v>
      </c>
      <c r="I123">
        <v>1315.3093262</v>
      </c>
      <c r="J123">
        <v>1308.3856201000001</v>
      </c>
      <c r="K123">
        <v>1200</v>
      </c>
      <c r="L123">
        <v>0</v>
      </c>
      <c r="M123">
        <v>0</v>
      </c>
      <c r="N123">
        <v>1200</v>
      </c>
    </row>
    <row r="124" spans="1:14" x14ac:dyDescent="0.25">
      <c r="A124">
        <v>17.304601999999999</v>
      </c>
      <c r="B124" s="1">
        <f>DATE(2010,5,18) + TIME(7,18,37)</f>
        <v>40316.304594907408</v>
      </c>
      <c r="C124">
        <v>80</v>
      </c>
      <c r="D124">
        <v>79.378303528000004</v>
      </c>
      <c r="E124">
        <v>50</v>
      </c>
      <c r="F124">
        <v>14.999703407</v>
      </c>
      <c r="G124">
        <v>1387.3718262</v>
      </c>
      <c r="H124">
        <v>1372.0893555</v>
      </c>
      <c r="I124">
        <v>1315.3099365</v>
      </c>
      <c r="J124">
        <v>1308.3859863</v>
      </c>
      <c r="K124">
        <v>1200</v>
      </c>
      <c r="L124">
        <v>0</v>
      </c>
      <c r="M124">
        <v>0</v>
      </c>
      <c r="N124">
        <v>1200</v>
      </c>
    </row>
    <row r="125" spans="1:14" x14ac:dyDescent="0.25">
      <c r="A125">
        <v>17.683465999999999</v>
      </c>
      <c r="B125" s="1">
        <f>DATE(2010,5,18) + TIME(16,24,11)</f>
        <v>40316.68346064815</v>
      </c>
      <c r="C125">
        <v>80</v>
      </c>
      <c r="D125">
        <v>79.387504578000005</v>
      </c>
      <c r="E125">
        <v>50</v>
      </c>
      <c r="F125">
        <v>14.999709128999999</v>
      </c>
      <c r="G125">
        <v>1387.234375</v>
      </c>
      <c r="H125">
        <v>1371.9580077999999</v>
      </c>
      <c r="I125">
        <v>1315.3107910000001</v>
      </c>
      <c r="J125">
        <v>1308.3863524999999</v>
      </c>
      <c r="K125">
        <v>1200</v>
      </c>
      <c r="L125">
        <v>0</v>
      </c>
      <c r="M125">
        <v>0</v>
      </c>
      <c r="N125">
        <v>1200</v>
      </c>
    </row>
    <row r="126" spans="1:14" x14ac:dyDescent="0.25">
      <c r="A126">
        <v>18.063344000000001</v>
      </c>
      <c r="B126" s="1">
        <f>DATE(2010,5,19) + TIME(1,31,12)</f>
        <v>40317.063333333332</v>
      </c>
      <c r="C126">
        <v>80</v>
      </c>
      <c r="D126">
        <v>79.395591736</v>
      </c>
      <c r="E126">
        <v>50</v>
      </c>
      <c r="F126">
        <v>14.999715804999999</v>
      </c>
      <c r="G126">
        <v>1387.0992432</v>
      </c>
      <c r="H126">
        <v>1371.8287353999999</v>
      </c>
      <c r="I126">
        <v>1315.3112793</v>
      </c>
      <c r="J126">
        <v>1308.3863524999999</v>
      </c>
      <c r="K126">
        <v>1200</v>
      </c>
      <c r="L126">
        <v>0</v>
      </c>
      <c r="M126">
        <v>0</v>
      </c>
      <c r="N126">
        <v>1200</v>
      </c>
    </row>
    <row r="127" spans="1:14" x14ac:dyDescent="0.25">
      <c r="A127">
        <v>18.444828000000001</v>
      </c>
      <c r="B127" s="1">
        <f>DATE(2010,5,19) + TIME(10,40,33)</f>
        <v>40317.444826388892</v>
      </c>
      <c r="C127">
        <v>80</v>
      </c>
      <c r="D127">
        <v>79.402717589999995</v>
      </c>
      <c r="E127">
        <v>50</v>
      </c>
      <c r="F127">
        <v>14.999721527</v>
      </c>
      <c r="G127">
        <v>1386.9665527</v>
      </c>
      <c r="H127">
        <v>1371.7019043</v>
      </c>
      <c r="I127">
        <v>1315.3117675999999</v>
      </c>
      <c r="J127">
        <v>1308.3862305</v>
      </c>
      <c r="K127">
        <v>1200</v>
      </c>
      <c r="L127">
        <v>0</v>
      </c>
      <c r="M127">
        <v>0</v>
      </c>
      <c r="N127">
        <v>1200</v>
      </c>
    </row>
    <row r="128" spans="1:14" x14ac:dyDescent="0.25">
      <c r="A128">
        <v>18.828513000000001</v>
      </c>
      <c r="B128" s="1">
        <f>DATE(2010,5,19) + TIME(19,53,3)</f>
        <v>40317.828506944446</v>
      </c>
      <c r="C128">
        <v>80</v>
      </c>
      <c r="D128">
        <v>79.409019470000004</v>
      </c>
      <c r="E128">
        <v>50</v>
      </c>
      <c r="F128">
        <v>14.999727248999999</v>
      </c>
      <c r="G128">
        <v>1386.8359375</v>
      </c>
      <c r="H128">
        <v>1371.5770264</v>
      </c>
      <c r="I128">
        <v>1315.3122559000001</v>
      </c>
      <c r="J128">
        <v>1308.3862305</v>
      </c>
      <c r="K128">
        <v>1200</v>
      </c>
      <c r="L128">
        <v>0</v>
      </c>
      <c r="M128">
        <v>0</v>
      </c>
      <c r="N128">
        <v>1200</v>
      </c>
    </row>
    <row r="129" spans="1:14" x14ac:dyDescent="0.25">
      <c r="A129">
        <v>19.214959</v>
      </c>
      <c r="B129" s="1">
        <f>DATE(2010,5,20) + TIME(5,9,32)</f>
        <v>40318.214953703704</v>
      </c>
      <c r="C129">
        <v>80</v>
      </c>
      <c r="D129">
        <v>79.414611816000004</v>
      </c>
      <c r="E129">
        <v>50</v>
      </c>
      <c r="F129">
        <v>14.999732971</v>
      </c>
      <c r="G129">
        <v>1386.7072754000001</v>
      </c>
      <c r="H129">
        <v>1371.4541016000001</v>
      </c>
      <c r="I129">
        <v>1315.3127440999999</v>
      </c>
      <c r="J129">
        <v>1308.3861084</v>
      </c>
      <c r="K129">
        <v>1200</v>
      </c>
      <c r="L129">
        <v>0</v>
      </c>
      <c r="M129">
        <v>0</v>
      </c>
      <c r="N129">
        <v>1200</v>
      </c>
    </row>
    <row r="130" spans="1:14" x14ac:dyDescent="0.25">
      <c r="A130">
        <v>19.604731000000001</v>
      </c>
      <c r="B130" s="1">
        <f>DATE(2010,5,20) + TIME(14,30,48)</f>
        <v>40318.604722222219</v>
      </c>
      <c r="C130">
        <v>80</v>
      </c>
      <c r="D130">
        <v>79.419586182000003</v>
      </c>
      <c r="E130">
        <v>50</v>
      </c>
      <c r="F130">
        <v>14.999738692999999</v>
      </c>
      <c r="G130">
        <v>1386.5802002</v>
      </c>
      <c r="H130">
        <v>1371.3327637</v>
      </c>
      <c r="I130">
        <v>1315.3132324000001</v>
      </c>
      <c r="J130">
        <v>1308.3861084</v>
      </c>
      <c r="K130">
        <v>1200</v>
      </c>
      <c r="L130">
        <v>0</v>
      </c>
      <c r="M130">
        <v>0</v>
      </c>
      <c r="N130">
        <v>1200</v>
      </c>
    </row>
    <row r="131" spans="1:14" x14ac:dyDescent="0.25">
      <c r="A131">
        <v>19.998397000000001</v>
      </c>
      <c r="B131" s="1">
        <f>DATE(2010,5,20) + TIME(23,57,41)</f>
        <v>40318.998391203706</v>
      </c>
      <c r="C131">
        <v>80</v>
      </c>
      <c r="D131">
        <v>79.424026488999999</v>
      </c>
      <c r="E131">
        <v>50</v>
      </c>
      <c r="F131">
        <v>14.999744415</v>
      </c>
      <c r="G131">
        <v>1386.4545897999999</v>
      </c>
      <c r="H131">
        <v>1371.2127685999999</v>
      </c>
      <c r="I131">
        <v>1315.3137207</v>
      </c>
      <c r="J131">
        <v>1308.3859863</v>
      </c>
      <c r="K131">
        <v>1200</v>
      </c>
      <c r="L131">
        <v>0</v>
      </c>
      <c r="M131">
        <v>0</v>
      </c>
      <c r="N131">
        <v>1200</v>
      </c>
    </row>
    <row r="132" spans="1:14" x14ac:dyDescent="0.25">
      <c r="A132">
        <v>20.396540999999999</v>
      </c>
      <c r="B132" s="1">
        <f>DATE(2010,5,21) + TIME(9,31,1)</f>
        <v>40319.396539351852</v>
      </c>
      <c r="C132">
        <v>80</v>
      </c>
      <c r="D132">
        <v>79.428001404</v>
      </c>
      <c r="E132">
        <v>50</v>
      </c>
      <c r="F132">
        <v>14.999750136999999</v>
      </c>
      <c r="G132">
        <v>1386.3302002</v>
      </c>
      <c r="H132">
        <v>1371.0941161999999</v>
      </c>
      <c r="I132">
        <v>1315.3142089999999</v>
      </c>
      <c r="J132">
        <v>1308.3858643000001</v>
      </c>
      <c r="K132">
        <v>1200</v>
      </c>
      <c r="L132">
        <v>0</v>
      </c>
      <c r="M132">
        <v>0</v>
      </c>
      <c r="N132">
        <v>1200</v>
      </c>
    </row>
    <row r="133" spans="1:14" x14ac:dyDescent="0.25">
      <c r="A133">
        <v>20.799759999999999</v>
      </c>
      <c r="B133" s="1">
        <f>DATE(2010,5,21) + TIME(19,11,39)</f>
        <v>40319.799756944441</v>
      </c>
      <c r="C133">
        <v>80</v>
      </c>
      <c r="D133">
        <v>79.431571959999999</v>
      </c>
      <c r="E133">
        <v>50</v>
      </c>
      <c r="F133">
        <v>14.999755859</v>
      </c>
      <c r="G133">
        <v>1386.2066649999999</v>
      </c>
      <c r="H133">
        <v>1370.9764404</v>
      </c>
      <c r="I133">
        <v>1315.3146973</v>
      </c>
      <c r="J133">
        <v>1308.3857422000001</v>
      </c>
      <c r="K133">
        <v>1200</v>
      </c>
      <c r="L133">
        <v>0</v>
      </c>
      <c r="M133">
        <v>0</v>
      </c>
      <c r="N133">
        <v>1200</v>
      </c>
    </row>
    <row r="134" spans="1:14" x14ac:dyDescent="0.25">
      <c r="A134">
        <v>21.208683000000001</v>
      </c>
      <c r="B134" s="1">
        <f>DATE(2010,5,22) + TIME(5,0,30)</f>
        <v>40320.208680555559</v>
      </c>
      <c r="C134">
        <v>80</v>
      </c>
      <c r="D134">
        <v>79.434791564999998</v>
      </c>
      <c r="E134">
        <v>50</v>
      </c>
      <c r="F134">
        <v>14.999761581</v>
      </c>
      <c r="G134">
        <v>1386.0841064000001</v>
      </c>
      <c r="H134">
        <v>1370.8594971</v>
      </c>
      <c r="I134">
        <v>1315.3151855000001</v>
      </c>
      <c r="J134">
        <v>1308.3857422000001</v>
      </c>
      <c r="K134">
        <v>1200</v>
      </c>
      <c r="L134">
        <v>0</v>
      </c>
      <c r="M134">
        <v>0</v>
      </c>
      <c r="N134">
        <v>1200</v>
      </c>
    </row>
    <row r="135" spans="1:14" x14ac:dyDescent="0.25">
      <c r="A135">
        <v>21.623964999999998</v>
      </c>
      <c r="B135" s="1">
        <f>DATE(2010,5,22) + TIME(14,58,30)</f>
        <v>40320.62395833333</v>
      </c>
      <c r="C135">
        <v>80</v>
      </c>
      <c r="D135">
        <v>79.437705993999998</v>
      </c>
      <c r="E135">
        <v>50</v>
      </c>
      <c r="F135">
        <v>14.999767303</v>
      </c>
      <c r="G135">
        <v>1385.9620361</v>
      </c>
      <c r="H135">
        <v>1370.7432861</v>
      </c>
      <c r="I135">
        <v>1315.3156738</v>
      </c>
      <c r="J135">
        <v>1308.3856201000001</v>
      </c>
      <c r="K135">
        <v>1200</v>
      </c>
      <c r="L135">
        <v>0</v>
      </c>
      <c r="M135">
        <v>0</v>
      </c>
      <c r="N135">
        <v>1200</v>
      </c>
    </row>
    <row r="136" spans="1:14" x14ac:dyDescent="0.25">
      <c r="A136">
        <v>22.046396999999999</v>
      </c>
      <c r="B136" s="1">
        <f>DATE(2010,5,23) + TIME(1,6,48)</f>
        <v>40321.046388888892</v>
      </c>
      <c r="C136">
        <v>80</v>
      </c>
      <c r="D136">
        <v>79.440345764</v>
      </c>
      <c r="E136">
        <v>50</v>
      </c>
      <c r="F136">
        <v>14.999773026</v>
      </c>
      <c r="G136">
        <v>1385.8404541</v>
      </c>
      <c r="H136">
        <v>1370.6275635</v>
      </c>
      <c r="I136">
        <v>1315.3161620999999</v>
      </c>
      <c r="J136">
        <v>1308.3854980000001</v>
      </c>
      <c r="K136">
        <v>1200</v>
      </c>
      <c r="L136">
        <v>0</v>
      </c>
      <c r="M136">
        <v>0</v>
      </c>
      <c r="N136">
        <v>1200</v>
      </c>
    </row>
    <row r="137" spans="1:14" x14ac:dyDescent="0.25">
      <c r="A137">
        <v>22.476714999999999</v>
      </c>
      <c r="B137" s="1">
        <f>DATE(2010,5,23) + TIME(11,26,28)</f>
        <v>40321.476712962962</v>
      </c>
      <c r="C137">
        <v>80</v>
      </c>
      <c r="D137">
        <v>79.442756653000004</v>
      </c>
      <c r="E137">
        <v>50</v>
      </c>
      <c r="F137">
        <v>14.999778748000001</v>
      </c>
      <c r="G137">
        <v>1385.7191161999999</v>
      </c>
      <c r="H137">
        <v>1370.5120850000001</v>
      </c>
      <c r="I137">
        <v>1315.3166504000001</v>
      </c>
      <c r="J137">
        <v>1308.385376</v>
      </c>
      <c r="K137">
        <v>1200</v>
      </c>
      <c r="L137">
        <v>0</v>
      </c>
      <c r="M137">
        <v>0</v>
      </c>
      <c r="N137">
        <v>1200</v>
      </c>
    </row>
    <row r="138" spans="1:14" x14ac:dyDescent="0.25">
      <c r="A138">
        <v>22.915624999999999</v>
      </c>
      <c r="B138" s="1">
        <f>DATE(2010,5,23) + TIME(21,58,29)</f>
        <v>40321.915613425925</v>
      </c>
      <c r="C138">
        <v>80</v>
      </c>
      <c r="D138">
        <v>79.444961547999995</v>
      </c>
      <c r="E138">
        <v>50</v>
      </c>
      <c r="F138">
        <v>14.99978447</v>
      </c>
      <c r="G138">
        <v>1385.5979004000001</v>
      </c>
      <c r="H138">
        <v>1370.3968506000001</v>
      </c>
      <c r="I138">
        <v>1315.3171387</v>
      </c>
      <c r="J138">
        <v>1308.3852539</v>
      </c>
      <c r="K138">
        <v>1200</v>
      </c>
      <c r="L138">
        <v>0</v>
      </c>
      <c r="M138">
        <v>0</v>
      </c>
      <c r="N138">
        <v>1200</v>
      </c>
    </row>
    <row r="139" spans="1:14" x14ac:dyDescent="0.25">
      <c r="A139">
        <v>23.363983000000001</v>
      </c>
      <c r="B139" s="1">
        <f>DATE(2010,5,24) + TIME(8,44,8)</f>
        <v>40322.363981481481</v>
      </c>
      <c r="C139">
        <v>80</v>
      </c>
      <c r="D139">
        <v>79.446998596</v>
      </c>
      <c r="E139">
        <v>50</v>
      </c>
      <c r="F139">
        <v>14.999790192000001</v>
      </c>
      <c r="G139">
        <v>1385.4764404</v>
      </c>
      <c r="H139">
        <v>1370.2814940999999</v>
      </c>
      <c r="I139">
        <v>1315.3176269999999</v>
      </c>
      <c r="J139">
        <v>1308.3851318</v>
      </c>
      <c r="K139">
        <v>1200</v>
      </c>
      <c r="L139">
        <v>0</v>
      </c>
      <c r="M139">
        <v>0</v>
      </c>
      <c r="N139">
        <v>1200</v>
      </c>
    </row>
    <row r="140" spans="1:14" x14ac:dyDescent="0.25">
      <c r="A140">
        <v>23.822748000000001</v>
      </c>
      <c r="B140" s="1">
        <f>DATE(2010,5,24) + TIME(19,44,45)</f>
        <v>40322.822743055556</v>
      </c>
      <c r="C140">
        <v>80</v>
      </c>
      <c r="D140">
        <v>79.448875427000004</v>
      </c>
      <c r="E140">
        <v>50</v>
      </c>
      <c r="F140">
        <v>14.999795914</v>
      </c>
      <c r="G140">
        <v>1385.3547363</v>
      </c>
      <c r="H140">
        <v>1370.1660156</v>
      </c>
      <c r="I140">
        <v>1315.3182373</v>
      </c>
      <c r="J140">
        <v>1308.3850098</v>
      </c>
      <c r="K140">
        <v>1200</v>
      </c>
      <c r="L140">
        <v>0</v>
      </c>
      <c r="M140">
        <v>0</v>
      </c>
      <c r="N140">
        <v>1200</v>
      </c>
    </row>
    <row r="141" spans="1:14" x14ac:dyDescent="0.25">
      <c r="A141">
        <v>24.292975999999999</v>
      </c>
      <c r="B141" s="1">
        <f>DATE(2010,5,25) + TIME(7,1,53)</f>
        <v>40323.292974537035</v>
      </c>
      <c r="C141">
        <v>80</v>
      </c>
      <c r="D141">
        <v>79.450614928999997</v>
      </c>
      <c r="E141">
        <v>50</v>
      </c>
      <c r="F141">
        <v>14.999801636000001</v>
      </c>
      <c r="G141">
        <v>1385.2325439000001</v>
      </c>
      <c r="H141">
        <v>1370.0500488</v>
      </c>
      <c r="I141">
        <v>1315.3187256000001</v>
      </c>
      <c r="J141">
        <v>1308.3848877</v>
      </c>
      <c r="K141">
        <v>1200</v>
      </c>
      <c r="L141">
        <v>0</v>
      </c>
      <c r="M141">
        <v>0</v>
      </c>
      <c r="N141">
        <v>1200</v>
      </c>
    </row>
    <row r="142" spans="1:14" x14ac:dyDescent="0.25">
      <c r="A142">
        <v>24.774671000000001</v>
      </c>
      <c r="B142" s="1">
        <f>DATE(2010,5,25) + TIME(18,35,31)</f>
        <v>40323.774664351855</v>
      </c>
      <c r="C142">
        <v>80</v>
      </c>
      <c r="D142">
        <v>79.452247619999994</v>
      </c>
      <c r="E142">
        <v>50</v>
      </c>
      <c r="F142">
        <v>14.999807358</v>
      </c>
      <c r="G142">
        <v>1385.1097411999999</v>
      </c>
      <c r="H142">
        <v>1369.9335937999999</v>
      </c>
      <c r="I142">
        <v>1315.3192139</v>
      </c>
      <c r="J142">
        <v>1308.3846435999999</v>
      </c>
      <c r="K142">
        <v>1200</v>
      </c>
      <c r="L142">
        <v>0</v>
      </c>
      <c r="M142">
        <v>0</v>
      </c>
      <c r="N142">
        <v>1200</v>
      </c>
    </row>
    <row r="143" spans="1:14" x14ac:dyDescent="0.25">
      <c r="A143">
        <v>25.268591000000001</v>
      </c>
      <c r="B143" s="1">
        <f>DATE(2010,5,26) + TIME(6,26,46)</f>
        <v>40324.268587962964</v>
      </c>
      <c r="C143">
        <v>80</v>
      </c>
      <c r="D143">
        <v>79.453773498999993</v>
      </c>
      <c r="E143">
        <v>50</v>
      </c>
      <c r="F143">
        <v>14.999813079999999</v>
      </c>
      <c r="G143">
        <v>1384.9862060999999</v>
      </c>
      <c r="H143">
        <v>1369.8166504000001</v>
      </c>
      <c r="I143">
        <v>1315.3198242000001</v>
      </c>
      <c r="J143">
        <v>1308.3845214999999</v>
      </c>
      <c r="K143">
        <v>1200</v>
      </c>
      <c r="L143">
        <v>0</v>
      </c>
      <c r="M143">
        <v>0</v>
      </c>
      <c r="N143">
        <v>1200</v>
      </c>
    </row>
    <row r="144" spans="1:14" x14ac:dyDescent="0.25">
      <c r="A144">
        <v>25.520240999999999</v>
      </c>
      <c r="B144" s="1">
        <f>DATE(2010,5,26) + TIME(12,29,8)</f>
        <v>40324.520231481481</v>
      </c>
      <c r="C144">
        <v>80</v>
      </c>
      <c r="D144">
        <v>79.454490661999998</v>
      </c>
      <c r="E144">
        <v>50</v>
      </c>
      <c r="F144">
        <v>14.999815941</v>
      </c>
      <c r="G144">
        <v>1384.8610839999999</v>
      </c>
      <c r="H144">
        <v>1369.6977539</v>
      </c>
      <c r="I144">
        <v>1315.3200684000001</v>
      </c>
      <c r="J144">
        <v>1308.3840332</v>
      </c>
      <c r="K144">
        <v>1200</v>
      </c>
      <c r="L144">
        <v>0</v>
      </c>
      <c r="M144">
        <v>0</v>
      </c>
      <c r="N144">
        <v>1200</v>
      </c>
    </row>
    <row r="145" spans="1:14" x14ac:dyDescent="0.25">
      <c r="A145">
        <v>25.771891</v>
      </c>
      <c r="B145" s="1">
        <f>DATE(2010,5,26) + TIME(18,31,31)</f>
        <v>40324.771886574075</v>
      </c>
      <c r="C145">
        <v>80</v>
      </c>
      <c r="D145">
        <v>79.455192565999994</v>
      </c>
      <c r="E145">
        <v>50</v>
      </c>
      <c r="F145">
        <v>14.999819756000001</v>
      </c>
      <c r="G145">
        <v>1384.7976074000001</v>
      </c>
      <c r="H145">
        <v>1369.6375731999999</v>
      </c>
      <c r="I145">
        <v>1315.3197021000001</v>
      </c>
      <c r="J145">
        <v>1308.3833007999999</v>
      </c>
      <c r="K145">
        <v>1200</v>
      </c>
      <c r="L145">
        <v>0</v>
      </c>
      <c r="M145">
        <v>0</v>
      </c>
      <c r="N145">
        <v>1200</v>
      </c>
    </row>
    <row r="146" spans="1:14" x14ac:dyDescent="0.25">
      <c r="A146">
        <v>26.023541000000002</v>
      </c>
      <c r="B146" s="1">
        <f>DATE(2010,5,27) + TIME(0,33,53)</f>
        <v>40325.023530092592</v>
      </c>
      <c r="C146">
        <v>80</v>
      </c>
      <c r="D146">
        <v>79.455863953000005</v>
      </c>
      <c r="E146">
        <v>50</v>
      </c>
      <c r="F146">
        <v>14.999822617</v>
      </c>
      <c r="G146">
        <v>1384.7355957</v>
      </c>
      <c r="H146">
        <v>1369.5788574000001</v>
      </c>
      <c r="I146">
        <v>1315.3198242000001</v>
      </c>
      <c r="J146">
        <v>1308.3830565999999</v>
      </c>
      <c r="K146">
        <v>1200</v>
      </c>
      <c r="L146">
        <v>0</v>
      </c>
      <c r="M146">
        <v>0</v>
      </c>
      <c r="N146">
        <v>1200</v>
      </c>
    </row>
    <row r="147" spans="1:14" x14ac:dyDescent="0.25">
      <c r="A147">
        <v>26.275192000000001</v>
      </c>
      <c r="B147" s="1">
        <f>DATE(2010,5,27) + TIME(6,36,16)</f>
        <v>40325.275185185186</v>
      </c>
      <c r="C147">
        <v>80</v>
      </c>
      <c r="D147">
        <v>79.456504821999999</v>
      </c>
      <c r="E147">
        <v>50</v>
      </c>
      <c r="F147">
        <v>14.999825478</v>
      </c>
      <c r="G147">
        <v>1384.6744385</v>
      </c>
      <c r="H147">
        <v>1369.5209961</v>
      </c>
      <c r="I147">
        <v>1315.3200684000001</v>
      </c>
      <c r="J147">
        <v>1308.3829346</v>
      </c>
      <c r="K147">
        <v>1200</v>
      </c>
      <c r="L147">
        <v>0</v>
      </c>
      <c r="M147">
        <v>0</v>
      </c>
      <c r="N147">
        <v>1200</v>
      </c>
    </row>
    <row r="148" spans="1:14" x14ac:dyDescent="0.25">
      <c r="A148">
        <v>26.526841999999998</v>
      </c>
      <c r="B148" s="1">
        <f>DATE(2010,5,27) + TIME(12,38,39)</f>
        <v>40325.52684027778</v>
      </c>
      <c r="C148">
        <v>80</v>
      </c>
      <c r="D148">
        <v>79.457130432</v>
      </c>
      <c r="E148">
        <v>50</v>
      </c>
      <c r="F148">
        <v>14.999828339</v>
      </c>
      <c r="G148">
        <v>1384.6137695</v>
      </c>
      <c r="H148">
        <v>1369.4636230000001</v>
      </c>
      <c r="I148">
        <v>1315.3203125</v>
      </c>
      <c r="J148">
        <v>1308.3828125</v>
      </c>
      <c r="K148">
        <v>1200</v>
      </c>
      <c r="L148">
        <v>0</v>
      </c>
      <c r="M148">
        <v>0</v>
      </c>
      <c r="N148">
        <v>1200</v>
      </c>
    </row>
    <row r="149" spans="1:14" x14ac:dyDescent="0.25">
      <c r="A149">
        <v>26.778492</v>
      </c>
      <c r="B149" s="1">
        <f>DATE(2010,5,27) + TIME(18,41,1)</f>
        <v>40325.778483796297</v>
      </c>
      <c r="C149">
        <v>80</v>
      </c>
      <c r="D149">
        <v>79.457733153999996</v>
      </c>
      <c r="E149">
        <v>50</v>
      </c>
      <c r="F149">
        <v>14.999831199999999</v>
      </c>
      <c r="G149">
        <v>1384.5537108999999</v>
      </c>
      <c r="H149">
        <v>1369.4068603999999</v>
      </c>
      <c r="I149">
        <v>1315.3205565999999</v>
      </c>
      <c r="J149">
        <v>1308.3826904</v>
      </c>
      <c r="K149">
        <v>1200</v>
      </c>
      <c r="L149">
        <v>0</v>
      </c>
      <c r="M149">
        <v>0</v>
      </c>
      <c r="N149">
        <v>1200</v>
      </c>
    </row>
    <row r="150" spans="1:14" x14ac:dyDescent="0.25">
      <c r="A150">
        <v>27.281791999999999</v>
      </c>
      <c r="B150" s="1">
        <f>DATE(2010,5,28) + TIME(6,45,46)</f>
        <v>40326.281782407408</v>
      </c>
      <c r="C150">
        <v>80</v>
      </c>
      <c r="D150">
        <v>79.458892821999996</v>
      </c>
      <c r="E150">
        <v>50</v>
      </c>
      <c r="F150">
        <v>14.999836922</v>
      </c>
      <c r="G150">
        <v>1384.4956055</v>
      </c>
      <c r="H150">
        <v>1369.3522949000001</v>
      </c>
      <c r="I150">
        <v>1315.3214111</v>
      </c>
      <c r="J150">
        <v>1308.3831786999999</v>
      </c>
      <c r="K150">
        <v>1200</v>
      </c>
      <c r="L150">
        <v>0</v>
      </c>
      <c r="M150">
        <v>0</v>
      </c>
      <c r="N150">
        <v>1200</v>
      </c>
    </row>
    <row r="151" spans="1:14" x14ac:dyDescent="0.25">
      <c r="A151">
        <v>27.785816000000001</v>
      </c>
      <c r="B151" s="1">
        <f>DATE(2010,5,28) + TIME(18,51,34)</f>
        <v>40326.785810185182</v>
      </c>
      <c r="C151">
        <v>80</v>
      </c>
      <c r="D151">
        <v>79.459976196</v>
      </c>
      <c r="E151">
        <v>50</v>
      </c>
      <c r="F151">
        <v>14.999842643999999</v>
      </c>
      <c r="G151">
        <v>1384.3789062000001</v>
      </c>
      <c r="H151">
        <v>1369.2421875</v>
      </c>
      <c r="I151">
        <v>1315.3222656</v>
      </c>
      <c r="J151">
        <v>1308.3833007999999</v>
      </c>
      <c r="K151">
        <v>1200</v>
      </c>
      <c r="L151">
        <v>0</v>
      </c>
      <c r="M151">
        <v>0</v>
      </c>
      <c r="N151">
        <v>1200</v>
      </c>
    </row>
    <row r="152" spans="1:14" x14ac:dyDescent="0.25">
      <c r="A152">
        <v>28.292318999999999</v>
      </c>
      <c r="B152" s="1">
        <f>DATE(2010,5,29) + TIME(7,0,56)</f>
        <v>40327.292314814818</v>
      </c>
      <c r="C152">
        <v>80</v>
      </c>
      <c r="D152">
        <v>79.461006165000001</v>
      </c>
      <c r="E152">
        <v>50</v>
      </c>
      <c r="F152">
        <v>14.999847411999999</v>
      </c>
      <c r="G152">
        <v>1384.2635498</v>
      </c>
      <c r="H152">
        <v>1369.1333007999999</v>
      </c>
      <c r="I152">
        <v>1315.3227539</v>
      </c>
      <c r="J152">
        <v>1308.3830565999999</v>
      </c>
      <c r="K152">
        <v>1200</v>
      </c>
      <c r="L152">
        <v>0</v>
      </c>
      <c r="M152">
        <v>0</v>
      </c>
      <c r="N152">
        <v>1200</v>
      </c>
    </row>
    <row r="153" spans="1:14" x14ac:dyDescent="0.25">
      <c r="A153">
        <v>28.802045</v>
      </c>
      <c r="B153" s="1">
        <f>DATE(2010,5,29) + TIME(19,14,56)</f>
        <v>40327.802037037036</v>
      </c>
      <c r="C153">
        <v>80</v>
      </c>
      <c r="D153">
        <v>79.461990356000001</v>
      </c>
      <c r="E153">
        <v>50</v>
      </c>
      <c r="F153">
        <v>14.999853134</v>
      </c>
      <c r="G153">
        <v>1384.1495361</v>
      </c>
      <c r="H153">
        <v>1369.0258789</v>
      </c>
      <c r="I153">
        <v>1315.3232422000001</v>
      </c>
      <c r="J153">
        <v>1308.3828125</v>
      </c>
      <c r="K153">
        <v>1200</v>
      </c>
      <c r="L153">
        <v>0</v>
      </c>
      <c r="M153">
        <v>0</v>
      </c>
      <c r="N153">
        <v>1200</v>
      </c>
    </row>
    <row r="154" spans="1:14" x14ac:dyDescent="0.25">
      <c r="A154">
        <v>29.315749</v>
      </c>
      <c r="B154" s="1">
        <f>DATE(2010,5,30) + TIME(7,34,40)</f>
        <v>40328.315740740742</v>
      </c>
      <c r="C154">
        <v>80</v>
      </c>
      <c r="D154">
        <v>79.462944031000006</v>
      </c>
      <c r="E154">
        <v>50</v>
      </c>
      <c r="F154">
        <v>14.999858855999999</v>
      </c>
      <c r="G154">
        <v>1384.0367432</v>
      </c>
      <c r="H154">
        <v>1368.9197998</v>
      </c>
      <c r="I154">
        <v>1315.3237305</v>
      </c>
      <c r="J154">
        <v>1308.3825684000001</v>
      </c>
      <c r="K154">
        <v>1200</v>
      </c>
      <c r="L154">
        <v>0</v>
      </c>
      <c r="M154">
        <v>0</v>
      </c>
      <c r="N154">
        <v>1200</v>
      </c>
    </row>
    <row r="155" spans="1:14" x14ac:dyDescent="0.25">
      <c r="A155">
        <v>29.834195000000001</v>
      </c>
      <c r="B155" s="1">
        <f>DATE(2010,5,30) + TIME(20,1,14)</f>
        <v>40328.834189814814</v>
      </c>
      <c r="C155">
        <v>80</v>
      </c>
      <c r="D155">
        <v>79.463859557999996</v>
      </c>
      <c r="E155">
        <v>50</v>
      </c>
      <c r="F155">
        <v>14.999863625</v>
      </c>
      <c r="G155">
        <v>1383.9251709</v>
      </c>
      <c r="H155">
        <v>1368.8146973</v>
      </c>
      <c r="I155">
        <v>1315.3243408000001</v>
      </c>
      <c r="J155">
        <v>1308.3823242000001</v>
      </c>
      <c r="K155">
        <v>1200</v>
      </c>
      <c r="L155">
        <v>0</v>
      </c>
      <c r="M155">
        <v>0</v>
      </c>
      <c r="N155">
        <v>1200</v>
      </c>
    </row>
    <row r="156" spans="1:14" x14ac:dyDescent="0.25">
      <c r="A156">
        <v>30.358163000000001</v>
      </c>
      <c r="B156" s="1">
        <f>DATE(2010,5,31) + TIME(8,35,45)</f>
        <v>40329.358159722222</v>
      </c>
      <c r="C156">
        <v>80</v>
      </c>
      <c r="D156">
        <v>79.464759826999995</v>
      </c>
      <c r="E156">
        <v>50</v>
      </c>
      <c r="F156">
        <v>14.999869347000001</v>
      </c>
      <c r="G156">
        <v>1383.8144531</v>
      </c>
      <c r="H156">
        <v>1368.7105713000001</v>
      </c>
      <c r="I156">
        <v>1315.3248291</v>
      </c>
      <c r="J156">
        <v>1308.3820800999999</v>
      </c>
      <c r="K156">
        <v>1200</v>
      </c>
      <c r="L156">
        <v>0</v>
      </c>
      <c r="M156">
        <v>0</v>
      </c>
      <c r="N156">
        <v>1200</v>
      </c>
    </row>
    <row r="157" spans="1:14" x14ac:dyDescent="0.25">
      <c r="A157">
        <v>30.888463000000002</v>
      </c>
      <c r="B157" s="1">
        <f>DATE(2010,5,31) + TIME(21,19,23)</f>
        <v>40329.888460648152</v>
      </c>
      <c r="C157">
        <v>80</v>
      </c>
      <c r="D157">
        <v>79.465637207</v>
      </c>
      <c r="E157">
        <v>50</v>
      </c>
      <c r="F157">
        <v>14.999874115000001</v>
      </c>
      <c r="G157">
        <v>1383.7043457</v>
      </c>
      <c r="H157">
        <v>1368.6071777</v>
      </c>
      <c r="I157">
        <v>1315.3253173999999</v>
      </c>
      <c r="J157">
        <v>1308.3817139</v>
      </c>
      <c r="K157">
        <v>1200</v>
      </c>
      <c r="L157">
        <v>0</v>
      </c>
      <c r="M157">
        <v>0</v>
      </c>
      <c r="N157">
        <v>1200</v>
      </c>
    </row>
    <row r="158" spans="1:14" x14ac:dyDescent="0.25">
      <c r="A158">
        <v>31</v>
      </c>
      <c r="B158" s="1">
        <f>DATE(2010,6,1) + TIME(0,0,0)</f>
        <v>40330</v>
      </c>
      <c r="C158">
        <v>80</v>
      </c>
      <c r="D158">
        <v>79.465797424000002</v>
      </c>
      <c r="E158">
        <v>50</v>
      </c>
      <c r="F158">
        <v>14.999876022</v>
      </c>
      <c r="G158">
        <v>1383.5964355000001</v>
      </c>
      <c r="H158">
        <v>1368.5057373</v>
      </c>
      <c r="I158">
        <v>1315.3262939000001</v>
      </c>
      <c r="J158">
        <v>1308.3820800999999</v>
      </c>
      <c r="K158">
        <v>1200</v>
      </c>
      <c r="L158">
        <v>0</v>
      </c>
      <c r="M158">
        <v>0</v>
      </c>
      <c r="N158">
        <v>1200</v>
      </c>
    </row>
    <row r="159" spans="1:14" x14ac:dyDescent="0.25">
      <c r="A159">
        <v>31.537471</v>
      </c>
      <c r="B159" s="1">
        <f>DATE(2010,6,1) + TIME(12,53,57)</f>
        <v>40330.537465277775</v>
      </c>
      <c r="C159">
        <v>80</v>
      </c>
      <c r="D159">
        <v>79.466667174999998</v>
      </c>
      <c r="E159">
        <v>50</v>
      </c>
      <c r="F159">
        <v>14.999880791000001</v>
      </c>
      <c r="G159">
        <v>1383.5712891000001</v>
      </c>
      <c r="H159">
        <v>1368.4821777</v>
      </c>
      <c r="I159">
        <v>1315.3255615</v>
      </c>
      <c r="J159">
        <v>1308.3811035000001</v>
      </c>
      <c r="K159">
        <v>1200</v>
      </c>
      <c r="L159">
        <v>0</v>
      </c>
      <c r="M159">
        <v>0</v>
      </c>
      <c r="N159">
        <v>1200</v>
      </c>
    </row>
    <row r="160" spans="1:14" x14ac:dyDescent="0.25">
      <c r="A160">
        <v>32.084935000000002</v>
      </c>
      <c r="B160" s="1">
        <f>DATE(2010,6,2) + TIME(2,2,18)</f>
        <v>40331.084930555553</v>
      </c>
      <c r="C160">
        <v>80</v>
      </c>
      <c r="D160">
        <v>79.467514038000004</v>
      </c>
      <c r="E160">
        <v>50</v>
      </c>
      <c r="F160">
        <v>14.999886513</v>
      </c>
      <c r="G160">
        <v>1383.4633789</v>
      </c>
      <c r="H160">
        <v>1368.3808594</v>
      </c>
      <c r="I160">
        <v>1315.3264160000001</v>
      </c>
      <c r="J160">
        <v>1308.3811035000001</v>
      </c>
      <c r="K160">
        <v>1200</v>
      </c>
      <c r="L160">
        <v>0</v>
      </c>
      <c r="M160">
        <v>0</v>
      </c>
      <c r="N160">
        <v>1200</v>
      </c>
    </row>
    <row r="161" spans="1:14" x14ac:dyDescent="0.25">
      <c r="A161">
        <v>32.641703</v>
      </c>
      <c r="B161" s="1">
        <f>DATE(2010,6,2) + TIME(15,24,3)</f>
        <v>40331.641701388886</v>
      </c>
      <c r="C161">
        <v>80</v>
      </c>
      <c r="D161">
        <v>79.468360900999997</v>
      </c>
      <c r="E161">
        <v>50</v>
      </c>
      <c r="F161">
        <v>14.999891281</v>
      </c>
      <c r="G161">
        <v>1383.3544922000001</v>
      </c>
      <c r="H161">
        <v>1368.2788086</v>
      </c>
      <c r="I161">
        <v>1315.3270264</v>
      </c>
      <c r="J161">
        <v>1308.3808594</v>
      </c>
      <c r="K161">
        <v>1200</v>
      </c>
      <c r="L161">
        <v>0</v>
      </c>
      <c r="M161">
        <v>0</v>
      </c>
      <c r="N161">
        <v>1200</v>
      </c>
    </row>
    <row r="162" spans="1:14" x14ac:dyDescent="0.25">
      <c r="A162">
        <v>33.208680000000001</v>
      </c>
      <c r="B162" s="1">
        <f>DATE(2010,6,3) + TIME(5,0,29)</f>
        <v>40332.208668981482</v>
      </c>
      <c r="C162">
        <v>80</v>
      </c>
      <c r="D162">
        <v>79.469200134000005</v>
      </c>
      <c r="E162">
        <v>50</v>
      </c>
      <c r="F162">
        <v>14.999897002999999</v>
      </c>
      <c r="G162">
        <v>1383.2456055</v>
      </c>
      <c r="H162">
        <v>1368.1768798999999</v>
      </c>
      <c r="I162">
        <v>1315.3275146000001</v>
      </c>
      <c r="J162">
        <v>1308.3806152</v>
      </c>
      <c r="K162">
        <v>1200</v>
      </c>
      <c r="L162">
        <v>0</v>
      </c>
      <c r="M162">
        <v>0</v>
      </c>
      <c r="N162">
        <v>1200</v>
      </c>
    </row>
    <row r="163" spans="1:14" x14ac:dyDescent="0.25">
      <c r="A163">
        <v>33.786952999999997</v>
      </c>
      <c r="B163" s="1">
        <f>DATE(2010,6,3) + TIME(18,53,12)</f>
        <v>40332.786944444444</v>
      </c>
      <c r="C163">
        <v>80</v>
      </c>
      <c r="D163">
        <v>79.470046996999997</v>
      </c>
      <c r="E163">
        <v>50</v>
      </c>
      <c r="F163">
        <v>14.999902725</v>
      </c>
      <c r="G163">
        <v>1383.1365966999999</v>
      </c>
      <c r="H163">
        <v>1368.0748291</v>
      </c>
      <c r="I163">
        <v>1315.328125</v>
      </c>
      <c r="J163">
        <v>1308.380249</v>
      </c>
      <c r="K163">
        <v>1200</v>
      </c>
      <c r="L163">
        <v>0</v>
      </c>
      <c r="M163">
        <v>0</v>
      </c>
      <c r="N163">
        <v>1200</v>
      </c>
    </row>
    <row r="164" spans="1:14" x14ac:dyDescent="0.25">
      <c r="A164">
        <v>34.377721999999999</v>
      </c>
      <c r="B164" s="1">
        <f>DATE(2010,6,4) + TIME(9,3,55)</f>
        <v>40333.37771990741</v>
      </c>
      <c r="C164">
        <v>80</v>
      </c>
      <c r="D164">
        <v>79.470886230000005</v>
      </c>
      <c r="E164">
        <v>50</v>
      </c>
      <c r="F164">
        <v>14.999907494</v>
      </c>
      <c r="G164">
        <v>1383.0273437999999</v>
      </c>
      <c r="H164">
        <v>1367.9725341999999</v>
      </c>
      <c r="I164">
        <v>1315.3287353999999</v>
      </c>
      <c r="J164">
        <v>1308.3800048999999</v>
      </c>
      <c r="K164">
        <v>1200</v>
      </c>
      <c r="L164">
        <v>0</v>
      </c>
      <c r="M164">
        <v>0</v>
      </c>
      <c r="N164">
        <v>1200</v>
      </c>
    </row>
    <row r="165" spans="1:14" x14ac:dyDescent="0.25">
      <c r="A165">
        <v>34.981338000000001</v>
      </c>
      <c r="B165" s="1">
        <f>DATE(2010,6,4) + TIME(23,33,7)</f>
        <v>40333.98133101852</v>
      </c>
      <c r="C165">
        <v>80</v>
      </c>
      <c r="D165">
        <v>79.471740722999996</v>
      </c>
      <c r="E165">
        <v>50</v>
      </c>
      <c r="F165">
        <v>14.999913215999999</v>
      </c>
      <c r="G165">
        <v>1382.9174805</v>
      </c>
      <c r="H165">
        <v>1367.8698730000001</v>
      </c>
      <c r="I165">
        <v>1315.3292236</v>
      </c>
      <c r="J165">
        <v>1308.3796387</v>
      </c>
      <c r="K165">
        <v>1200</v>
      </c>
      <c r="L165">
        <v>0</v>
      </c>
      <c r="M165">
        <v>0</v>
      </c>
      <c r="N165">
        <v>1200</v>
      </c>
    </row>
    <row r="166" spans="1:14" x14ac:dyDescent="0.25">
      <c r="A166">
        <v>35.597684999999998</v>
      </c>
      <c r="B166" s="1">
        <f>DATE(2010,6,5) + TIME(14,20,39)</f>
        <v>40334.597673611112</v>
      </c>
      <c r="C166">
        <v>80</v>
      </c>
      <c r="D166">
        <v>79.472595214999998</v>
      </c>
      <c r="E166">
        <v>50</v>
      </c>
      <c r="F166">
        <v>14.999918938</v>
      </c>
      <c r="G166">
        <v>1382.807251</v>
      </c>
      <c r="H166">
        <v>1367.7667236</v>
      </c>
      <c r="I166">
        <v>1315.3298339999999</v>
      </c>
      <c r="J166">
        <v>1308.3792725000001</v>
      </c>
      <c r="K166">
        <v>1200</v>
      </c>
      <c r="L166">
        <v>0</v>
      </c>
      <c r="M166">
        <v>0</v>
      </c>
      <c r="N166">
        <v>1200</v>
      </c>
    </row>
    <row r="167" spans="1:14" x14ac:dyDescent="0.25">
      <c r="A167">
        <v>36.228090999999999</v>
      </c>
      <c r="B167" s="1">
        <f>DATE(2010,6,6) + TIME(5,28,27)</f>
        <v>40335.228090277778</v>
      </c>
      <c r="C167">
        <v>80</v>
      </c>
      <c r="D167">
        <v>79.473457335999996</v>
      </c>
      <c r="E167">
        <v>50</v>
      </c>
      <c r="F167">
        <v>14.99992466</v>
      </c>
      <c r="G167">
        <v>1382.6965332</v>
      </c>
      <c r="H167">
        <v>1367.6633300999999</v>
      </c>
      <c r="I167">
        <v>1315.3304443</v>
      </c>
      <c r="J167">
        <v>1308.3789062000001</v>
      </c>
      <c r="K167">
        <v>1200</v>
      </c>
      <c r="L167">
        <v>0</v>
      </c>
      <c r="M167">
        <v>0</v>
      </c>
      <c r="N167">
        <v>1200</v>
      </c>
    </row>
    <row r="168" spans="1:14" x14ac:dyDescent="0.25">
      <c r="A168">
        <v>36.872472999999999</v>
      </c>
      <c r="B168" s="1">
        <f>DATE(2010,6,6) + TIME(20,56,21)</f>
        <v>40335.872465277775</v>
      </c>
      <c r="C168">
        <v>80</v>
      </c>
      <c r="D168">
        <v>79.474327087000006</v>
      </c>
      <c r="E168">
        <v>50</v>
      </c>
      <c r="F168">
        <v>14.999930382000001</v>
      </c>
      <c r="G168">
        <v>1382.5852050999999</v>
      </c>
      <c r="H168">
        <v>1367.5594481999999</v>
      </c>
      <c r="I168">
        <v>1315.3311768000001</v>
      </c>
      <c r="J168">
        <v>1308.3786620999999</v>
      </c>
      <c r="K168">
        <v>1200</v>
      </c>
      <c r="L168">
        <v>0</v>
      </c>
      <c r="M168">
        <v>0</v>
      </c>
      <c r="N168">
        <v>1200</v>
      </c>
    </row>
    <row r="169" spans="1:14" x14ac:dyDescent="0.25">
      <c r="A169">
        <v>37.195425999999998</v>
      </c>
      <c r="B169" s="1">
        <f>DATE(2010,6,7) + TIME(4,41,24)</f>
        <v>40336.195416666669</v>
      </c>
      <c r="C169">
        <v>80</v>
      </c>
      <c r="D169">
        <v>79.474739075000002</v>
      </c>
      <c r="E169">
        <v>50</v>
      </c>
      <c r="F169">
        <v>14.999933242999999</v>
      </c>
      <c r="G169">
        <v>1382.4725341999999</v>
      </c>
      <c r="H169">
        <v>1367.4542236</v>
      </c>
      <c r="I169">
        <v>1315.331543</v>
      </c>
      <c r="J169">
        <v>1308.3779297000001</v>
      </c>
      <c r="K169">
        <v>1200</v>
      </c>
      <c r="L169">
        <v>0</v>
      </c>
      <c r="M169">
        <v>0</v>
      </c>
      <c r="N169">
        <v>1200</v>
      </c>
    </row>
    <row r="170" spans="1:14" x14ac:dyDescent="0.25">
      <c r="A170">
        <v>37.841332000000001</v>
      </c>
      <c r="B170" s="1">
        <f>DATE(2010,6,7) + TIME(20,11,31)</f>
        <v>40336.841331018521</v>
      </c>
      <c r="C170">
        <v>80</v>
      </c>
      <c r="D170">
        <v>79.475608825999998</v>
      </c>
      <c r="E170">
        <v>50</v>
      </c>
      <c r="F170">
        <v>14.999938965</v>
      </c>
      <c r="G170">
        <v>1382.4173584</v>
      </c>
      <c r="H170">
        <v>1367.4029541</v>
      </c>
      <c r="I170">
        <v>1315.3317870999999</v>
      </c>
      <c r="J170">
        <v>1308.3776855000001</v>
      </c>
      <c r="K170">
        <v>1200</v>
      </c>
      <c r="L170">
        <v>0</v>
      </c>
      <c r="M170">
        <v>0</v>
      </c>
      <c r="N170">
        <v>1200</v>
      </c>
    </row>
    <row r="171" spans="1:14" x14ac:dyDescent="0.25">
      <c r="A171">
        <v>38.487267000000003</v>
      </c>
      <c r="B171" s="1">
        <f>DATE(2010,6,8) + TIME(11,41,39)</f>
        <v>40337.487256944441</v>
      </c>
      <c r="C171">
        <v>80</v>
      </c>
      <c r="D171">
        <v>79.476463318</v>
      </c>
      <c r="E171">
        <v>50</v>
      </c>
      <c r="F171">
        <v>14.999943733</v>
      </c>
      <c r="G171">
        <v>1382.3085937999999</v>
      </c>
      <c r="H171">
        <v>1367.3016356999999</v>
      </c>
      <c r="I171">
        <v>1315.3326416</v>
      </c>
      <c r="J171">
        <v>1308.3775635</v>
      </c>
      <c r="K171">
        <v>1200</v>
      </c>
      <c r="L171">
        <v>0</v>
      </c>
      <c r="M171">
        <v>0</v>
      </c>
      <c r="N171">
        <v>1200</v>
      </c>
    </row>
    <row r="172" spans="1:14" x14ac:dyDescent="0.25">
      <c r="A172">
        <v>39.134864</v>
      </c>
      <c r="B172" s="1">
        <f>DATE(2010,6,9) + TIME(3,14,12)</f>
        <v>40338.13486111111</v>
      </c>
      <c r="C172">
        <v>80</v>
      </c>
      <c r="D172">
        <v>79.477317810000002</v>
      </c>
      <c r="E172">
        <v>50</v>
      </c>
      <c r="F172">
        <v>14.999949454999999</v>
      </c>
      <c r="G172">
        <v>1382.2011719</v>
      </c>
      <c r="H172">
        <v>1367.2015381000001</v>
      </c>
      <c r="I172">
        <v>1315.3332519999999</v>
      </c>
      <c r="J172">
        <v>1308.3771973</v>
      </c>
      <c r="K172">
        <v>1200</v>
      </c>
      <c r="L172">
        <v>0</v>
      </c>
      <c r="M172">
        <v>0</v>
      </c>
      <c r="N172">
        <v>1200</v>
      </c>
    </row>
    <row r="173" spans="1:14" x14ac:dyDescent="0.25">
      <c r="A173">
        <v>39.785136000000001</v>
      </c>
      <c r="B173" s="1">
        <f>DATE(2010,6,9) + TIME(18,50,35)</f>
        <v>40338.785127314812</v>
      </c>
      <c r="C173">
        <v>80</v>
      </c>
      <c r="D173">
        <v>79.478164672999995</v>
      </c>
      <c r="E173">
        <v>50</v>
      </c>
      <c r="F173">
        <v>14.999954224</v>
      </c>
      <c r="G173">
        <v>1382.0950928</v>
      </c>
      <c r="H173">
        <v>1367.1027832</v>
      </c>
      <c r="I173">
        <v>1315.3338623</v>
      </c>
      <c r="J173">
        <v>1308.3768310999999</v>
      </c>
      <c r="K173">
        <v>1200</v>
      </c>
      <c r="L173">
        <v>0</v>
      </c>
      <c r="M173">
        <v>0</v>
      </c>
      <c r="N173">
        <v>1200</v>
      </c>
    </row>
    <row r="174" spans="1:14" x14ac:dyDescent="0.25">
      <c r="A174">
        <v>40.439093999999997</v>
      </c>
      <c r="B174" s="1">
        <f>DATE(2010,6,10) + TIME(10,32,17)</f>
        <v>40339.439085648148</v>
      </c>
      <c r="C174">
        <v>80</v>
      </c>
      <c r="D174">
        <v>79.479011536000002</v>
      </c>
      <c r="E174">
        <v>50</v>
      </c>
      <c r="F174">
        <v>14.999959946000001</v>
      </c>
      <c r="G174">
        <v>1381.9903564000001</v>
      </c>
      <c r="H174">
        <v>1367.0053711</v>
      </c>
      <c r="I174">
        <v>1315.3344727000001</v>
      </c>
      <c r="J174">
        <v>1308.3763428</v>
      </c>
      <c r="K174">
        <v>1200</v>
      </c>
      <c r="L174">
        <v>0</v>
      </c>
      <c r="M174">
        <v>0</v>
      </c>
      <c r="N174">
        <v>1200</v>
      </c>
    </row>
    <row r="175" spans="1:14" x14ac:dyDescent="0.25">
      <c r="A175">
        <v>41.097738999999997</v>
      </c>
      <c r="B175" s="1">
        <f>DATE(2010,6,11) + TIME(2,20,44)</f>
        <v>40340.097731481481</v>
      </c>
      <c r="C175">
        <v>80</v>
      </c>
      <c r="D175">
        <v>79.479858398000005</v>
      </c>
      <c r="E175">
        <v>50</v>
      </c>
      <c r="F175">
        <v>14.999965668</v>
      </c>
      <c r="G175">
        <v>1381.8867187999999</v>
      </c>
      <c r="H175">
        <v>1366.9090576000001</v>
      </c>
      <c r="I175">
        <v>1315.3352050999999</v>
      </c>
      <c r="J175">
        <v>1308.3759766000001</v>
      </c>
      <c r="K175">
        <v>1200</v>
      </c>
      <c r="L175">
        <v>0</v>
      </c>
      <c r="M175">
        <v>0</v>
      </c>
      <c r="N175">
        <v>1200</v>
      </c>
    </row>
    <row r="176" spans="1:14" x14ac:dyDescent="0.25">
      <c r="A176">
        <v>41.762085999999996</v>
      </c>
      <c r="B176" s="1">
        <f>DATE(2010,6,11) + TIME(18,17,24)</f>
        <v>40340.762083333335</v>
      </c>
      <c r="C176">
        <v>80</v>
      </c>
      <c r="D176">
        <v>79.480712890999996</v>
      </c>
      <c r="E176">
        <v>50</v>
      </c>
      <c r="F176">
        <v>14.999970436</v>
      </c>
      <c r="G176">
        <v>1381.7840576000001</v>
      </c>
      <c r="H176">
        <v>1366.8135986</v>
      </c>
      <c r="I176">
        <v>1315.3358154</v>
      </c>
      <c r="J176">
        <v>1308.3756103999999</v>
      </c>
      <c r="K176">
        <v>1200</v>
      </c>
      <c r="L176">
        <v>0</v>
      </c>
      <c r="M176">
        <v>0</v>
      </c>
      <c r="N176">
        <v>1200</v>
      </c>
    </row>
    <row r="177" spans="1:14" x14ac:dyDescent="0.25">
      <c r="A177">
        <v>42.433171000000002</v>
      </c>
      <c r="B177" s="1">
        <f>DATE(2010,6,12) + TIME(10,23,45)</f>
        <v>40341.433159722219</v>
      </c>
      <c r="C177">
        <v>80</v>
      </c>
      <c r="D177">
        <v>79.481567382999998</v>
      </c>
      <c r="E177">
        <v>50</v>
      </c>
      <c r="F177">
        <v>14.999976158000001</v>
      </c>
      <c r="G177">
        <v>1381.6820068</v>
      </c>
      <c r="H177">
        <v>1366.7188721</v>
      </c>
      <c r="I177">
        <v>1315.3364257999999</v>
      </c>
      <c r="J177">
        <v>1308.3752440999999</v>
      </c>
      <c r="K177">
        <v>1200</v>
      </c>
      <c r="L177">
        <v>0</v>
      </c>
      <c r="M177">
        <v>0</v>
      </c>
      <c r="N177">
        <v>1200</v>
      </c>
    </row>
    <row r="178" spans="1:14" x14ac:dyDescent="0.25">
      <c r="A178">
        <v>43.11206</v>
      </c>
      <c r="B178" s="1">
        <f>DATE(2010,6,13) + TIME(2,41,21)</f>
        <v>40342.11204861111</v>
      </c>
      <c r="C178">
        <v>80</v>
      </c>
      <c r="D178">
        <v>79.482429503999995</v>
      </c>
      <c r="E178">
        <v>50</v>
      </c>
      <c r="F178">
        <v>14.999980926999999</v>
      </c>
      <c r="G178">
        <v>1381.5805664</v>
      </c>
      <c r="H178">
        <v>1366.6247559000001</v>
      </c>
      <c r="I178">
        <v>1315.3371582</v>
      </c>
      <c r="J178">
        <v>1308.3747559000001</v>
      </c>
      <c r="K178">
        <v>1200</v>
      </c>
      <c r="L178">
        <v>0</v>
      </c>
      <c r="M178">
        <v>0</v>
      </c>
      <c r="N178">
        <v>1200</v>
      </c>
    </row>
    <row r="179" spans="1:14" x14ac:dyDescent="0.25">
      <c r="A179">
        <v>43.799866000000002</v>
      </c>
      <c r="B179" s="1">
        <f>DATE(2010,6,13) + TIME(19,11,48)</f>
        <v>40342.799861111111</v>
      </c>
      <c r="C179">
        <v>80</v>
      </c>
      <c r="D179">
        <v>79.483299255000006</v>
      </c>
      <c r="E179">
        <v>50</v>
      </c>
      <c r="F179">
        <v>14.999986649</v>
      </c>
      <c r="G179">
        <v>1381.4796143000001</v>
      </c>
      <c r="H179">
        <v>1366.5311279</v>
      </c>
      <c r="I179">
        <v>1315.3378906</v>
      </c>
      <c r="J179">
        <v>1308.3743896000001</v>
      </c>
      <c r="K179">
        <v>1200</v>
      </c>
      <c r="L179">
        <v>0</v>
      </c>
      <c r="M179">
        <v>0</v>
      </c>
      <c r="N179">
        <v>1200</v>
      </c>
    </row>
    <row r="180" spans="1:14" x14ac:dyDescent="0.25">
      <c r="A180">
        <v>44.497877000000003</v>
      </c>
      <c r="B180" s="1">
        <f>DATE(2010,6,14) + TIME(11,56,56)</f>
        <v>40343.497870370367</v>
      </c>
      <c r="C180">
        <v>80</v>
      </c>
      <c r="D180">
        <v>79.484176636000001</v>
      </c>
      <c r="E180">
        <v>50</v>
      </c>
      <c r="F180">
        <v>14.999991417</v>
      </c>
      <c r="G180">
        <v>1381.3789062000001</v>
      </c>
      <c r="H180">
        <v>1366.4377440999999</v>
      </c>
      <c r="I180">
        <v>1315.3386230000001</v>
      </c>
      <c r="J180">
        <v>1308.3740233999999</v>
      </c>
      <c r="K180">
        <v>1200</v>
      </c>
      <c r="L180">
        <v>0</v>
      </c>
      <c r="M180">
        <v>0</v>
      </c>
      <c r="N180">
        <v>1200</v>
      </c>
    </row>
    <row r="181" spans="1:14" x14ac:dyDescent="0.25">
      <c r="A181">
        <v>45.207391000000001</v>
      </c>
      <c r="B181" s="1">
        <f>DATE(2010,6,15) + TIME(4,58,38)</f>
        <v>40344.207384259258</v>
      </c>
      <c r="C181">
        <v>80</v>
      </c>
      <c r="D181">
        <v>79.485069275000001</v>
      </c>
      <c r="E181">
        <v>50</v>
      </c>
      <c r="F181">
        <v>14.999997139</v>
      </c>
      <c r="G181">
        <v>1381.2781981999999</v>
      </c>
      <c r="H181">
        <v>1366.3444824000001</v>
      </c>
      <c r="I181">
        <v>1315.3393555</v>
      </c>
      <c r="J181">
        <v>1308.3735352000001</v>
      </c>
      <c r="K181">
        <v>1200</v>
      </c>
      <c r="L181">
        <v>0</v>
      </c>
      <c r="M181">
        <v>0</v>
      </c>
      <c r="N181">
        <v>1200</v>
      </c>
    </row>
    <row r="182" spans="1:14" x14ac:dyDescent="0.25">
      <c r="A182">
        <v>45.929543000000002</v>
      </c>
      <c r="B182" s="1">
        <f>DATE(2010,6,15) + TIME(22,18,32)</f>
        <v>40344.929537037038</v>
      </c>
      <c r="C182">
        <v>80</v>
      </c>
      <c r="D182">
        <v>79.485977172999995</v>
      </c>
      <c r="E182">
        <v>50</v>
      </c>
      <c r="F182">
        <v>15.000001907</v>
      </c>
      <c r="G182">
        <v>1381.1774902</v>
      </c>
      <c r="H182">
        <v>1366.2510986</v>
      </c>
      <c r="I182">
        <v>1315.3400879000001</v>
      </c>
      <c r="J182">
        <v>1308.3731689000001</v>
      </c>
      <c r="K182">
        <v>1200</v>
      </c>
      <c r="L182">
        <v>0</v>
      </c>
      <c r="M182">
        <v>0</v>
      </c>
      <c r="N182">
        <v>1200</v>
      </c>
    </row>
    <row r="183" spans="1:14" x14ac:dyDescent="0.25">
      <c r="A183">
        <v>46.665736000000003</v>
      </c>
      <c r="B183" s="1">
        <f>DATE(2010,6,16) + TIME(15,58,39)</f>
        <v>40345.665729166663</v>
      </c>
      <c r="C183">
        <v>80</v>
      </c>
      <c r="D183">
        <v>79.486900329999997</v>
      </c>
      <c r="E183">
        <v>50</v>
      </c>
      <c r="F183">
        <v>15.000007629000001</v>
      </c>
      <c r="G183">
        <v>1381.0765381000001</v>
      </c>
      <c r="H183">
        <v>1366.1577147999999</v>
      </c>
      <c r="I183">
        <v>1315.3408202999999</v>
      </c>
      <c r="J183">
        <v>1308.3728027</v>
      </c>
      <c r="K183">
        <v>1200</v>
      </c>
      <c r="L183">
        <v>0</v>
      </c>
      <c r="M183">
        <v>0</v>
      </c>
      <c r="N183">
        <v>1200</v>
      </c>
    </row>
    <row r="184" spans="1:14" x14ac:dyDescent="0.25">
      <c r="A184">
        <v>47.414346000000002</v>
      </c>
      <c r="B184" s="1">
        <f>DATE(2010,6,17) + TIME(9,56,39)</f>
        <v>40346.414340277777</v>
      </c>
      <c r="C184">
        <v>80</v>
      </c>
      <c r="D184">
        <v>79.487831115999995</v>
      </c>
      <c r="E184">
        <v>50</v>
      </c>
      <c r="F184">
        <v>15.000013351</v>
      </c>
      <c r="G184">
        <v>1380.9752197</v>
      </c>
      <c r="H184">
        <v>1366.0639647999999</v>
      </c>
      <c r="I184">
        <v>1315.3416748</v>
      </c>
      <c r="J184">
        <v>1308.3723144999999</v>
      </c>
      <c r="K184">
        <v>1200</v>
      </c>
      <c r="L184">
        <v>0</v>
      </c>
      <c r="M184">
        <v>0</v>
      </c>
      <c r="N184">
        <v>1200</v>
      </c>
    </row>
    <row r="185" spans="1:14" x14ac:dyDescent="0.25">
      <c r="A185">
        <v>48.176312000000003</v>
      </c>
      <c r="B185" s="1">
        <f>DATE(2010,6,18) + TIME(4,13,53)</f>
        <v>40347.176307870373</v>
      </c>
      <c r="C185">
        <v>80</v>
      </c>
      <c r="D185">
        <v>79.488777161000002</v>
      </c>
      <c r="E185">
        <v>50</v>
      </c>
      <c r="F185">
        <v>15.00001812</v>
      </c>
      <c r="G185">
        <v>1380.8737793</v>
      </c>
      <c r="H185">
        <v>1365.9702147999999</v>
      </c>
      <c r="I185">
        <v>1315.3425293</v>
      </c>
      <c r="J185">
        <v>1308.3719481999999</v>
      </c>
      <c r="K185">
        <v>1200</v>
      </c>
      <c r="L185">
        <v>0</v>
      </c>
      <c r="M185">
        <v>0</v>
      </c>
      <c r="N185">
        <v>1200</v>
      </c>
    </row>
    <row r="186" spans="1:14" x14ac:dyDescent="0.25">
      <c r="A186">
        <v>48.953319999999998</v>
      </c>
      <c r="B186" s="1">
        <f>DATE(2010,6,18) + TIME(22,52,46)</f>
        <v>40347.953310185185</v>
      </c>
      <c r="C186">
        <v>80</v>
      </c>
      <c r="D186">
        <v>79.489738463999998</v>
      </c>
      <c r="E186">
        <v>50</v>
      </c>
      <c r="F186">
        <v>15.000023841999999</v>
      </c>
      <c r="G186">
        <v>1380.7722168</v>
      </c>
      <c r="H186">
        <v>1365.8763428</v>
      </c>
      <c r="I186">
        <v>1315.3433838000001</v>
      </c>
      <c r="J186">
        <v>1308.3714600000001</v>
      </c>
      <c r="K186">
        <v>1200</v>
      </c>
      <c r="L186">
        <v>0</v>
      </c>
      <c r="M186">
        <v>0</v>
      </c>
      <c r="N186">
        <v>1200</v>
      </c>
    </row>
    <row r="187" spans="1:14" x14ac:dyDescent="0.25">
      <c r="A187">
        <v>49.341841000000002</v>
      </c>
      <c r="B187" s="1">
        <f>DATE(2010,6,19) + TIME(8,12,15)</f>
        <v>40348.341840277775</v>
      </c>
      <c r="C187">
        <v>80</v>
      </c>
      <c r="D187">
        <v>79.490196228000002</v>
      </c>
      <c r="E187">
        <v>50</v>
      </c>
      <c r="F187">
        <v>15.000027657</v>
      </c>
      <c r="G187">
        <v>1380.6695557</v>
      </c>
      <c r="H187">
        <v>1365.78125</v>
      </c>
      <c r="I187">
        <v>1315.3439940999999</v>
      </c>
      <c r="J187">
        <v>1308.3708495999999</v>
      </c>
      <c r="K187">
        <v>1200</v>
      </c>
      <c r="L187">
        <v>0</v>
      </c>
      <c r="M187">
        <v>0</v>
      </c>
      <c r="N187">
        <v>1200</v>
      </c>
    </row>
    <row r="188" spans="1:14" x14ac:dyDescent="0.25">
      <c r="A188">
        <v>49.730362999999997</v>
      </c>
      <c r="B188" s="1">
        <f>DATE(2010,6,19) + TIME(17,31,43)</f>
        <v>40348.730358796296</v>
      </c>
      <c r="C188">
        <v>80</v>
      </c>
      <c r="D188">
        <v>79.490661621000001</v>
      </c>
      <c r="E188">
        <v>50</v>
      </c>
      <c r="F188">
        <v>15.000030518000001</v>
      </c>
      <c r="G188">
        <v>1380.6180420000001</v>
      </c>
      <c r="H188">
        <v>1365.7335204999999</v>
      </c>
      <c r="I188">
        <v>1315.3438721</v>
      </c>
      <c r="J188">
        <v>1308.3699951000001</v>
      </c>
      <c r="K188">
        <v>1200</v>
      </c>
      <c r="L188">
        <v>0</v>
      </c>
      <c r="M188">
        <v>0</v>
      </c>
      <c r="N188">
        <v>1200</v>
      </c>
    </row>
    <row r="189" spans="1:14" x14ac:dyDescent="0.25">
      <c r="A189">
        <v>50.118884999999999</v>
      </c>
      <c r="B189" s="1">
        <f>DATE(2010,6,20) + TIME(2,51,11)</f>
        <v>40349.118877314817</v>
      </c>
      <c r="C189">
        <v>80</v>
      </c>
      <c r="D189">
        <v>79.491127014</v>
      </c>
      <c r="E189">
        <v>50</v>
      </c>
      <c r="F189">
        <v>15.000033379</v>
      </c>
      <c r="G189">
        <v>1380.5678711</v>
      </c>
      <c r="H189">
        <v>1365.6871338000001</v>
      </c>
      <c r="I189">
        <v>1315.3442382999999</v>
      </c>
      <c r="J189">
        <v>1308.3696289</v>
      </c>
      <c r="K189">
        <v>1200</v>
      </c>
      <c r="L189">
        <v>0</v>
      </c>
      <c r="M189">
        <v>0</v>
      </c>
      <c r="N189">
        <v>1200</v>
      </c>
    </row>
    <row r="190" spans="1:14" x14ac:dyDescent="0.25">
      <c r="A190">
        <v>50.895929000000002</v>
      </c>
      <c r="B190" s="1">
        <f>DATE(2010,6,20) + TIME(21,30,8)</f>
        <v>40349.895925925928</v>
      </c>
      <c r="C190">
        <v>80</v>
      </c>
      <c r="D190">
        <v>79.492095946999996</v>
      </c>
      <c r="E190">
        <v>50</v>
      </c>
      <c r="F190">
        <v>15.000038147</v>
      </c>
      <c r="G190">
        <v>1380.5192870999999</v>
      </c>
      <c r="H190">
        <v>1365.6425781</v>
      </c>
      <c r="I190">
        <v>1315.3452147999999</v>
      </c>
      <c r="J190">
        <v>1308.3699951000001</v>
      </c>
      <c r="K190">
        <v>1200</v>
      </c>
      <c r="L190">
        <v>0</v>
      </c>
      <c r="M190">
        <v>0</v>
      </c>
      <c r="N190">
        <v>1200</v>
      </c>
    </row>
    <row r="191" spans="1:14" x14ac:dyDescent="0.25">
      <c r="A191">
        <v>51.673538000000001</v>
      </c>
      <c r="B191" s="1">
        <f>DATE(2010,6,21) + TIME(16,9,53)</f>
        <v>40350.673530092594</v>
      </c>
      <c r="C191">
        <v>80</v>
      </c>
      <c r="D191">
        <v>79.493064880000006</v>
      </c>
      <c r="E191">
        <v>50</v>
      </c>
      <c r="F191">
        <v>15.000043869000001</v>
      </c>
      <c r="G191">
        <v>1380.4216309000001</v>
      </c>
      <c r="H191">
        <v>1365.5524902</v>
      </c>
      <c r="I191">
        <v>1315.3464355000001</v>
      </c>
      <c r="J191">
        <v>1308.3698730000001</v>
      </c>
      <c r="K191">
        <v>1200</v>
      </c>
      <c r="L191">
        <v>0</v>
      </c>
      <c r="M191">
        <v>0</v>
      </c>
      <c r="N191">
        <v>1200</v>
      </c>
    </row>
    <row r="192" spans="1:14" x14ac:dyDescent="0.25">
      <c r="A192">
        <v>52.454337000000002</v>
      </c>
      <c r="B192" s="1">
        <f>DATE(2010,6,22) + TIME(10,54,14)</f>
        <v>40351.454328703701</v>
      </c>
      <c r="C192">
        <v>80</v>
      </c>
      <c r="D192">
        <v>79.494026184000006</v>
      </c>
      <c r="E192">
        <v>50</v>
      </c>
      <c r="F192">
        <v>15.000049591</v>
      </c>
      <c r="G192">
        <v>1380.3249512</v>
      </c>
      <c r="H192">
        <v>1365.4632568</v>
      </c>
      <c r="I192">
        <v>1315.3474120999999</v>
      </c>
      <c r="J192">
        <v>1308.3695068</v>
      </c>
      <c r="K192">
        <v>1200</v>
      </c>
      <c r="L192">
        <v>0</v>
      </c>
      <c r="M192">
        <v>0</v>
      </c>
      <c r="N192">
        <v>1200</v>
      </c>
    </row>
    <row r="193" spans="1:14" x14ac:dyDescent="0.25">
      <c r="A193">
        <v>53.239536000000001</v>
      </c>
      <c r="B193" s="1">
        <f>DATE(2010,6,23) + TIME(5,44,55)</f>
        <v>40352.239525462966</v>
      </c>
      <c r="C193">
        <v>80</v>
      </c>
      <c r="D193">
        <v>79.494987488000007</v>
      </c>
      <c r="E193">
        <v>50</v>
      </c>
      <c r="F193">
        <v>15.000054359</v>
      </c>
      <c r="G193">
        <v>1380.229126</v>
      </c>
      <c r="H193">
        <v>1365.3748779</v>
      </c>
      <c r="I193">
        <v>1315.3482666</v>
      </c>
      <c r="J193">
        <v>1308.3691406</v>
      </c>
      <c r="K193">
        <v>1200</v>
      </c>
      <c r="L193">
        <v>0</v>
      </c>
      <c r="M193">
        <v>0</v>
      </c>
      <c r="N193">
        <v>1200</v>
      </c>
    </row>
    <row r="194" spans="1:14" x14ac:dyDescent="0.25">
      <c r="A194">
        <v>54.030346000000002</v>
      </c>
      <c r="B194" s="1">
        <f>DATE(2010,6,24) + TIME(0,43,41)</f>
        <v>40353.030335648145</v>
      </c>
      <c r="C194">
        <v>80</v>
      </c>
      <c r="D194">
        <v>79.495956421000002</v>
      </c>
      <c r="E194">
        <v>50</v>
      </c>
      <c r="F194">
        <v>15.000060081000001</v>
      </c>
      <c r="G194">
        <v>1380.1342772999999</v>
      </c>
      <c r="H194">
        <v>1365.2874756000001</v>
      </c>
      <c r="I194">
        <v>1315.3492432</v>
      </c>
      <c r="J194">
        <v>1308.3686522999999</v>
      </c>
      <c r="K194">
        <v>1200</v>
      </c>
      <c r="L194">
        <v>0</v>
      </c>
      <c r="M194">
        <v>0</v>
      </c>
      <c r="N194">
        <v>1200</v>
      </c>
    </row>
    <row r="195" spans="1:14" x14ac:dyDescent="0.25">
      <c r="A195">
        <v>54.828004999999997</v>
      </c>
      <c r="B195" s="1">
        <f>DATE(2010,6,24) + TIME(19,52,19)</f>
        <v>40353.827997685185</v>
      </c>
      <c r="C195">
        <v>80</v>
      </c>
      <c r="D195">
        <v>79.496925353999998</v>
      </c>
      <c r="E195">
        <v>50</v>
      </c>
      <c r="F195">
        <v>15.000065804</v>
      </c>
      <c r="G195">
        <v>1380.0400391000001</v>
      </c>
      <c r="H195">
        <v>1365.2006836</v>
      </c>
      <c r="I195">
        <v>1315.3502197</v>
      </c>
      <c r="J195">
        <v>1308.3682861</v>
      </c>
      <c r="K195">
        <v>1200</v>
      </c>
      <c r="L195">
        <v>0</v>
      </c>
      <c r="M195">
        <v>0</v>
      </c>
      <c r="N195">
        <v>1200</v>
      </c>
    </row>
    <row r="196" spans="1:14" x14ac:dyDescent="0.25">
      <c r="A196">
        <v>55.633783999999999</v>
      </c>
      <c r="B196" s="1">
        <f>DATE(2010,6,25) + TIME(15,12,38)</f>
        <v>40354.633773148147</v>
      </c>
      <c r="C196">
        <v>80</v>
      </c>
      <c r="D196">
        <v>79.497901916999993</v>
      </c>
      <c r="E196">
        <v>50</v>
      </c>
      <c r="F196">
        <v>15.000071525999999</v>
      </c>
      <c r="G196">
        <v>1379.9464111</v>
      </c>
      <c r="H196">
        <v>1365.1143798999999</v>
      </c>
      <c r="I196">
        <v>1315.3513184000001</v>
      </c>
      <c r="J196">
        <v>1308.3679199000001</v>
      </c>
      <c r="K196">
        <v>1200</v>
      </c>
      <c r="L196">
        <v>0</v>
      </c>
      <c r="M196">
        <v>0</v>
      </c>
      <c r="N196">
        <v>1200</v>
      </c>
    </row>
    <row r="197" spans="1:14" x14ac:dyDescent="0.25">
      <c r="A197">
        <v>56.448991999999997</v>
      </c>
      <c r="B197" s="1">
        <f>DATE(2010,6,26) + TIME(10,46,32)</f>
        <v>40355.448981481481</v>
      </c>
      <c r="C197">
        <v>80</v>
      </c>
      <c r="D197">
        <v>79.498893738000007</v>
      </c>
      <c r="E197">
        <v>50</v>
      </c>
      <c r="F197">
        <v>15.000077248</v>
      </c>
      <c r="G197">
        <v>1379.8531493999999</v>
      </c>
      <c r="H197">
        <v>1365.0285644999999</v>
      </c>
      <c r="I197">
        <v>1315.3522949000001</v>
      </c>
      <c r="J197">
        <v>1308.3675536999999</v>
      </c>
      <c r="K197">
        <v>1200</v>
      </c>
      <c r="L197">
        <v>0</v>
      </c>
      <c r="M197">
        <v>0</v>
      </c>
      <c r="N197">
        <v>1200</v>
      </c>
    </row>
    <row r="198" spans="1:14" x14ac:dyDescent="0.25">
      <c r="A198">
        <v>57.274990000000003</v>
      </c>
      <c r="B198" s="1">
        <f>DATE(2010,6,27) + TIME(6,35,59)</f>
        <v>40356.274988425925</v>
      </c>
      <c r="C198">
        <v>80</v>
      </c>
      <c r="D198">
        <v>79.499893188000001</v>
      </c>
      <c r="E198">
        <v>50</v>
      </c>
      <c r="F198">
        <v>15.000082969999999</v>
      </c>
      <c r="G198">
        <v>1379.7602539</v>
      </c>
      <c r="H198">
        <v>1364.9429932</v>
      </c>
      <c r="I198">
        <v>1315.3533935999999</v>
      </c>
      <c r="J198">
        <v>1308.3671875</v>
      </c>
      <c r="K198">
        <v>1200</v>
      </c>
      <c r="L198">
        <v>0</v>
      </c>
      <c r="M198">
        <v>0</v>
      </c>
      <c r="N198">
        <v>1200</v>
      </c>
    </row>
    <row r="199" spans="1:14" x14ac:dyDescent="0.25">
      <c r="A199">
        <v>58.113536000000003</v>
      </c>
      <c r="B199" s="1">
        <f>DATE(2010,6,28) + TIME(2,43,29)</f>
        <v>40357.113530092596</v>
      </c>
      <c r="C199">
        <v>80</v>
      </c>
      <c r="D199">
        <v>79.500900268999999</v>
      </c>
      <c r="E199">
        <v>50</v>
      </c>
      <c r="F199">
        <v>15.000089644999999</v>
      </c>
      <c r="G199">
        <v>1379.6673584</v>
      </c>
      <c r="H199">
        <v>1364.8575439000001</v>
      </c>
      <c r="I199">
        <v>1315.3544922000001</v>
      </c>
      <c r="J199">
        <v>1308.3668213000001</v>
      </c>
      <c r="K199">
        <v>1200</v>
      </c>
      <c r="L199">
        <v>0</v>
      </c>
      <c r="M199">
        <v>0</v>
      </c>
      <c r="N199">
        <v>1200</v>
      </c>
    </row>
    <row r="200" spans="1:14" x14ac:dyDescent="0.25">
      <c r="A200">
        <v>58.965913999999998</v>
      </c>
      <c r="B200" s="1">
        <f>DATE(2010,6,28) + TIME(23,10,54)</f>
        <v>40357.965902777774</v>
      </c>
      <c r="C200">
        <v>80</v>
      </c>
      <c r="D200">
        <v>79.501922606999997</v>
      </c>
      <c r="E200">
        <v>50</v>
      </c>
      <c r="F200">
        <v>15.000095367</v>
      </c>
      <c r="G200">
        <v>1379.5744629000001</v>
      </c>
      <c r="H200">
        <v>1364.7720947</v>
      </c>
      <c r="I200">
        <v>1315.3557129000001</v>
      </c>
      <c r="J200">
        <v>1308.3664550999999</v>
      </c>
      <c r="K200">
        <v>1200</v>
      </c>
      <c r="L200">
        <v>0</v>
      </c>
      <c r="M200">
        <v>0</v>
      </c>
      <c r="N200">
        <v>1200</v>
      </c>
    </row>
    <row r="201" spans="1:14" x14ac:dyDescent="0.25">
      <c r="A201">
        <v>59.832552999999997</v>
      </c>
      <c r="B201" s="1">
        <f>DATE(2010,6,29) + TIME(19,58,52)</f>
        <v>40358.832546296297</v>
      </c>
      <c r="C201">
        <v>80</v>
      </c>
      <c r="D201">
        <v>79.502960204999994</v>
      </c>
      <c r="E201">
        <v>50</v>
      </c>
      <c r="F201">
        <v>15.000102997000001</v>
      </c>
      <c r="G201">
        <v>1379.4813231999999</v>
      </c>
      <c r="H201">
        <v>1364.6864014</v>
      </c>
      <c r="I201">
        <v>1315.3569336</v>
      </c>
      <c r="J201">
        <v>1308.3660889</v>
      </c>
      <c r="K201">
        <v>1200</v>
      </c>
      <c r="L201">
        <v>0</v>
      </c>
      <c r="M201">
        <v>0</v>
      </c>
      <c r="N201">
        <v>1200</v>
      </c>
    </row>
    <row r="202" spans="1:14" x14ac:dyDescent="0.25">
      <c r="A202">
        <v>60.711747000000003</v>
      </c>
      <c r="B202" s="1">
        <f>DATE(2010,6,30) + TIME(17,4,54)</f>
        <v>40359.711736111109</v>
      </c>
      <c r="C202">
        <v>80</v>
      </c>
      <c r="D202">
        <v>79.504013061999999</v>
      </c>
      <c r="E202">
        <v>50</v>
      </c>
      <c r="F202">
        <v>15.000109673000001</v>
      </c>
      <c r="G202">
        <v>1379.3879394999999</v>
      </c>
      <c r="H202">
        <v>1364.6007079999999</v>
      </c>
      <c r="I202">
        <v>1315.3581543</v>
      </c>
      <c r="J202">
        <v>1308.3657227000001</v>
      </c>
      <c r="K202">
        <v>1200</v>
      </c>
      <c r="L202">
        <v>0</v>
      </c>
      <c r="M202">
        <v>0</v>
      </c>
      <c r="N202">
        <v>1200</v>
      </c>
    </row>
    <row r="203" spans="1:14" x14ac:dyDescent="0.25">
      <c r="A203">
        <v>61</v>
      </c>
      <c r="B203" s="1">
        <f>DATE(2010,7,1) + TIME(0,0,0)</f>
        <v>40360</v>
      </c>
      <c r="C203">
        <v>80</v>
      </c>
      <c r="D203">
        <v>79.504325867000006</v>
      </c>
      <c r="E203">
        <v>50</v>
      </c>
      <c r="F203">
        <v>15.000112533999999</v>
      </c>
      <c r="G203">
        <v>1379.2949219</v>
      </c>
      <c r="H203">
        <v>1364.5150146000001</v>
      </c>
      <c r="I203">
        <v>1315.3594971</v>
      </c>
      <c r="J203">
        <v>1308.3654785000001</v>
      </c>
      <c r="K203">
        <v>1200</v>
      </c>
      <c r="L203">
        <v>0</v>
      </c>
      <c r="M203">
        <v>0</v>
      </c>
      <c r="N203">
        <v>1200</v>
      </c>
    </row>
    <row r="204" spans="1:14" x14ac:dyDescent="0.25">
      <c r="A204">
        <v>61.893002000000003</v>
      </c>
      <c r="B204" s="1">
        <f>DATE(2010,7,1) + TIME(21,25,55)</f>
        <v>40360.892997685187</v>
      </c>
      <c r="C204">
        <v>80</v>
      </c>
      <c r="D204">
        <v>79.505409240999995</v>
      </c>
      <c r="E204">
        <v>50</v>
      </c>
      <c r="F204">
        <v>15.000120163</v>
      </c>
      <c r="G204">
        <v>1379.2636719</v>
      </c>
      <c r="H204">
        <v>1364.4863281</v>
      </c>
      <c r="I204">
        <v>1315.3594971</v>
      </c>
      <c r="J204">
        <v>1308.3649902</v>
      </c>
      <c r="K204">
        <v>1200</v>
      </c>
      <c r="L204">
        <v>0</v>
      </c>
      <c r="M204">
        <v>0</v>
      </c>
      <c r="N204">
        <v>1200</v>
      </c>
    </row>
    <row r="205" spans="1:14" x14ac:dyDescent="0.25">
      <c r="A205">
        <v>62.806424</v>
      </c>
      <c r="B205" s="1">
        <f>DATE(2010,7,2) + TIME(19,21,15)</f>
        <v>40361.806423611109</v>
      </c>
      <c r="C205">
        <v>80</v>
      </c>
      <c r="D205">
        <v>79.506492614999999</v>
      </c>
      <c r="E205">
        <v>50</v>
      </c>
      <c r="F205">
        <v>15.000128746</v>
      </c>
      <c r="G205">
        <v>1379.1712646000001</v>
      </c>
      <c r="H205">
        <v>1364.4014893000001</v>
      </c>
      <c r="I205">
        <v>1315.3612060999999</v>
      </c>
      <c r="J205">
        <v>1308.3649902</v>
      </c>
      <c r="K205">
        <v>1200</v>
      </c>
      <c r="L205">
        <v>0</v>
      </c>
      <c r="M205">
        <v>0</v>
      </c>
      <c r="N205">
        <v>1200</v>
      </c>
    </row>
    <row r="206" spans="1:14" x14ac:dyDescent="0.25">
      <c r="A206">
        <v>63.268934999999999</v>
      </c>
      <c r="B206" s="1">
        <f>DATE(2010,7,3) + TIME(6,27,15)</f>
        <v>40362.268923611111</v>
      </c>
      <c r="C206">
        <v>80</v>
      </c>
      <c r="D206">
        <v>79.507019043</v>
      </c>
      <c r="E206">
        <v>50</v>
      </c>
      <c r="F206">
        <v>15.000133514</v>
      </c>
      <c r="G206">
        <v>1379.0769043</v>
      </c>
      <c r="H206">
        <v>1364.3148193</v>
      </c>
      <c r="I206">
        <v>1315.3624268000001</v>
      </c>
      <c r="J206">
        <v>1308.3645019999999</v>
      </c>
      <c r="K206">
        <v>1200</v>
      </c>
      <c r="L206">
        <v>0</v>
      </c>
      <c r="M206">
        <v>0</v>
      </c>
      <c r="N206">
        <v>1200</v>
      </c>
    </row>
    <row r="207" spans="1:14" x14ac:dyDescent="0.25">
      <c r="A207">
        <v>63.731416000000003</v>
      </c>
      <c r="B207" s="1">
        <f>DATE(2010,7,3) + TIME(17,33,14)</f>
        <v>40362.731412037036</v>
      </c>
      <c r="C207">
        <v>80</v>
      </c>
      <c r="D207">
        <v>79.507545471</v>
      </c>
      <c r="E207">
        <v>50</v>
      </c>
      <c r="F207">
        <v>15.000139236000001</v>
      </c>
      <c r="G207">
        <v>1379.0289307</v>
      </c>
      <c r="H207">
        <v>1364.2706298999999</v>
      </c>
      <c r="I207">
        <v>1315.3625488</v>
      </c>
      <c r="J207">
        <v>1308.3637695</v>
      </c>
      <c r="K207">
        <v>1200</v>
      </c>
      <c r="L207">
        <v>0</v>
      </c>
      <c r="M207">
        <v>0</v>
      </c>
      <c r="N207">
        <v>1200</v>
      </c>
    </row>
    <row r="208" spans="1:14" x14ac:dyDescent="0.25">
      <c r="A208">
        <v>64.193898000000004</v>
      </c>
      <c r="B208" s="1">
        <f>DATE(2010,7,4) + TIME(4,39,12)</f>
        <v>40363.193888888891</v>
      </c>
      <c r="C208">
        <v>80</v>
      </c>
      <c r="D208">
        <v>79.508079529</v>
      </c>
      <c r="E208">
        <v>50</v>
      </c>
      <c r="F208">
        <v>15.000144004999999</v>
      </c>
      <c r="G208">
        <v>1378.9821777</v>
      </c>
      <c r="H208">
        <v>1364.2276611</v>
      </c>
      <c r="I208">
        <v>1315.3632812000001</v>
      </c>
      <c r="J208">
        <v>1308.3636475000001</v>
      </c>
      <c r="K208">
        <v>1200</v>
      </c>
      <c r="L208">
        <v>0</v>
      </c>
      <c r="M208">
        <v>0</v>
      </c>
      <c r="N208">
        <v>1200</v>
      </c>
    </row>
    <row r="209" spans="1:14" x14ac:dyDescent="0.25">
      <c r="A209">
        <v>64.656379000000001</v>
      </c>
      <c r="B209" s="1">
        <f>DATE(2010,7,4) + TIME(15,45,11)</f>
        <v>40363.656377314815</v>
      </c>
      <c r="C209">
        <v>80</v>
      </c>
      <c r="D209">
        <v>79.508613585999996</v>
      </c>
      <c r="E209">
        <v>50</v>
      </c>
      <c r="F209">
        <v>15.000149727</v>
      </c>
      <c r="G209">
        <v>1378.9357910000001</v>
      </c>
      <c r="H209">
        <v>1364.1850586</v>
      </c>
      <c r="I209">
        <v>1315.3640137</v>
      </c>
      <c r="J209">
        <v>1308.3635254000001</v>
      </c>
      <c r="K209">
        <v>1200</v>
      </c>
      <c r="L209">
        <v>0</v>
      </c>
      <c r="M209">
        <v>0</v>
      </c>
      <c r="N209">
        <v>1200</v>
      </c>
    </row>
    <row r="210" spans="1:14" x14ac:dyDescent="0.25">
      <c r="A210">
        <v>65.581343000000004</v>
      </c>
      <c r="B210" s="1">
        <f>DATE(2010,7,5) + TIME(13,57,8)</f>
        <v>40364.581342592595</v>
      </c>
      <c r="C210">
        <v>80</v>
      </c>
      <c r="D210">
        <v>79.509727478000002</v>
      </c>
      <c r="E210">
        <v>50</v>
      </c>
      <c r="F210">
        <v>15.000160216999999</v>
      </c>
      <c r="G210">
        <v>1378.8908690999999</v>
      </c>
      <c r="H210">
        <v>1364.1439209</v>
      </c>
      <c r="I210">
        <v>1315.3652344</v>
      </c>
      <c r="J210">
        <v>1308.3638916</v>
      </c>
      <c r="K210">
        <v>1200</v>
      </c>
      <c r="L210">
        <v>0</v>
      </c>
      <c r="M210">
        <v>0</v>
      </c>
      <c r="N210">
        <v>1200</v>
      </c>
    </row>
    <row r="211" spans="1:14" x14ac:dyDescent="0.25">
      <c r="A211">
        <v>66.506752000000006</v>
      </c>
      <c r="B211" s="1">
        <f>DATE(2010,7,6) + TIME(12,9,43)</f>
        <v>40365.506747685184</v>
      </c>
      <c r="C211">
        <v>80</v>
      </c>
      <c r="D211">
        <v>79.510826111</v>
      </c>
      <c r="E211">
        <v>50</v>
      </c>
      <c r="F211">
        <v>15.000171661</v>
      </c>
      <c r="G211">
        <v>1378.800293</v>
      </c>
      <c r="H211">
        <v>1364.0609131000001</v>
      </c>
      <c r="I211">
        <v>1315.3670654</v>
      </c>
      <c r="J211">
        <v>1308.3640137</v>
      </c>
      <c r="K211">
        <v>1200</v>
      </c>
      <c r="L211">
        <v>0</v>
      </c>
      <c r="M211">
        <v>0</v>
      </c>
      <c r="N211">
        <v>1200</v>
      </c>
    </row>
    <row r="212" spans="1:14" x14ac:dyDescent="0.25">
      <c r="A212">
        <v>67.436616999999998</v>
      </c>
      <c r="B212" s="1">
        <f>DATE(2010,7,7) + TIME(10,28,43)</f>
        <v>40366.436608796299</v>
      </c>
      <c r="C212">
        <v>80</v>
      </c>
      <c r="D212">
        <v>79.511917113999999</v>
      </c>
      <c r="E212">
        <v>50</v>
      </c>
      <c r="F212">
        <v>15.000184059</v>
      </c>
      <c r="G212">
        <v>1378.7105713000001</v>
      </c>
      <c r="H212">
        <v>1363.9785156</v>
      </c>
      <c r="I212">
        <v>1315.3686522999999</v>
      </c>
      <c r="J212">
        <v>1308.3637695</v>
      </c>
      <c r="K212">
        <v>1200</v>
      </c>
      <c r="L212">
        <v>0</v>
      </c>
      <c r="M212">
        <v>0</v>
      </c>
      <c r="N212">
        <v>1200</v>
      </c>
    </row>
    <row r="213" spans="1:14" x14ac:dyDescent="0.25">
      <c r="A213">
        <v>68.372406999999995</v>
      </c>
      <c r="B213" s="1">
        <f>DATE(2010,7,8) + TIME(8,56,15)</f>
        <v>40367.372395833336</v>
      </c>
      <c r="C213">
        <v>80</v>
      </c>
      <c r="D213">
        <v>79.513008118000002</v>
      </c>
      <c r="E213">
        <v>50</v>
      </c>
      <c r="F213">
        <v>15.000198363999999</v>
      </c>
      <c r="G213">
        <v>1378.621582</v>
      </c>
      <c r="H213">
        <v>1363.8968506000001</v>
      </c>
      <c r="I213">
        <v>1315.3703613</v>
      </c>
      <c r="J213">
        <v>1308.3636475000001</v>
      </c>
      <c r="K213">
        <v>1200</v>
      </c>
      <c r="L213">
        <v>0</v>
      </c>
      <c r="M213">
        <v>0</v>
      </c>
      <c r="N213">
        <v>1200</v>
      </c>
    </row>
    <row r="214" spans="1:14" x14ac:dyDescent="0.25">
      <c r="A214">
        <v>69.315613999999997</v>
      </c>
      <c r="B214" s="1">
        <f>DATE(2010,7,9) + TIME(7,34,29)</f>
        <v>40368.315613425926</v>
      </c>
      <c r="C214">
        <v>80</v>
      </c>
      <c r="D214">
        <v>79.514106749999996</v>
      </c>
      <c r="E214">
        <v>50</v>
      </c>
      <c r="F214">
        <v>15.000214576999999</v>
      </c>
      <c r="G214">
        <v>1378.5332031</v>
      </c>
      <c r="H214">
        <v>1363.815918</v>
      </c>
      <c r="I214">
        <v>1315.3719481999999</v>
      </c>
      <c r="J214">
        <v>1308.3635254000001</v>
      </c>
      <c r="K214">
        <v>1200</v>
      </c>
      <c r="L214">
        <v>0</v>
      </c>
      <c r="M214">
        <v>0</v>
      </c>
      <c r="N214">
        <v>1200</v>
      </c>
    </row>
    <row r="215" spans="1:14" x14ac:dyDescent="0.25">
      <c r="A215">
        <v>70.267758999999998</v>
      </c>
      <c r="B215" s="1">
        <f>DATE(2010,7,10) + TIME(6,25,34)</f>
        <v>40369.267754629633</v>
      </c>
      <c r="C215">
        <v>80</v>
      </c>
      <c r="D215">
        <v>79.515213012999993</v>
      </c>
      <c r="E215">
        <v>50</v>
      </c>
      <c r="F215">
        <v>15.00023365</v>
      </c>
      <c r="G215">
        <v>1378.4453125</v>
      </c>
      <c r="H215">
        <v>1363.7353516000001</v>
      </c>
      <c r="I215">
        <v>1315.3737793</v>
      </c>
      <c r="J215">
        <v>1308.3634033000001</v>
      </c>
      <c r="K215">
        <v>1200</v>
      </c>
      <c r="L215">
        <v>0</v>
      </c>
      <c r="M215">
        <v>0</v>
      </c>
      <c r="N215">
        <v>1200</v>
      </c>
    </row>
    <row r="216" spans="1:14" x14ac:dyDescent="0.25">
      <c r="A216">
        <v>71.230399000000006</v>
      </c>
      <c r="B216" s="1">
        <f>DATE(2010,7,11) + TIME(5,31,46)</f>
        <v>40370.230393518519</v>
      </c>
      <c r="C216">
        <v>80</v>
      </c>
      <c r="D216">
        <v>79.516319275000001</v>
      </c>
      <c r="E216">
        <v>50</v>
      </c>
      <c r="F216">
        <v>15.000254631000001</v>
      </c>
      <c r="G216">
        <v>1378.3577881000001</v>
      </c>
      <c r="H216">
        <v>1363.6550293</v>
      </c>
      <c r="I216">
        <v>1315.3754882999999</v>
      </c>
      <c r="J216">
        <v>1308.3632812000001</v>
      </c>
      <c r="K216">
        <v>1200</v>
      </c>
      <c r="L216">
        <v>0</v>
      </c>
      <c r="M216">
        <v>0</v>
      </c>
      <c r="N216">
        <v>1200</v>
      </c>
    </row>
    <row r="217" spans="1:14" x14ac:dyDescent="0.25">
      <c r="A217">
        <v>72.205161000000004</v>
      </c>
      <c r="B217" s="1">
        <f>DATE(2010,7,12) + TIME(4,55,25)</f>
        <v>40371.205150462964</v>
      </c>
      <c r="C217">
        <v>80</v>
      </c>
      <c r="D217">
        <v>79.517440796000002</v>
      </c>
      <c r="E217">
        <v>50</v>
      </c>
      <c r="F217">
        <v>15.000279427000001</v>
      </c>
      <c r="G217">
        <v>1378.2705077999999</v>
      </c>
      <c r="H217">
        <v>1363.5750731999999</v>
      </c>
      <c r="I217">
        <v>1315.3774414</v>
      </c>
      <c r="J217">
        <v>1308.3631591999999</v>
      </c>
      <c r="K217">
        <v>1200</v>
      </c>
      <c r="L217">
        <v>0</v>
      </c>
      <c r="M217">
        <v>0</v>
      </c>
      <c r="N217">
        <v>1200</v>
      </c>
    </row>
    <row r="218" spans="1:14" x14ac:dyDescent="0.25">
      <c r="A218">
        <v>73.193924999999993</v>
      </c>
      <c r="B218" s="1">
        <f>DATE(2010,7,13) + TIME(4,39,15)</f>
        <v>40372.193923611114</v>
      </c>
      <c r="C218">
        <v>80</v>
      </c>
      <c r="D218">
        <v>79.518569946</v>
      </c>
      <c r="E218">
        <v>50</v>
      </c>
      <c r="F218">
        <v>15.000308037</v>
      </c>
      <c r="G218">
        <v>1378.1832274999999</v>
      </c>
      <c r="H218">
        <v>1363.4951172000001</v>
      </c>
      <c r="I218">
        <v>1315.3792725000001</v>
      </c>
      <c r="J218">
        <v>1308.3631591999999</v>
      </c>
      <c r="K218">
        <v>1200</v>
      </c>
      <c r="L218">
        <v>0</v>
      </c>
      <c r="M218">
        <v>0</v>
      </c>
      <c r="N218">
        <v>1200</v>
      </c>
    </row>
    <row r="219" spans="1:14" x14ac:dyDescent="0.25">
      <c r="A219">
        <v>74.198594</v>
      </c>
      <c r="B219" s="1">
        <f>DATE(2010,7,14) + TIME(4,45,58)</f>
        <v>40373.198587962965</v>
      </c>
      <c r="C219">
        <v>80</v>
      </c>
      <c r="D219">
        <v>79.519714355000005</v>
      </c>
      <c r="E219">
        <v>50</v>
      </c>
      <c r="F219">
        <v>15.000341414999999</v>
      </c>
      <c r="G219">
        <v>1378.0959473</v>
      </c>
      <c r="H219">
        <v>1363.4151611</v>
      </c>
      <c r="I219">
        <v>1315.3813477000001</v>
      </c>
      <c r="J219">
        <v>1308.3632812000001</v>
      </c>
      <c r="K219">
        <v>1200</v>
      </c>
      <c r="L219">
        <v>0</v>
      </c>
      <c r="M219">
        <v>0</v>
      </c>
      <c r="N219">
        <v>1200</v>
      </c>
    </row>
    <row r="220" spans="1:14" x14ac:dyDescent="0.25">
      <c r="A220">
        <v>75.215191000000004</v>
      </c>
      <c r="B220" s="1">
        <f>DATE(2010,7,15) + TIME(5,9,52)</f>
        <v>40374.215185185189</v>
      </c>
      <c r="C220">
        <v>80</v>
      </c>
      <c r="D220">
        <v>79.520866393999995</v>
      </c>
      <c r="E220">
        <v>50</v>
      </c>
      <c r="F220">
        <v>15.000379561999999</v>
      </c>
      <c r="G220">
        <v>1378.0084228999999</v>
      </c>
      <c r="H220">
        <v>1363.3349608999999</v>
      </c>
      <c r="I220">
        <v>1315.3834228999999</v>
      </c>
      <c r="J220">
        <v>1308.3632812000001</v>
      </c>
      <c r="K220">
        <v>1200</v>
      </c>
      <c r="L220">
        <v>0</v>
      </c>
      <c r="M220">
        <v>0</v>
      </c>
      <c r="N220">
        <v>1200</v>
      </c>
    </row>
    <row r="221" spans="1:14" x14ac:dyDescent="0.25">
      <c r="A221">
        <v>76.244637999999995</v>
      </c>
      <c r="B221" s="1">
        <f>DATE(2010,7,16) + TIME(5,52,16)</f>
        <v>40375.244629629633</v>
      </c>
      <c r="C221">
        <v>80</v>
      </c>
      <c r="D221">
        <v>79.522033691000004</v>
      </c>
      <c r="E221">
        <v>50</v>
      </c>
      <c r="F221">
        <v>15.000425339</v>
      </c>
      <c r="G221">
        <v>1377.9208983999999</v>
      </c>
      <c r="H221">
        <v>1363.2550048999999</v>
      </c>
      <c r="I221">
        <v>1315.3856201000001</v>
      </c>
      <c r="J221">
        <v>1308.3634033000001</v>
      </c>
      <c r="K221">
        <v>1200</v>
      </c>
      <c r="L221">
        <v>0</v>
      </c>
      <c r="M221">
        <v>0</v>
      </c>
      <c r="N221">
        <v>1200</v>
      </c>
    </row>
    <row r="222" spans="1:14" x14ac:dyDescent="0.25">
      <c r="A222">
        <v>77.288912999999994</v>
      </c>
      <c r="B222" s="1">
        <f>DATE(2010,7,17) + TIME(6,56,2)</f>
        <v>40376.288912037038</v>
      </c>
      <c r="C222">
        <v>80</v>
      </c>
      <c r="D222">
        <v>79.523208617999998</v>
      </c>
      <c r="E222">
        <v>50</v>
      </c>
      <c r="F222">
        <v>15.000478745000001</v>
      </c>
      <c r="G222">
        <v>1377.8336182</v>
      </c>
      <c r="H222">
        <v>1363.1750488</v>
      </c>
      <c r="I222">
        <v>1315.3879394999999</v>
      </c>
      <c r="J222">
        <v>1308.3635254000001</v>
      </c>
      <c r="K222">
        <v>1200</v>
      </c>
      <c r="L222">
        <v>0</v>
      </c>
      <c r="M222">
        <v>0</v>
      </c>
      <c r="N222">
        <v>1200</v>
      </c>
    </row>
    <row r="223" spans="1:14" x14ac:dyDescent="0.25">
      <c r="A223">
        <v>77.815620999999993</v>
      </c>
      <c r="B223" s="1">
        <f>DATE(2010,7,17) + TIME(19,34,29)</f>
        <v>40376.815613425926</v>
      </c>
      <c r="C223">
        <v>80</v>
      </c>
      <c r="D223">
        <v>79.523773192999997</v>
      </c>
      <c r="E223">
        <v>50</v>
      </c>
      <c r="F223">
        <v>15.000514984</v>
      </c>
      <c r="G223">
        <v>1377.7457274999999</v>
      </c>
      <c r="H223">
        <v>1363.0943603999999</v>
      </c>
      <c r="I223">
        <v>1315.3901367000001</v>
      </c>
      <c r="J223">
        <v>1308.3635254000001</v>
      </c>
      <c r="K223">
        <v>1200</v>
      </c>
      <c r="L223">
        <v>0</v>
      </c>
      <c r="M223">
        <v>0</v>
      </c>
      <c r="N223">
        <v>1200</v>
      </c>
    </row>
    <row r="224" spans="1:14" x14ac:dyDescent="0.25">
      <c r="A224">
        <v>78.342330000000004</v>
      </c>
      <c r="B224" s="1">
        <f>DATE(2010,7,18) + TIME(8,12,57)</f>
        <v>40377.342326388891</v>
      </c>
      <c r="C224">
        <v>80</v>
      </c>
      <c r="D224">
        <v>79.524337768999999</v>
      </c>
      <c r="E224">
        <v>50</v>
      </c>
      <c r="F224">
        <v>15.000553131</v>
      </c>
      <c r="G224">
        <v>1377.7010498</v>
      </c>
      <c r="H224">
        <v>1363.0534668</v>
      </c>
      <c r="I224">
        <v>1315.3908690999999</v>
      </c>
      <c r="J224">
        <v>1308.3631591999999</v>
      </c>
      <c r="K224">
        <v>1200</v>
      </c>
      <c r="L224">
        <v>0</v>
      </c>
      <c r="M224">
        <v>0</v>
      </c>
      <c r="N224">
        <v>1200</v>
      </c>
    </row>
    <row r="225" spans="1:14" x14ac:dyDescent="0.25">
      <c r="A225">
        <v>78.869038000000003</v>
      </c>
      <c r="B225" s="1">
        <f>DATE(2010,7,18) + TIME(20,51,24)</f>
        <v>40377.869027777779</v>
      </c>
      <c r="C225">
        <v>80</v>
      </c>
      <c r="D225">
        <v>79.524917603000006</v>
      </c>
      <c r="E225">
        <v>50</v>
      </c>
      <c r="F225">
        <v>15.000594139</v>
      </c>
      <c r="G225">
        <v>1377.6575928</v>
      </c>
      <c r="H225">
        <v>1363.0135498</v>
      </c>
      <c r="I225">
        <v>1315.3919678</v>
      </c>
      <c r="J225">
        <v>1308.3631591999999</v>
      </c>
      <c r="K225">
        <v>1200</v>
      </c>
      <c r="L225">
        <v>0</v>
      </c>
      <c r="M225">
        <v>0</v>
      </c>
      <c r="N225">
        <v>1200</v>
      </c>
    </row>
    <row r="226" spans="1:14" x14ac:dyDescent="0.25">
      <c r="A226">
        <v>79.395747</v>
      </c>
      <c r="B226" s="1">
        <f>DATE(2010,7,19) + TIME(9,29,52)</f>
        <v>40378.395740740743</v>
      </c>
      <c r="C226">
        <v>80</v>
      </c>
      <c r="D226">
        <v>79.525489807</v>
      </c>
      <c r="E226">
        <v>50</v>
      </c>
      <c r="F226">
        <v>15.000638007999999</v>
      </c>
      <c r="G226">
        <v>1377.6145019999999</v>
      </c>
      <c r="H226">
        <v>1362.973999</v>
      </c>
      <c r="I226">
        <v>1315.3933105000001</v>
      </c>
      <c r="J226">
        <v>1308.3632812000001</v>
      </c>
      <c r="K226">
        <v>1200</v>
      </c>
      <c r="L226">
        <v>0</v>
      </c>
      <c r="M226">
        <v>0</v>
      </c>
      <c r="N226">
        <v>1200</v>
      </c>
    </row>
    <row r="227" spans="1:14" x14ac:dyDescent="0.25">
      <c r="A227">
        <v>79.922454999999999</v>
      </c>
      <c r="B227" s="1">
        <f>DATE(2010,7,19) + TIME(22,8,20)</f>
        <v>40378.922453703701</v>
      </c>
      <c r="C227">
        <v>80</v>
      </c>
      <c r="D227">
        <v>79.526069641000007</v>
      </c>
      <c r="E227">
        <v>50</v>
      </c>
      <c r="F227">
        <v>15.000684738</v>
      </c>
      <c r="G227">
        <v>1377.5716553</v>
      </c>
      <c r="H227">
        <v>1362.9348144999999</v>
      </c>
      <c r="I227">
        <v>1315.3945312000001</v>
      </c>
      <c r="J227">
        <v>1308.3635254000001</v>
      </c>
      <c r="K227">
        <v>1200</v>
      </c>
      <c r="L227">
        <v>0</v>
      </c>
      <c r="M227">
        <v>0</v>
      </c>
      <c r="N227">
        <v>1200</v>
      </c>
    </row>
    <row r="228" spans="1:14" x14ac:dyDescent="0.25">
      <c r="A228">
        <v>80.975871999999995</v>
      </c>
      <c r="B228" s="1">
        <f>DATE(2010,7,20) + TIME(23,25,15)</f>
        <v>40379.975868055553</v>
      </c>
      <c r="C228">
        <v>80</v>
      </c>
      <c r="D228">
        <v>79.527267456000004</v>
      </c>
      <c r="E228">
        <v>50</v>
      </c>
      <c r="F228">
        <v>15.000770569</v>
      </c>
      <c r="G228">
        <v>1377.5299072</v>
      </c>
      <c r="H228">
        <v>1362.8967285000001</v>
      </c>
      <c r="I228">
        <v>1315.3963623</v>
      </c>
      <c r="J228">
        <v>1308.3641356999999</v>
      </c>
      <c r="K228">
        <v>1200</v>
      </c>
      <c r="L228">
        <v>0</v>
      </c>
      <c r="M228">
        <v>0</v>
      </c>
      <c r="N228">
        <v>1200</v>
      </c>
    </row>
    <row r="229" spans="1:14" x14ac:dyDescent="0.25">
      <c r="A229">
        <v>82.029884999999993</v>
      </c>
      <c r="B229" s="1">
        <f>DATE(2010,7,22) + TIME(0,43,2)</f>
        <v>40381.02988425926</v>
      </c>
      <c r="C229">
        <v>80</v>
      </c>
      <c r="D229">
        <v>79.528442382999998</v>
      </c>
      <c r="E229">
        <v>50</v>
      </c>
      <c r="F229">
        <v>15.000873565999999</v>
      </c>
      <c r="G229">
        <v>1377.4461670000001</v>
      </c>
      <c r="H229">
        <v>1362.8201904</v>
      </c>
      <c r="I229">
        <v>1315.3994141000001</v>
      </c>
      <c r="J229">
        <v>1308.3648682</v>
      </c>
      <c r="K229">
        <v>1200</v>
      </c>
      <c r="L229">
        <v>0</v>
      </c>
      <c r="M229">
        <v>0</v>
      </c>
      <c r="N229">
        <v>1200</v>
      </c>
    </row>
    <row r="230" spans="1:14" x14ac:dyDescent="0.25">
      <c r="A230">
        <v>83.090018999999998</v>
      </c>
      <c r="B230" s="1">
        <f>DATE(2010,7,23) + TIME(2,9,37)</f>
        <v>40382.090011574073</v>
      </c>
      <c r="C230">
        <v>80</v>
      </c>
      <c r="D230">
        <v>79.529617310000006</v>
      </c>
      <c r="E230">
        <v>50</v>
      </c>
      <c r="F230">
        <v>15.000994682</v>
      </c>
      <c r="G230">
        <v>1377.3629149999999</v>
      </c>
      <c r="H230">
        <v>1362.7440185999999</v>
      </c>
      <c r="I230">
        <v>1315.4020995999999</v>
      </c>
      <c r="J230">
        <v>1308.3653564000001</v>
      </c>
      <c r="K230">
        <v>1200</v>
      </c>
      <c r="L230">
        <v>0</v>
      </c>
      <c r="M230">
        <v>0</v>
      </c>
      <c r="N230">
        <v>1200</v>
      </c>
    </row>
    <row r="231" spans="1:14" x14ac:dyDescent="0.25">
      <c r="A231">
        <v>84.157994000000002</v>
      </c>
      <c r="B231" s="1">
        <f>DATE(2010,7,24) + TIME(3,47,30)</f>
        <v>40383.157986111109</v>
      </c>
      <c r="C231">
        <v>80</v>
      </c>
      <c r="D231">
        <v>79.530792235999996</v>
      </c>
      <c r="E231">
        <v>50</v>
      </c>
      <c r="F231">
        <v>15.00113678</v>
      </c>
      <c r="G231">
        <v>1377.2802733999999</v>
      </c>
      <c r="H231">
        <v>1362.6683350000001</v>
      </c>
      <c r="I231">
        <v>1315.4050293</v>
      </c>
      <c r="J231">
        <v>1308.3659668</v>
      </c>
      <c r="K231">
        <v>1200</v>
      </c>
      <c r="L231">
        <v>0</v>
      </c>
      <c r="M231">
        <v>0</v>
      </c>
      <c r="N231">
        <v>1200</v>
      </c>
    </row>
    <row r="232" spans="1:14" x14ac:dyDescent="0.25">
      <c r="A232">
        <v>85.235561000000004</v>
      </c>
      <c r="B232" s="1">
        <f>DATE(2010,7,25) + TIME(5,39,12)</f>
        <v>40384.235555555555</v>
      </c>
      <c r="C232">
        <v>80</v>
      </c>
      <c r="D232">
        <v>79.531974792</v>
      </c>
      <c r="E232">
        <v>50</v>
      </c>
      <c r="F232">
        <v>15.001303673000001</v>
      </c>
      <c r="G232">
        <v>1377.1979980000001</v>
      </c>
      <c r="H232">
        <v>1362.5930175999999</v>
      </c>
      <c r="I232">
        <v>1315.4079589999999</v>
      </c>
      <c r="J232">
        <v>1308.3665771000001</v>
      </c>
      <c r="K232">
        <v>1200</v>
      </c>
      <c r="L232">
        <v>0</v>
      </c>
      <c r="M232">
        <v>0</v>
      </c>
      <c r="N232">
        <v>1200</v>
      </c>
    </row>
    <row r="233" spans="1:14" x14ac:dyDescent="0.25">
      <c r="A233">
        <v>86.324477999999999</v>
      </c>
      <c r="B233" s="1">
        <f>DATE(2010,7,26) + TIME(7,47,14)</f>
        <v>40385.324467592596</v>
      </c>
      <c r="C233">
        <v>80</v>
      </c>
      <c r="D233">
        <v>79.533157349000007</v>
      </c>
      <c r="E233">
        <v>50</v>
      </c>
      <c r="F233">
        <v>15.001499175999999</v>
      </c>
      <c r="G233">
        <v>1377.1159668</v>
      </c>
      <c r="H233">
        <v>1362.5179443</v>
      </c>
      <c r="I233">
        <v>1315.4110106999999</v>
      </c>
      <c r="J233">
        <v>1308.3671875</v>
      </c>
      <c r="K233">
        <v>1200</v>
      </c>
      <c r="L233">
        <v>0</v>
      </c>
      <c r="M233">
        <v>0</v>
      </c>
      <c r="N233">
        <v>1200</v>
      </c>
    </row>
    <row r="234" spans="1:14" x14ac:dyDescent="0.25">
      <c r="A234">
        <v>87.426612000000006</v>
      </c>
      <c r="B234" s="1">
        <f>DATE(2010,7,27) + TIME(10,14,19)</f>
        <v>40386.426608796297</v>
      </c>
      <c r="C234">
        <v>80</v>
      </c>
      <c r="D234">
        <v>79.534347534000005</v>
      </c>
      <c r="E234">
        <v>50</v>
      </c>
      <c r="F234">
        <v>15.001728057999999</v>
      </c>
      <c r="G234">
        <v>1377.0341797000001</v>
      </c>
      <c r="H234">
        <v>1362.4431152</v>
      </c>
      <c r="I234">
        <v>1315.4143065999999</v>
      </c>
      <c r="J234">
        <v>1308.3679199000001</v>
      </c>
      <c r="K234">
        <v>1200</v>
      </c>
      <c r="L234">
        <v>0</v>
      </c>
      <c r="M234">
        <v>0</v>
      </c>
      <c r="N234">
        <v>1200</v>
      </c>
    </row>
    <row r="235" spans="1:14" x14ac:dyDescent="0.25">
      <c r="A235">
        <v>88.543993999999998</v>
      </c>
      <c r="B235" s="1">
        <f>DATE(2010,7,28) + TIME(13,3,21)</f>
        <v>40387.543993055559</v>
      </c>
      <c r="C235">
        <v>80</v>
      </c>
      <c r="D235">
        <v>79.535552979000002</v>
      </c>
      <c r="E235">
        <v>50</v>
      </c>
      <c r="F235">
        <v>15.001995086999999</v>
      </c>
      <c r="G235">
        <v>1376.9522704999999</v>
      </c>
      <c r="H235">
        <v>1362.3682861</v>
      </c>
      <c r="I235">
        <v>1315.4176024999999</v>
      </c>
      <c r="J235">
        <v>1308.3687743999999</v>
      </c>
      <c r="K235">
        <v>1200</v>
      </c>
      <c r="L235">
        <v>0</v>
      </c>
      <c r="M235">
        <v>0</v>
      </c>
      <c r="N235">
        <v>1200</v>
      </c>
    </row>
    <row r="236" spans="1:14" x14ac:dyDescent="0.25">
      <c r="A236">
        <v>89.675070000000005</v>
      </c>
      <c r="B236" s="1">
        <f>DATE(2010,7,29) + TIME(16,12,6)</f>
        <v>40388.675069444442</v>
      </c>
      <c r="C236">
        <v>80</v>
      </c>
      <c r="D236">
        <v>79.536758422999995</v>
      </c>
      <c r="E236">
        <v>50</v>
      </c>
      <c r="F236">
        <v>15.002306938</v>
      </c>
      <c r="G236">
        <v>1376.8703613</v>
      </c>
      <c r="H236">
        <v>1362.2933350000001</v>
      </c>
      <c r="I236">
        <v>1315.4211425999999</v>
      </c>
      <c r="J236">
        <v>1308.369751</v>
      </c>
      <c r="K236">
        <v>1200</v>
      </c>
      <c r="L236">
        <v>0</v>
      </c>
      <c r="M236">
        <v>0</v>
      </c>
      <c r="N236">
        <v>1200</v>
      </c>
    </row>
    <row r="237" spans="1:14" x14ac:dyDescent="0.25">
      <c r="A237">
        <v>90.816851999999997</v>
      </c>
      <c r="B237" s="1">
        <f>DATE(2010,7,30) + TIME(19,36,16)</f>
        <v>40389.816851851851</v>
      </c>
      <c r="C237">
        <v>80</v>
      </c>
      <c r="D237">
        <v>79.537979125999996</v>
      </c>
      <c r="E237">
        <v>50</v>
      </c>
      <c r="F237">
        <v>15.002669334</v>
      </c>
      <c r="G237">
        <v>1376.7884521000001</v>
      </c>
      <c r="H237">
        <v>1362.2183838000001</v>
      </c>
      <c r="I237">
        <v>1315.4248047000001</v>
      </c>
      <c r="J237">
        <v>1308.3708495999999</v>
      </c>
      <c r="K237">
        <v>1200</v>
      </c>
      <c r="L237">
        <v>0</v>
      </c>
      <c r="M237">
        <v>0</v>
      </c>
      <c r="N237">
        <v>1200</v>
      </c>
    </row>
    <row r="238" spans="1:14" x14ac:dyDescent="0.25">
      <c r="A238">
        <v>91.408426000000006</v>
      </c>
      <c r="B238" s="1">
        <f>DATE(2010,7,31) + TIME(9,48,8)</f>
        <v>40390.408425925925</v>
      </c>
      <c r="C238">
        <v>80</v>
      </c>
      <c r="D238">
        <v>79.538581848000007</v>
      </c>
      <c r="E238">
        <v>50</v>
      </c>
      <c r="F238">
        <v>15.002923012</v>
      </c>
      <c r="G238">
        <v>1376.7062988</v>
      </c>
      <c r="H238">
        <v>1362.1431885</v>
      </c>
      <c r="I238">
        <v>1315.4284668</v>
      </c>
      <c r="J238">
        <v>1308.3718262</v>
      </c>
      <c r="K238">
        <v>1200</v>
      </c>
      <c r="L238">
        <v>0</v>
      </c>
      <c r="M238">
        <v>0</v>
      </c>
      <c r="N238">
        <v>1200</v>
      </c>
    </row>
    <row r="239" spans="1:14" x14ac:dyDescent="0.25">
      <c r="A239">
        <v>92</v>
      </c>
      <c r="B239" s="1">
        <f>DATE(2010,8,1) + TIME(0,0,0)</f>
        <v>40391</v>
      </c>
      <c r="C239">
        <v>80</v>
      </c>
      <c r="D239">
        <v>79.539192200000002</v>
      </c>
      <c r="E239">
        <v>50</v>
      </c>
      <c r="F239">
        <v>15.003189087000001</v>
      </c>
      <c r="G239">
        <v>1376.6636963000001</v>
      </c>
      <c r="H239">
        <v>1362.1040039</v>
      </c>
      <c r="I239">
        <v>1315.4299315999999</v>
      </c>
      <c r="J239">
        <v>1308.3719481999999</v>
      </c>
      <c r="K239">
        <v>1200</v>
      </c>
      <c r="L239">
        <v>0</v>
      </c>
      <c r="M239">
        <v>0</v>
      </c>
      <c r="N239">
        <v>1200</v>
      </c>
    </row>
    <row r="240" spans="1:14" x14ac:dyDescent="0.25">
      <c r="A240">
        <v>93.183148000000003</v>
      </c>
      <c r="B240" s="1">
        <f>DATE(2010,8,2) + TIME(4,23,43)</f>
        <v>40392.183136574073</v>
      </c>
      <c r="C240">
        <v>80</v>
      </c>
      <c r="D240">
        <v>79.540458678999997</v>
      </c>
      <c r="E240">
        <v>50</v>
      </c>
      <c r="F240">
        <v>15.003666878000001</v>
      </c>
      <c r="G240">
        <v>1376.6225586</v>
      </c>
      <c r="H240">
        <v>1362.0665283000001</v>
      </c>
      <c r="I240">
        <v>1315.4324951000001</v>
      </c>
      <c r="J240">
        <v>1308.3730469</v>
      </c>
      <c r="K240">
        <v>1200</v>
      </c>
      <c r="L240">
        <v>0</v>
      </c>
      <c r="M240">
        <v>0</v>
      </c>
      <c r="N240">
        <v>1200</v>
      </c>
    </row>
    <row r="241" spans="1:14" x14ac:dyDescent="0.25">
      <c r="A241">
        <v>94.368454999999997</v>
      </c>
      <c r="B241" s="1">
        <f>DATE(2010,8,3) + TIME(8,50,34)</f>
        <v>40393.368449074071</v>
      </c>
      <c r="C241">
        <v>80</v>
      </c>
      <c r="D241">
        <v>79.541709900000001</v>
      </c>
      <c r="E241">
        <v>50</v>
      </c>
      <c r="F241">
        <v>15.004228592</v>
      </c>
      <c r="G241">
        <v>1376.5404053</v>
      </c>
      <c r="H241">
        <v>1361.9913329999999</v>
      </c>
      <c r="I241">
        <v>1315.4370117000001</v>
      </c>
      <c r="J241">
        <v>1308.3747559000001</v>
      </c>
      <c r="K241">
        <v>1200</v>
      </c>
      <c r="L241">
        <v>0</v>
      </c>
      <c r="M241">
        <v>0</v>
      </c>
      <c r="N241">
        <v>1200</v>
      </c>
    </row>
    <row r="242" spans="1:14" x14ac:dyDescent="0.25">
      <c r="A242">
        <v>95.563162000000005</v>
      </c>
      <c r="B242" s="1">
        <f>DATE(2010,8,4) + TIME(13,30,57)</f>
        <v>40394.563159722224</v>
      </c>
      <c r="C242">
        <v>80</v>
      </c>
      <c r="D242">
        <v>79.542961121000005</v>
      </c>
      <c r="E242">
        <v>50</v>
      </c>
      <c r="F242">
        <v>15.004886626999999</v>
      </c>
      <c r="G242">
        <v>1376.4586182</v>
      </c>
      <c r="H242">
        <v>1361.916626</v>
      </c>
      <c r="I242">
        <v>1315.4414062000001</v>
      </c>
      <c r="J242">
        <v>1308.3763428</v>
      </c>
      <c r="K242">
        <v>1200</v>
      </c>
      <c r="L242">
        <v>0</v>
      </c>
      <c r="M242">
        <v>0</v>
      </c>
      <c r="N242">
        <v>1200</v>
      </c>
    </row>
    <row r="243" spans="1:14" x14ac:dyDescent="0.25">
      <c r="A243">
        <v>96.758803999999998</v>
      </c>
      <c r="B243" s="1">
        <f>DATE(2010,8,5) + TIME(18,12,40)</f>
        <v>40395.758796296293</v>
      </c>
      <c r="C243">
        <v>80</v>
      </c>
      <c r="D243">
        <v>79.544204711999996</v>
      </c>
      <c r="E243">
        <v>50</v>
      </c>
      <c r="F243">
        <v>15.005648613</v>
      </c>
      <c r="G243">
        <v>1376.3771973</v>
      </c>
      <c r="H243">
        <v>1361.8420410000001</v>
      </c>
      <c r="I243">
        <v>1315.4460449000001</v>
      </c>
      <c r="J243">
        <v>1308.3780518000001</v>
      </c>
      <c r="K243">
        <v>1200</v>
      </c>
      <c r="L243">
        <v>0</v>
      </c>
      <c r="M243">
        <v>0</v>
      </c>
      <c r="N243">
        <v>1200</v>
      </c>
    </row>
    <row r="244" spans="1:14" x14ac:dyDescent="0.25">
      <c r="A244">
        <v>97.957538999999997</v>
      </c>
      <c r="B244" s="1">
        <f>DATE(2010,8,6) + TIME(22,58,51)</f>
        <v>40396.95753472222</v>
      </c>
      <c r="C244">
        <v>80</v>
      </c>
      <c r="D244">
        <v>79.545440674000005</v>
      </c>
      <c r="E244">
        <v>50</v>
      </c>
      <c r="F244">
        <v>15.006526946999999</v>
      </c>
      <c r="G244">
        <v>1376.2967529</v>
      </c>
      <c r="H244">
        <v>1361.7683105000001</v>
      </c>
      <c r="I244">
        <v>1315.4508057</v>
      </c>
      <c r="J244">
        <v>1308.3798827999999</v>
      </c>
      <c r="K244">
        <v>1200</v>
      </c>
      <c r="L244">
        <v>0</v>
      </c>
      <c r="M244">
        <v>0</v>
      </c>
      <c r="N244">
        <v>1200</v>
      </c>
    </row>
    <row r="245" spans="1:14" x14ac:dyDescent="0.25">
      <c r="A245">
        <v>99.161507999999998</v>
      </c>
      <c r="B245" s="1">
        <f>DATE(2010,8,8) + TIME(3,52,34)</f>
        <v>40398.161504629628</v>
      </c>
      <c r="C245">
        <v>80</v>
      </c>
      <c r="D245">
        <v>79.546676636000001</v>
      </c>
      <c r="E245">
        <v>50</v>
      </c>
      <c r="F245">
        <v>15.007535934</v>
      </c>
      <c r="G245">
        <v>1376.2169189000001</v>
      </c>
      <c r="H245">
        <v>1361.6953125</v>
      </c>
      <c r="I245">
        <v>1315.4556885</v>
      </c>
      <c r="J245">
        <v>1308.3818358999999</v>
      </c>
      <c r="K245">
        <v>1200</v>
      </c>
      <c r="L245">
        <v>0</v>
      </c>
      <c r="M245">
        <v>0</v>
      </c>
      <c r="N245">
        <v>1200</v>
      </c>
    </row>
    <row r="246" spans="1:14" x14ac:dyDescent="0.25">
      <c r="A246">
        <v>100.37282999999999</v>
      </c>
      <c r="B246" s="1">
        <f>DATE(2010,8,9) + TIME(8,56,52)</f>
        <v>40399.372824074075</v>
      </c>
      <c r="C246">
        <v>80</v>
      </c>
      <c r="D246">
        <v>79.547912597999996</v>
      </c>
      <c r="E246">
        <v>50</v>
      </c>
      <c r="F246">
        <v>15.008694649000001</v>
      </c>
      <c r="G246">
        <v>1376.1376952999999</v>
      </c>
      <c r="H246">
        <v>1361.6228027</v>
      </c>
      <c r="I246">
        <v>1315.4608154</v>
      </c>
      <c r="J246">
        <v>1308.3840332</v>
      </c>
      <c r="K246">
        <v>1200</v>
      </c>
      <c r="L246">
        <v>0</v>
      </c>
      <c r="M246">
        <v>0</v>
      </c>
      <c r="N246">
        <v>1200</v>
      </c>
    </row>
    <row r="247" spans="1:14" x14ac:dyDescent="0.25">
      <c r="A247">
        <v>101.593625</v>
      </c>
      <c r="B247" s="1">
        <f>DATE(2010,8,10) + TIME(14,14,49)</f>
        <v>40400.593622685185</v>
      </c>
      <c r="C247">
        <v>80</v>
      </c>
      <c r="D247">
        <v>79.549156189000001</v>
      </c>
      <c r="E247">
        <v>50</v>
      </c>
      <c r="F247">
        <v>15.010024071</v>
      </c>
      <c r="G247">
        <v>1376.0589600000001</v>
      </c>
      <c r="H247">
        <v>1361.5506591999999</v>
      </c>
      <c r="I247">
        <v>1315.4661865</v>
      </c>
      <c r="J247">
        <v>1308.3863524999999</v>
      </c>
      <c r="K247">
        <v>1200</v>
      </c>
      <c r="L247">
        <v>0</v>
      </c>
      <c r="M247">
        <v>0</v>
      </c>
      <c r="N247">
        <v>1200</v>
      </c>
    </row>
    <row r="248" spans="1:14" x14ac:dyDescent="0.25">
      <c r="A248">
        <v>102.826025</v>
      </c>
      <c r="B248" s="1">
        <f>DATE(2010,8,11) + TIME(19,49,28)</f>
        <v>40401.826018518521</v>
      </c>
      <c r="C248">
        <v>80</v>
      </c>
      <c r="D248">
        <v>79.550399780000006</v>
      </c>
      <c r="E248">
        <v>50</v>
      </c>
      <c r="F248">
        <v>15.011547089</v>
      </c>
      <c r="G248">
        <v>1375.9804687999999</v>
      </c>
      <c r="H248">
        <v>1361.4788818</v>
      </c>
      <c r="I248">
        <v>1315.4718018000001</v>
      </c>
      <c r="J248">
        <v>1308.3887939000001</v>
      </c>
      <c r="K248">
        <v>1200</v>
      </c>
      <c r="L248">
        <v>0</v>
      </c>
      <c r="M248">
        <v>0</v>
      </c>
      <c r="N248">
        <v>1200</v>
      </c>
    </row>
    <row r="249" spans="1:14" x14ac:dyDescent="0.25">
      <c r="A249">
        <v>104.072208</v>
      </c>
      <c r="B249" s="1">
        <f>DATE(2010,8,13) + TIME(1,43,58)</f>
        <v>40403.072199074071</v>
      </c>
      <c r="C249">
        <v>80</v>
      </c>
      <c r="D249">
        <v>79.551651000999996</v>
      </c>
      <c r="E249">
        <v>50</v>
      </c>
      <c r="F249">
        <v>15.013294220000001</v>
      </c>
      <c r="G249">
        <v>1375.9020995999999</v>
      </c>
      <c r="H249">
        <v>1361.4071045000001</v>
      </c>
      <c r="I249">
        <v>1315.4776611</v>
      </c>
      <c r="J249">
        <v>1308.3916016000001</v>
      </c>
      <c r="K249">
        <v>1200</v>
      </c>
      <c r="L249">
        <v>0</v>
      </c>
      <c r="M249">
        <v>0</v>
      </c>
      <c r="N249">
        <v>1200</v>
      </c>
    </row>
    <row r="250" spans="1:14" x14ac:dyDescent="0.25">
      <c r="A250">
        <v>105.329795</v>
      </c>
      <c r="B250" s="1">
        <f>DATE(2010,8,14) + TIME(7,54,54)</f>
        <v>40404.329791666663</v>
      </c>
      <c r="C250">
        <v>80</v>
      </c>
      <c r="D250">
        <v>79.552909850999995</v>
      </c>
      <c r="E250">
        <v>50</v>
      </c>
      <c r="F250">
        <v>15.015293120999999</v>
      </c>
      <c r="G250">
        <v>1375.8237305</v>
      </c>
      <c r="H250">
        <v>1361.3353271000001</v>
      </c>
      <c r="I250">
        <v>1315.4837646000001</v>
      </c>
      <c r="J250">
        <v>1308.3945312000001</v>
      </c>
      <c r="K250">
        <v>1200</v>
      </c>
      <c r="L250">
        <v>0</v>
      </c>
      <c r="M250">
        <v>0</v>
      </c>
      <c r="N250">
        <v>1200</v>
      </c>
    </row>
    <row r="251" spans="1:14" x14ac:dyDescent="0.25">
      <c r="A251">
        <v>106.59554300000001</v>
      </c>
      <c r="B251" s="1">
        <f>DATE(2010,8,15) + TIME(14,17,34)</f>
        <v>40405.595532407409</v>
      </c>
      <c r="C251">
        <v>80</v>
      </c>
      <c r="D251">
        <v>79.554161071999999</v>
      </c>
      <c r="E251">
        <v>50</v>
      </c>
      <c r="F251">
        <v>15.017572403000001</v>
      </c>
      <c r="G251">
        <v>1375.7456055</v>
      </c>
      <c r="H251">
        <v>1361.2637939000001</v>
      </c>
      <c r="I251">
        <v>1315.4902344</v>
      </c>
      <c r="J251">
        <v>1308.3977050999999</v>
      </c>
      <c r="K251">
        <v>1200</v>
      </c>
      <c r="L251">
        <v>0</v>
      </c>
      <c r="M251">
        <v>0</v>
      </c>
      <c r="N251">
        <v>1200</v>
      </c>
    </row>
    <row r="252" spans="1:14" x14ac:dyDescent="0.25">
      <c r="A252">
        <v>107.871511</v>
      </c>
      <c r="B252" s="1">
        <f>DATE(2010,8,16) + TIME(20,54,58)</f>
        <v>40406.871504629627</v>
      </c>
      <c r="C252">
        <v>80</v>
      </c>
      <c r="D252">
        <v>79.555427550999994</v>
      </c>
      <c r="E252">
        <v>50</v>
      </c>
      <c r="F252">
        <v>15.020170212</v>
      </c>
      <c r="G252">
        <v>1375.6677245999999</v>
      </c>
      <c r="H252">
        <v>1361.1925048999999</v>
      </c>
      <c r="I252">
        <v>1315.4969481999999</v>
      </c>
      <c r="J252">
        <v>1308.4011230000001</v>
      </c>
      <c r="K252">
        <v>1200</v>
      </c>
      <c r="L252">
        <v>0</v>
      </c>
      <c r="M252">
        <v>0</v>
      </c>
      <c r="N252">
        <v>1200</v>
      </c>
    </row>
    <row r="253" spans="1:14" x14ac:dyDescent="0.25">
      <c r="A253">
        <v>109.159807</v>
      </c>
      <c r="B253" s="1">
        <f>DATE(2010,8,18) + TIME(3,50,7)</f>
        <v>40408.159803240742</v>
      </c>
      <c r="C253">
        <v>80</v>
      </c>
      <c r="D253">
        <v>79.556686400999993</v>
      </c>
      <c r="E253">
        <v>50</v>
      </c>
      <c r="F253">
        <v>15.023130417000001</v>
      </c>
      <c r="G253">
        <v>1375.5902100000001</v>
      </c>
      <c r="H253">
        <v>1361.1214600000001</v>
      </c>
      <c r="I253">
        <v>1315.5040283000001</v>
      </c>
      <c r="J253">
        <v>1308.4049072</v>
      </c>
      <c r="K253">
        <v>1200</v>
      </c>
      <c r="L253">
        <v>0</v>
      </c>
      <c r="M253">
        <v>0</v>
      </c>
      <c r="N253">
        <v>1200</v>
      </c>
    </row>
    <row r="254" spans="1:14" x14ac:dyDescent="0.25">
      <c r="A254">
        <v>109.810971</v>
      </c>
      <c r="B254" s="1">
        <f>DATE(2010,8,18) + TIME(19,27,47)</f>
        <v>40408.810960648145</v>
      </c>
      <c r="C254">
        <v>80</v>
      </c>
      <c r="D254">
        <v>79.557296753000003</v>
      </c>
      <c r="E254">
        <v>50</v>
      </c>
      <c r="F254">
        <v>15.025148392</v>
      </c>
      <c r="G254">
        <v>1375.5124512</v>
      </c>
      <c r="H254">
        <v>1361.0499268000001</v>
      </c>
      <c r="I254">
        <v>1315.5113524999999</v>
      </c>
      <c r="J254">
        <v>1308.4085693</v>
      </c>
      <c r="K254">
        <v>1200</v>
      </c>
      <c r="L254">
        <v>0</v>
      </c>
      <c r="M254">
        <v>0</v>
      </c>
      <c r="N254">
        <v>1200</v>
      </c>
    </row>
    <row r="255" spans="1:14" x14ac:dyDescent="0.25">
      <c r="A255">
        <v>110.462136</v>
      </c>
      <c r="B255" s="1">
        <f>DATE(2010,8,19) + TIME(11,5,28)</f>
        <v>40409.462129629632</v>
      </c>
      <c r="C255">
        <v>80</v>
      </c>
      <c r="D255">
        <v>79.557922363000003</v>
      </c>
      <c r="E255">
        <v>50</v>
      </c>
      <c r="F255">
        <v>15.02723217</v>
      </c>
      <c r="G255">
        <v>1375.4726562000001</v>
      </c>
      <c r="H255">
        <v>1361.0135498</v>
      </c>
      <c r="I255">
        <v>1315.5146483999999</v>
      </c>
      <c r="J255">
        <v>1308.4102783000001</v>
      </c>
      <c r="K255">
        <v>1200</v>
      </c>
      <c r="L255">
        <v>0</v>
      </c>
      <c r="M255">
        <v>0</v>
      </c>
      <c r="N255">
        <v>1200</v>
      </c>
    </row>
    <row r="256" spans="1:14" x14ac:dyDescent="0.25">
      <c r="A256">
        <v>111.11330100000001</v>
      </c>
      <c r="B256" s="1">
        <f>DATE(2010,8,20) + TIME(2,43,9)</f>
        <v>40410.113298611112</v>
      </c>
      <c r="C256">
        <v>80</v>
      </c>
      <c r="D256">
        <v>79.558540343999994</v>
      </c>
      <c r="E256">
        <v>50</v>
      </c>
      <c r="F256">
        <v>15.029397011</v>
      </c>
      <c r="G256">
        <v>1375.4339600000001</v>
      </c>
      <c r="H256">
        <v>1360.9779053</v>
      </c>
      <c r="I256">
        <v>1315.5185547000001</v>
      </c>
      <c r="J256">
        <v>1308.4124756000001</v>
      </c>
      <c r="K256">
        <v>1200</v>
      </c>
      <c r="L256">
        <v>0</v>
      </c>
      <c r="M256">
        <v>0</v>
      </c>
      <c r="N256">
        <v>1200</v>
      </c>
    </row>
    <row r="257" spans="1:14" x14ac:dyDescent="0.25">
      <c r="A257">
        <v>111.764465</v>
      </c>
      <c r="B257" s="1">
        <f>DATE(2010,8,20) + TIME(18,20,49)</f>
        <v>40410.764456018522</v>
      </c>
      <c r="C257">
        <v>80</v>
      </c>
      <c r="D257">
        <v>79.559165954999997</v>
      </c>
      <c r="E257">
        <v>50</v>
      </c>
      <c r="F257">
        <v>15.031656265000001</v>
      </c>
      <c r="G257">
        <v>1375.3955077999999</v>
      </c>
      <c r="H257">
        <v>1360.9426269999999</v>
      </c>
      <c r="I257">
        <v>1315.5225829999999</v>
      </c>
      <c r="J257">
        <v>1308.4147949000001</v>
      </c>
      <c r="K257">
        <v>1200</v>
      </c>
      <c r="L257">
        <v>0</v>
      </c>
      <c r="M257">
        <v>0</v>
      </c>
      <c r="N257">
        <v>1200</v>
      </c>
    </row>
    <row r="258" spans="1:14" x14ac:dyDescent="0.25">
      <c r="A258">
        <v>112.41562999999999</v>
      </c>
      <c r="B258" s="1">
        <f>DATE(2010,8,21) + TIME(9,58,30)</f>
        <v>40411.415625000001</v>
      </c>
      <c r="C258">
        <v>80</v>
      </c>
      <c r="D258">
        <v>79.559783936000002</v>
      </c>
      <c r="E258">
        <v>50</v>
      </c>
      <c r="F258">
        <v>15.034021378</v>
      </c>
      <c r="G258">
        <v>1375.3571777</v>
      </c>
      <c r="H258">
        <v>1360.9074707</v>
      </c>
      <c r="I258">
        <v>1315.5266113</v>
      </c>
      <c r="J258">
        <v>1308.4172363</v>
      </c>
      <c r="K258">
        <v>1200</v>
      </c>
      <c r="L258">
        <v>0</v>
      </c>
      <c r="M258">
        <v>0</v>
      </c>
      <c r="N258">
        <v>1200</v>
      </c>
    </row>
    <row r="259" spans="1:14" x14ac:dyDescent="0.25">
      <c r="A259">
        <v>113.066795</v>
      </c>
      <c r="B259" s="1">
        <f>DATE(2010,8,22) + TIME(1,36,11)</f>
        <v>40412.066793981481</v>
      </c>
      <c r="C259">
        <v>80</v>
      </c>
      <c r="D259">
        <v>79.560409546000002</v>
      </c>
      <c r="E259">
        <v>50</v>
      </c>
      <c r="F259">
        <v>15.036506653</v>
      </c>
      <c r="G259">
        <v>1375.3192139</v>
      </c>
      <c r="H259">
        <v>1360.8725586</v>
      </c>
      <c r="I259">
        <v>1315.5308838000001</v>
      </c>
      <c r="J259">
        <v>1308.4196777</v>
      </c>
      <c r="K259">
        <v>1200</v>
      </c>
      <c r="L259">
        <v>0</v>
      </c>
      <c r="M259">
        <v>0</v>
      </c>
      <c r="N259">
        <v>1200</v>
      </c>
    </row>
    <row r="260" spans="1:14" x14ac:dyDescent="0.25">
      <c r="A260">
        <v>113.71796000000001</v>
      </c>
      <c r="B260" s="1">
        <f>DATE(2010,8,22) + TIME(17,13,51)</f>
        <v>40412.717951388891</v>
      </c>
      <c r="C260">
        <v>80</v>
      </c>
      <c r="D260">
        <v>79.561027526999993</v>
      </c>
      <c r="E260">
        <v>50</v>
      </c>
      <c r="F260">
        <v>15.03911972</v>
      </c>
      <c r="G260">
        <v>1375.2813721</v>
      </c>
      <c r="H260">
        <v>1360.8377685999999</v>
      </c>
      <c r="I260">
        <v>1315.5351562000001</v>
      </c>
      <c r="J260">
        <v>1308.4222411999999</v>
      </c>
      <c r="K260">
        <v>1200</v>
      </c>
      <c r="L260">
        <v>0</v>
      </c>
      <c r="M260">
        <v>0</v>
      </c>
      <c r="N260">
        <v>1200</v>
      </c>
    </row>
    <row r="261" spans="1:14" x14ac:dyDescent="0.25">
      <c r="A261">
        <v>115.02028900000001</v>
      </c>
      <c r="B261" s="1">
        <f>DATE(2010,8,24) + TIME(0,29,12)</f>
        <v>40414.020277777781</v>
      </c>
      <c r="C261">
        <v>80</v>
      </c>
      <c r="D261">
        <v>79.562309264999996</v>
      </c>
      <c r="E261">
        <v>50</v>
      </c>
      <c r="F261">
        <v>15.043719292</v>
      </c>
      <c r="G261">
        <v>1375.2443848</v>
      </c>
      <c r="H261">
        <v>1360.8040771000001</v>
      </c>
      <c r="I261">
        <v>1315.5397949000001</v>
      </c>
      <c r="J261">
        <v>1308.4255370999999</v>
      </c>
      <c r="K261">
        <v>1200</v>
      </c>
      <c r="L261">
        <v>0</v>
      </c>
      <c r="M261">
        <v>0</v>
      </c>
      <c r="N261">
        <v>1200</v>
      </c>
    </row>
    <row r="262" spans="1:14" x14ac:dyDescent="0.25">
      <c r="A262">
        <v>116.32476</v>
      </c>
      <c r="B262" s="1">
        <f>DATE(2010,8,25) + TIME(7,47,39)</f>
        <v>40415.324756944443</v>
      </c>
      <c r="C262">
        <v>80</v>
      </c>
      <c r="D262">
        <v>79.563568114999995</v>
      </c>
      <c r="E262">
        <v>50</v>
      </c>
      <c r="F262">
        <v>15.049121856999999</v>
      </c>
      <c r="G262">
        <v>1375.1701660000001</v>
      </c>
      <c r="H262">
        <v>1360.7359618999999</v>
      </c>
      <c r="I262">
        <v>1315.5489502</v>
      </c>
      <c r="J262">
        <v>1308.4312743999999</v>
      </c>
      <c r="K262">
        <v>1200</v>
      </c>
      <c r="L262">
        <v>0</v>
      </c>
      <c r="M262">
        <v>0</v>
      </c>
      <c r="N262">
        <v>1200</v>
      </c>
    </row>
    <row r="263" spans="1:14" x14ac:dyDescent="0.25">
      <c r="A263">
        <v>117.64004199999999</v>
      </c>
      <c r="B263" s="1">
        <f>DATE(2010,8,26) + TIME(15,21,39)</f>
        <v>40416.640034722222</v>
      </c>
      <c r="C263">
        <v>80</v>
      </c>
      <c r="D263">
        <v>79.564819335999999</v>
      </c>
      <c r="E263">
        <v>50</v>
      </c>
      <c r="F263">
        <v>15.055355071999999</v>
      </c>
      <c r="G263">
        <v>1375.0961914</v>
      </c>
      <c r="H263">
        <v>1360.6680908000001</v>
      </c>
      <c r="I263">
        <v>1315.5583495999999</v>
      </c>
      <c r="J263">
        <v>1308.4371338000001</v>
      </c>
      <c r="K263">
        <v>1200</v>
      </c>
      <c r="L263">
        <v>0</v>
      </c>
      <c r="M263">
        <v>0</v>
      </c>
      <c r="N263">
        <v>1200</v>
      </c>
    </row>
    <row r="264" spans="1:14" x14ac:dyDescent="0.25">
      <c r="A264">
        <v>118.968341</v>
      </c>
      <c r="B264" s="1">
        <f>DATE(2010,8,27) + TIME(23,14,24)</f>
        <v>40417.968333333331</v>
      </c>
      <c r="C264">
        <v>80</v>
      </c>
      <c r="D264">
        <v>79.566078185999999</v>
      </c>
      <c r="E264">
        <v>50</v>
      </c>
      <c r="F264">
        <v>15.062470436</v>
      </c>
      <c r="G264">
        <v>1375.0223389</v>
      </c>
      <c r="H264">
        <v>1360.6002197</v>
      </c>
      <c r="I264">
        <v>1315.5679932</v>
      </c>
      <c r="J264">
        <v>1308.4434814000001</v>
      </c>
      <c r="K264">
        <v>1200</v>
      </c>
      <c r="L264">
        <v>0</v>
      </c>
      <c r="M264">
        <v>0</v>
      </c>
      <c r="N264">
        <v>1200</v>
      </c>
    </row>
    <row r="265" spans="1:14" x14ac:dyDescent="0.25">
      <c r="A265">
        <v>120.311961</v>
      </c>
      <c r="B265" s="1">
        <f>DATE(2010,8,29) + TIME(7,29,13)</f>
        <v>40419.311956018515</v>
      </c>
      <c r="C265">
        <v>80</v>
      </c>
      <c r="D265">
        <v>79.567337035999998</v>
      </c>
      <c r="E265">
        <v>50</v>
      </c>
      <c r="F265">
        <v>15.070545197</v>
      </c>
      <c r="G265">
        <v>1374.9484863</v>
      </c>
      <c r="H265">
        <v>1360.5324707</v>
      </c>
      <c r="I265">
        <v>1315.5782471</v>
      </c>
      <c r="J265">
        <v>1308.4503173999999</v>
      </c>
      <c r="K265">
        <v>1200</v>
      </c>
      <c r="L265">
        <v>0</v>
      </c>
      <c r="M265">
        <v>0</v>
      </c>
      <c r="N265">
        <v>1200</v>
      </c>
    </row>
    <row r="266" spans="1:14" x14ac:dyDescent="0.25">
      <c r="A266">
        <v>121.66991299999999</v>
      </c>
      <c r="B266" s="1">
        <f>DATE(2010,8,30) + TIME(16,4,40)</f>
        <v>40420.669907407406</v>
      </c>
      <c r="C266">
        <v>80</v>
      </c>
      <c r="D266">
        <v>79.568603515999996</v>
      </c>
      <c r="E266">
        <v>50</v>
      </c>
      <c r="F266">
        <v>15.079665184</v>
      </c>
      <c r="G266">
        <v>1374.8745117000001</v>
      </c>
      <c r="H266">
        <v>1360.4644774999999</v>
      </c>
      <c r="I266">
        <v>1315.5889893000001</v>
      </c>
      <c r="J266">
        <v>1308.4576416</v>
      </c>
      <c r="K266">
        <v>1200</v>
      </c>
      <c r="L266">
        <v>0</v>
      </c>
      <c r="M266">
        <v>0</v>
      </c>
      <c r="N266">
        <v>1200</v>
      </c>
    </row>
    <row r="267" spans="1:14" x14ac:dyDescent="0.25">
      <c r="A267">
        <v>123</v>
      </c>
      <c r="B267" s="1">
        <f>DATE(2010,9,1) + TIME(0,0,0)</f>
        <v>40422</v>
      </c>
      <c r="C267">
        <v>80</v>
      </c>
      <c r="D267">
        <v>79.569831848000007</v>
      </c>
      <c r="E267">
        <v>50</v>
      </c>
      <c r="F267">
        <v>15.089724541000001</v>
      </c>
      <c r="G267">
        <v>1374.8004149999999</v>
      </c>
      <c r="H267">
        <v>1360.3963623</v>
      </c>
      <c r="I267">
        <v>1315.6003418</v>
      </c>
      <c r="J267">
        <v>1308.4655762</v>
      </c>
      <c r="K267">
        <v>1200</v>
      </c>
      <c r="L267">
        <v>0</v>
      </c>
      <c r="M267">
        <v>0</v>
      </c>
      <c r="N267">
        <v>1200</v>
      </c>
    </row>
    <row r="268" spans="1:14" x14ac:dyDescent="0.25">
      <c r="A268">
        <v>124.365122</v>
      </c>
      <c r="B268" s="1">
        <f>DATE(2010,9,2) + TIME(8,45,46)</f>
        <v>40423.365115740744</v>
      </c>
      <c r="C268">
        <v>80</v>
      </c>
      <c r="D268">
        <v>79.571083068999997</v>
      </c>
      <c r="E268">
        <v>50</v>
      </c>
      <c r="F268">
        <v>15.101071358</v>
      </c>
      <c r="G268">
        <v>1374.7286377</v>
      </c>
      <c r="H268">
        <v>1360.3303223</v>
      </c>
      <c r="I268">
        <v>1315.6118164</v>
      </c>
      <c r="J268">
        <v>1308.4738769999999</v>
      </c>
      <c r="K268">
        <v>1200</v>
      </c>
      <c r="L268">
        <v>0</v>
      </c>
      <c r="M268">
        <v>0</v>
      </c>
      <c r="N268">
        <v>1200</v>
      </c>
    </row>
    <row r="269" spans="1:14" x14ac:dyDescent="0.25">
      <c r="A269">
        <v>125.75117400000001</v>
      </c>
      <c r="B269" s="1">
        <f>DATE(2010,9,3) + TIME(18,1,41)</f>
        <v>40424.751168981478</v>
      </c>
      <c r="C269">
        <v>80</v>
      </c>
      <c r="D269">
        <v>79.572349548000005</v>
      </c>
      <c r="E269">
        <v>50</v>
      </c>
      <c r="F269">
        <v>15.113815308</v>
      </c>
      <c r="G269">
        <v>1374.6556396000001</v>
      </c>
      <c r="H269">
        <v>1360.2631836</v>
      </c>
      <c r="I269">
        <v>1315.6241454999999</v>
      </c>
      <c r="J269">
        <v>1308.4829102000001</v>
      </c>
      <c r="K269">
        <v>1200</v>
      </c>
      <c r="L269">
        <v>0</v>
      </c>
      <c r="M269">
        <v>0</v>
      </c>
      <c r="N269">
        <v>1200</v>
      </c>
    </row>
    <row r="270" spans="1:14" x14ac:dyDescent="0.25">
      <c r="A270">
        <v>127.151156</v>
      </c>
      <c r="B270" s="1">
        <f>DATE(2010,9,5) + TIME(3,37,39)</f>
        <v>40426.151145833333</v>
      </c>
      <c r="C270">
        <v>80</v>
      </c>
      <c r="D270">
        <v>79.573616028000004</v>
      </c>
      <c r="E270">
        <v>50</v>
      </c>
      <c r="F270">
        <v>15.128075600000001</v>
      </c>
      <c r="G270">
        <v>1374.5821533000001</v>
      </c>
      <c r="H270">
        <v>1360.1955565999999</v>
      </c>
      <c r="I270">
        <v>1315.637207</v>
      </c>
      <c r="J270">
        <v>1308.4926757999999</v>
      </c>
      <c r="K270">
        <v>1200</v>
      </c>
      <c r="L270">
        <v>0</v>
      </c>
      <c r="M270">
        <v>0</v>
      </c>
      <c r="N270">
        <v>1200</v>
      </c>
    </row>
    <row r="271" spans="1:14" x14ac:dyDescent="0.25">
      <c r="A271">
        <v>128.56793400000001</v>
      </c>
      <c r="B271" s="1">
        <f>DATE(2010,9,6) + TIME(13,37,49)</f>
        <v>40427.567928240744</v>
      </c>
      <c r="C271">
        <v>80</v>
      </c>
      <c r="D271">
        <v>79.574897766000007</v>
      </c>
      <c r="E271">
        <v>50</v>
      </c>
      <c r="F271">
        <v>15.144029616999999</v>
      </c>
      <c r="G271">
        <v>1374.5086670000001</v>
      </c>
      <c r="H271">
        <v>1360.1279297000001</v>
      </c>
      <c r="I271">
        <v>1315.6508789</v>
      </c>
      <c r="J271">
        <v>1308.5032959</v>
      </c>
      <c r="K271">
        <v>1200</v>
      </c>
      <c r="L271">
        <v>0</v>
      </c>
      <c r="M271">
        <v>0</v>
      </c>
      <c r="N271">
        <v>1200</v>
      </c>
    </row>
    <row r="272" spans="1:14" x14ac:dyDescent="0.25">
      <c r="A272">
        <v>129.99353600000001</v>
      </c>
      <c r="B272" s="1">
        <f>DATE(2010,9,7) + TIME(23,50,41)</f>
        <v>40428.993530092594</v>
      </c>
      <c r="C272">
        <v>80</v>
      </c>
      <c r="D272">
        <v>79.576171875</v>
      </c>
      <c r="E272">
        <v>50</v>
      </c>
      <c r="F272">
        <v>15.161799431</v>
      </c>
      <c r="G272">
        <v>1374.4350586</v>
      </c>
      <c r="H272">
        <v>1360.0600586</v>
      </c>
      <c r="I272">
        <v>1315.6654053</v>
      </c>
      <c r="J272">
        <v>1308.5146483999999</v>
      </c>
      <c r="K272">
        <v>1200</v>
      </c>
      <c r="L272">
        <v>0</v>
      </c>
      <c r="M272">
        <v>0</v>
      </c>
      <c r="N272">
        <v>1200</v>
      </c>
    </row>
    <row r="273" spans="1:14" x14ac:dyDescent="0.25">
      <c r="A273">
        <v>131.42186599999999</v>
      </c>
      <c r="B273" s="1">
        <f>DATE(2010,9,9) + TIME(10,7,29)</f>
        <v>40430.421863425923</v>
      </c>
      <c r="C273">
        <v>80</v>
      </c>
      <c r="D273">
        <v>79.577438353999995</v>
      </c>
      <c r="E273">
        <v>50</v>
      </c>
      <c r="F273">
        <v>15.181495667</v>
      </c>
      <c r="G273">
        <v>1374.3615723</v>
      </c>
      <c r="H273">
        <v>1359.9924315999999</v>
      </c>
      <c r="I273">
        <v>1315.6805420000001</v>
      </c>
      <c r="J273">
        <v>1308.5268555</v>
      </c>
      <c r="K273">
        <v>1200</v>
      </c>
      <c r="L273">
        <v>0</v>
      </c>
      <c r="M273">
        <v>0</v>
      </c>
      <c r="N273">
        <v>1200</v>
      </c>
    </row>
    <row r="274" spans="1:14" x14ac:dyDescent="0.25">
      <c r="A274">
        <v>132.85564600000001</v>
      </c>
      <c r="B274" s="1">
        <f>DATE(2010,9,10) + TIME(20,32,7)</f>
        <v>40431.855636574073</v>
      </c>
      <c r="C274">
        <v>80</v>
      </c>
      <c r="D274">
        <v>79.578704834000007</v>
      </c>
      <c r="E274">
        <v>50</v>
      </c>
      <c r="F274">
        <v>15.203298568999999</v>
      </c>
      <c r="G274">
        <v>1374.2886963000001</v>
      </c>
      <c r="H274">
        <v>1359.9251709</v>
      </c>
      <c r="I274">
        <v>1315.6964111</v>
      </c>
      <c r="J274">
        <v>1308.5399170000001</v>
      </c>
      <c r="K274">
        <v>1200</v>
      </c>
      <c r="L274">
        <v>0</v>
      </c>
      <c r="M274">
        <v>0</v>
      </c>
      <c r="N274">
        <v>1200</v>
      </c>
    </row>
    <row r="275" spans="1:14" x14ac:dyDescent="0.25">
      <c r="A275">
        <v>134.297606</v>
      </c>
      <c r="B275" s="1">
        <f>DATE(2010,9,12) + TIME(7,8,33)</f>
        <v>40433.29760416667</v>
      </c>
      <c r="C275">
        <v>80</v>
      </c>
      <c r="D275">
        <v>79.579971313000001</v>
      </c>
      <c r="E275">
        <v>50</v>
      </c>
      <c r="F275">
        <v>15.227416992</v>
      </c>
      <c r="G275">
        <v>1374.2160644999999</v>
      </c>
      <c r="H275">
        <v>1359.8582764</v>
      </c>
      <c r="I275">
        <v>1315.7130127</v>
      </c>
      <c r="J275">
        <v>1308.5539550999999</v>
      </c>
      <c r="K275">
        <v>1200</v>
      </c>
      <c r="L275">
        <v>0</v>
      </c>
      <c r="M275">
        <v>0</v>
      </c>
      <c r="N275">
        <v>1200</v>
      </c>
    </row>
    <row r="276" spans="1:14" x14ac:dyDescent="0.25">
      <c r="A276">
        <v>135.750494</v>
      </c>
      <c r="B276" s="1">
        <f>DATE(2010,9,13) + TIME(18,0,42)</f>
        <v>40434.750486111108</v>
      </c>
      <c r="C276">
        <v>80</v>
      </c>
      <c r="D276">
        <v>79.581237793</v>
      </c>
      <c r="E276">
        <v>50</v>
      </c>
      <c r="F276">
        <v>15.254096031</v>
      </c>
      <c r="G276">
        <v>1374.1437988</v>
      </c>
      <c r="H276">
        <v>1359.7915039</v>
      </c>
      <c r="I276">
        <v>1315.7304687999999</v>
      </c>
      <c r="J276">
        <v>1308.5689697</v>
      </c>
      <c r="K276">
        <v>1200</v>
      </c>
      <c r="L276">
        <v>0</v>
      </c>
      <c r="M276">
        <v>0</v>
      </c>
      <c r="N276">
        <v>1200</v>
      </c>
    </row>
    <row r="277" spans="1:14" x14ac:dyDescent="0.25">
      <c r="A277">
        <v>137.21168299999999</v>
      </c>
      <c r="B277" s="1">
        <f>DATE(2010,9,15) + TIME(5,4,49)</f>
        <v>40436.211678240739</v>
      </c>
      <c r="C277">
        <v>80</v>
      </c>
      <c r="D277">
        <v>79.582496642999999</v>
      </c>
      <c r="E277">
        <v>50</v>
      </c>
      <c r="F277">
        <v>15.283543587</v>
      </c>
      <c r="G277">
        <v>1374.0716553</v>
      </c>
      <c r="H277">
        <v>1359.7248535000001</v>
      </c>
      <c r="I277">
        <v>1315.7487793</v>
      </c>
      <c r="J277">
        <v>1308.5850829999999</v>
      </c>
      <c r="K277">
        <v>1200</v>
      </c>
      <c r="L277">
        <v>0</v>
      </c>
      <c r="M277">
        <v>0</v>
      </c>
      <c r="N277">
        <v>1200</v>
      </c>
    </row>
    <row r="278" spans="1:14" x14ac:dyDescent="0.25">
      <c r="A278">
        <v>138.67575500000001</v>
      </c>
      <c r="B278" s="1">
        <f>DATE(2010,9,16) + TIME(16,13,5)</f>
        <v>40437.675752314812</v>
      </c>
      <c r="C278">
        <v>80</v>
      </c>
      <c r="D278">
        <v>79.583763122999997</v>
      </c>
      <c r="E278">
        <v>50</v>
      </c>
      <c r="F278">
        <v>15.315924644000001</v>
      </c>
      <c r="G278">
        <v>1373.9996338000001</v>
      </c>
      <c r="H278">
        <v>1359.6583252</v>
      </c>
      <c r="I278">
        <v>1315.7680664</v>
      </c>
      <c r="J278">
        <v>1308.6022949000001</v>
      </c>
      <c r="K278">
        <v>1200</v>
      </c>
      <c r="L278">
        <v>0</v>
      </c>
      <c r="M278">
        <v>0</v>
      </c>
      <c r="N278">
        <v>1200</v>
      </c>
    </row>
    <row r="279" spans="1:14" x14ac:dyDescent="0.25">
      <c r="A279">
        <v>140.14519300000001</v>
      </c>
      <c r="B279" s="1">
        <f>DATE(2010,9,18) + TIME(3,29,4)</f>
        <v>40439.145185185182</v>
      </c>
      <c r="C279">
        <v>80</v>
      </c>
      <c r="D279">
        <v>79.585014342999997</v>
      </c>
      <c r="E279">
        <v>50</v>
      </c>
      <c r="F279">
        <v>15.351494789</v>
      </c>
      <c r="G279">
        <v>1373.9281006000001</v>
      </c>
      <c r="H279">
        <v>1359.5921631000001</v>
      </c>
      <c r="I279">
        <v>1315.7880858999999</v>
      </c>
      <c r="J279">
        <v>1308.6207274999999</v>
      </c>
      <c r="K279">
        <v>1200</v>
      </c>
      <c r="L279">
        <v>0</v>
      </c>
      <c r="M279">
        <v>0</v>
      </c>
      <c r="N279">
        <v>1200</v>
      </c>
    </row>
    <row r="280" spans="1:14" x14ac:dyDescent="0.25">
      <c r="A280">
        <v>141.62248399999999</v>
      </c>
      <c r="B280" s="1">
        <f>DATE(2010,9,19) + TIME(14,56,22)</f>
        <v>40440.622476851851</v>
      </c>
      <c r="C280">
        <v>80</v>
      </c>
      <c r="D280">
        <v>79.586265564000001</v>
      </c>
      <c r="E280">
        <v>50</v>
      </c>
      <c r="F280">
        <v>15.390547752</v>
      </c>
      <c r="G280">
        <v>1373.8568115</v>
      </c>
      <c r="H280">
        <v>1359.5262451000001</v>
      </c>
      <c r="I280">
        <v>1315.809082</v>
      </c>
      <c r="J280">
        <v>1308.6405029</v>
      </c>
      <c r="K280">
        <v>1200</v>
      </c>
      <c r="L280">
        <v>0</v>
      </c>
      <c r="M280">
        <v>0</v>
      </c>
      <c r="N280">
        <v>1200</v>
      </c>
    </row>
    <row r="281" spans="1:14" x14ac:dyDescent="0.25">
      <c r="A281">
        <v>143.11012299999999</v>
      </c>
      <c r="B281" s="1">
        <f>DATE(2010,9,21) + TIME(2,38,34)</f>
        <v>40442.110115740739</v>
      </c>
      <c r="C281">
        <v>80</v>
      </c>
      <c r="D281">
        <v>79.587524414000001</v>
      </c>
      <c r="E281">
        <v>50</v>
      </c>
      <c r="F281">
        <v>15.433420181000001</v>
      </c>
      <c r="G281">
        <v>1373.7858887</v>
      </c>
      <c r="H281">
        <v>1359.4604492000001</v>
      </c>
      <c r="I281">
        <v>1315.8311768000001</v>
      </c>
      <c r="J281">
        <v>1308.661499</v>
      </c>
      <c r="K281">
        <v>1200</v>
      </c>
      <c r="L281">
        <v>0</v>
      </c>
      <c r="M281">
        <v>0</v>
      </c>
      <c r="N281">
        <v>1200</v>
      </c>
    </row>
    <row r="282" spans="1:14" x14ac:dyDescent="0.25">
      <c r="A282">
        <v>144.59942699999999</v>
      </c>
      <c r="B282" s="1">
        <f>DATE(2010,9,22) + TIME(14,23,10)</f>
        <v>40443.599421296298</v>
      </c>
      <c r="C282">
        <v>80</v>
      </c>
      <c r="D282">
        <v>79.588775635000005</v>
      </c>
      <c r="E282">
        <v>50</v>
      </c>
      <c r="F282">
        <v>15.480266571</v>
      </c>
      <c r="G282">
        <v>1373.7149658000001</v>
      </c>
      <c r="H282">
        <v>1359.3947754000001</v>
      </c>
      <c r="I282">
        <v>1315.8543701000001</v>
      </c>
      <c r="J282">
        <v>1308.684082</v>
      </c>
      <c r="K282">
        <v>1200</v>
      </c>
      <c r="L282">
        <v>0</v>
      </c>
      <c r="M282">
        <v>0</v>
      </c>
      <c r="N282">
        <v>1200</v>
      </c>
    </row>
    <row r="283" spans="1:14" x14ac:dyDescent="0.25">
      <c r="A283">
        <v>146.08939000000001</v>
      </c>
      <c r="B283" s="1">
        <f>DATE(2010,9,24) + TIME(2,8,43)</f>
        <v>40445.089386574073</v>
      </c>
      <c r="C283">
        <v>80</v>
      </c>
      <c r="D283">
        <v>79.590011597</v>
      </c>
      <c r="E283">
        <v>50</v>
      </c>
      <c r="F283">
        <v>15.531321525999999</v>
      </c>
      <c r="G283">
        <v>1373.6445312000001</v>
      </c>
      <c r="H283">
        <v>1359.3294678</v>
      </c>
      <c r="I283">
        <v>1315.878418</v>
      </c>
      <c r="J283">
        <v>1308.7081298999999</v>
      </c>
      <c r="K283">
        <v>1200</v>
      </c>
      <c r="L283">
        <v>0</v>
      </c>
      <c r="M283">
        <v>0</v>
      </c>
      <c r="N283">
        <v>1200</v>
      </c>
    </row>
    <row r="284" spans="1:14" x14ac:dyDescent="0.25">
      <c r="A284">
        <v>147.58282800000001</v>
      </c>
      <c r="B284" s="1">
        <f>DATE(2010,9,25) + TIME(13,59,16)</f>
        <v>40446.582824074074</v>
      </c>
      <c r="C284">
        <v>80</v>
      </c>
      <c r="D284">
        <v>79.591247558999996</v>
      </c>
      <c r="E284">
        <v>50</v>
      </c>
      <c r="F284">
        <v>15.586913108999999</v>
      </c>
      <c r="G284">
        <v>1373.5745850000001</v>
      </c>
      <c r="H284">
        <v>1359.2645264</v>
      </c>
      <c r="I284">
        <v>1315.9036865</v>
      </c>
      <c r="J284">
        <v>1308.7337646000001</v>
      </c>
      <c r="K284">
        <v>1200</v>
      </c>
      <c r="L284">
        <v>0</v>
      </c>
      <c r="M284">
        <v>0</v>
      </c>
      <c r="N284">
        <v>1200</v>
      </c>
    </row>
    <row r="285" spans="1:14" x14ac:dyDescent="0.25">
      <c r="A285">
        <v>149.08258900000001</v>
      </c>
      <c r="B285" s="1">
        <f>DATE(2010,9,27) + TIME(1,58,55)</f>
        <v>40448.08258101852</v>
      </c>
      <c r="C285">
        <v>80</v>
      </c>
      <c r="D285">
        <v>79.592483521000005</v>
      </c>
      <c r="E285">
        <v>50</v>
      </c>
      <c r="F285">
        <v>15.647422791</v>
      </c>
      <c r="G285">
        <v>1373.5051269999999</v>
      </c>
      <c r="H285">
        <v>1359.1999512</v>
      </c>
      <c r="I285">
        <v>1315.9299315999999</v>
      </c>
      <c r="J285">
        <v>1308.7609863</v>
      </c>
      <c r="K285">
        <v>1200</v>
      </c>
      <c r="L285">
        <v>0</v>
      </c>
      <c r="M285">
        <v>0</v>
      </c>
      <c r="N285">
        <v>1200</v>
      </c>
    </row>
    <row r="286" spans="1:14" x14ac:dyDescent="0.25">
      <c r="A286">
        <v>150.591567</v>
      </c>
      <c r="B286" s="1">
        <f>DATE(2010,9,28) + TIME(14,11,51)</f>
        <v>40449.591562499998</v>
      </c>
      <c r="C286">
        <v>80</v>
      </c>
      <c r="D286">
        <v>79.593711853000002</v>
      </c>
      <c r="E286">
        <v>50</v>
      </c>
      <c r="F286">
        <v>15.713289261</v>
      </c>
      <c r="G286">
        <v>1373.4357910000001</v>
      </c>
      <c r="H286">
        <v>1359.1354980000001</v>
      </c>
      <c r="I286">
        <v>1315.9575195</v>
      </c>
      <c r="J286">
        <v>1308.7900391000001</v>
      </c>
      <c r="K286">
        <v>1200</v>
      </c>
      <c r="L286">
        <v>0</v>
      </c>
      <c r="M286">
        <v>0</v>
      </c>
      <c r="N286">
        <v>1200</v>
      </c>
    </row>
    <row r="287" spans="1:14" x14ac:dyDescent="0.25">
      <c r="A287">
        <v>151.34948600000001</v>
      </c>
      <c r="B287" s="1">
        <f>DATE(2010,9,29) + TIME(8,23,15)</f>
        <v>40450.349479166667</v>
      </c>
      <c r="C287">
        <v>80</v>
      </c>
      <c r="D287">
        <v>79.594306946000003</v>
      </c>
      <c r="E287">
        <v>50</v>
      </c>
      <c r="F287">
        <v>15.757196426</v>
      </c>
      <c r="G287">
        <v>1373.3664550999999</v>
      </c>
      <c r="H287">
        <v>1359.0710449000001</v>
      </c>
      <c r="I287">
        <v>1315.9881591999999</v>
      </c>
      <c r="J287">
        <v>1308.8186035000001</v>
      </c>
      <c r="K287">
        <v>1200</v>
      </c>
      <c r="L287">
        <v>0</v>
      </c>
      <c r="M287">
        <v>0</v>
      </c>
      <c r="N287">
        <v>1200</v>
      </c>
    </row>
    <row r="288" spans="1:14" x14ac:dyDescent="0.25">
      <c r="A288">
        <v>152.107405</v>
      </c>
      <c r="B288" s="1">
        <f>DATE(2010,9,30) + TIME(2,34,39)</f>
        <v>40451.107395833336</v>
      </c>
      <c r="C288">
        <v>80</v>
      </c>
      <c r="D288">
        <v>79.594909668</v>
      </c>
      <c r="E288">
        <v>50</v>
      </c>
      <c r="F288">
        <v>15.801047325000001</v>
      </c>
      <c r="G288">
        <v>1373.3310547000001</v>
      </c>
      <c r="H288">
        <v>1359.0379639</v>
      </c>
      <c r="I288">
        <v>1316.0024414</v>
      </c>
      <c r="J288">
        <v>1308.8352050999999</v>
      </c>
      <c r="K288">
        <v>1200</v>
      </c>
      <c r="L288">
        <v>0</v>
      </c>
      <c r="M288">
        <v>0</v>
      </c>
      <c r="N288">
        <v>1200</v>
      </c>
    </row>
    <row r="289" spans="1:14" x14ac:dyDescent="0.25">
      <c r="A289">
        <v>153</v>
      </c>
      <c r="B289" s="1">
        <f>DATE(2010,10,1) + TIME(0,0,0)</f>
        <v>40452</v>
      </c>
      <c r="C289">
        <v>80</v>
      </c>
      <c r="D289">
        <v>79.595626831000004</v>
      </c>
      <c r="E289">
        <v>50</v>
      </c>
      <c r="F289">
        <v>15.851065636</v>
      </c>
      <c r="G289">
        <v>1373.2966309000001</v>
      </c>
      <c r="H289">
        <v>1359.0058594</v>
      </c>
      <c r="I289">
        <v>1316.0172118999999</v>
      </c>
      <c r="J289">
        <v>1308.8531493999999</v>
      </c>
      <c r="K289">
        <v>1200</v>
      </c>
      <c r="L289">
        <v>0</v>
      </c>
      <c r="M289">
        <v>0</v>
      </c>
      <c r="N289">
        <v>1200</v>
      </c>
    </row>
    <row r="290" spans="1:14" x14ac:dyDescent="0.25">
      <c r="A290">
        <v>153.75791899999999</v>
      </c>
      <c r="B290" s="1">
        <f>DATE(2010,10,1) + TIME(18,11,24)</f>
        <v>40452.757916666669</v>
      </c>
      <c r="C290">
        <v>80</v>
      </c>
      <c r="D290">
        <v>79.596229553000001</v>
      </c>
      <c r="E290">
        <v>50</v>
      </c>
      <c r="F290">
        <v>15.896481514</v>
      </c>
      <c r="G290">
        <v>1373.2562256000001</v>
      </c>
      <c r="H290">
        <v>1358.9681396000001</v>
      </c>
      <c r="I290">
        <v>1316.0361327999999</v>
      </c>
      <c r="J290">
        <v>1308.8736572</v>
      </c>
      <c r="K290">
        <v>1200</v>
      </c>
      <c r="L290">
        <v>0</v>
      </c>
      <c r="M290">
        <v>0</v>
      </c>
      <c r="N290">
        <v>1200</v>
      </c>
    </row>
    <row r="291" spans="1:14" x14ac:dyDescent="0.25">
      <c r="A291">
        <v>154.515838</v>
      </c>
      <c r="B291" s="1">
        <f>DATE(2010,10,2) + TIME(12,22,48)</f>
        <v>40453.515833333331</v>
      </c>
      <c r="C291">
        <v>80</v>
      </c>
      <c r="D291">
        <v>79.596832274999997</v>
      </c>
      <c r="E291">
        <v>50</v>
      </c>
      <c r="F291">
        <v>15.942731857</v>
      </c>
      <c r="G291">
        <v>1373.2219238</v>
      </c>
      <c r="H291">
        <v>1358.9360352000001</v>
      </c>
      <c r="I291">
        <v>1316.0520019999999</v>
      </c>
      <c r="J291">
        <v>1308.8920897999999</v>
      </c>
      <c r="K291">
        <v>1200</v>
      </c>
      <c r="L291">
        <v>0</v>
      </c>
      <c r="M291">
        <v>0</v>
      </c>
      <c r="N291">
        <v>1200</v>
      </c>
    </row>
    <row r="292" spans="1:14" x14ac:dyDescent="0.25">
      <c r="A292">
        <v>156.031677</v>
      </c>
      <c r="B292" s="1">
        <f>DATE(2010,10,4) + TIME(0,45,36)</f>
        <v>40455.031666666669</v>
      </c>
      <c r="C292">
        <v>80</v>
      </c>
      <c r="D292">
        <v>79.598068237000007</v>
      </c>
      <c r="E292">
        <v>50</v>
      </c>
      <c r="F292">
        <v>16.019798279</v>
      </c>
      <c r="G292">
        <v>1373.1882324000001</v>
      </c>
      <c r="H292">
        <v>1358.9047852000001</v>
      </c>
      <c r="I292">
        <v>1316.0665283000001</v>
      </c>
      <c r="J292">
        <v>1308.9140625</v>
      </c>
      <c r="K292">
        <v>1200</v>
      </c>
      <c r="L292">
        <v>0</v>
      </c>
      <c r="M292">
        <v>0</v>
      </c>
      <c r="N292">
        <v>1200</v>
      </c>
    </row>
    <row r="293" spans="1:14" x14ac:dyDescent="0.25">
      <c r="A293">
        <v>157.54800900000001</v>
      </c>
      <c r="B293" s="1">
        <f>DATE(2010,10,5) + TIME(13,9,8)</f>
        <v>40456.548009259262</v>
      </c>
      <c r="C293">
        <v>80</v>
      </c>
      <c r="D293">
        <v>79.599281310999999</v>
      </c>
      <c r="E293">
        <v>50</v>
      </c>
      <c r="F293">
        <v>16.107414246000001</v>
      </c>
      <c r="G293">
        <v>1373.1209716999999</v>
      </c>
      <c r="H293">
        <v>1358.8419189000001</v>
      </c>
      <c r="I293">
        <v>1316.1005858999999</v>
      </c>
      <c r="J293">
        <v>1308.9520264</v>
      </c>
      <c r="K293">
        <v>1200</v>
      </c>
      <c r="L293">
        <v>0</v>
      </c>
      <c r="M293">
        <v>0</v>
      </c>
      <c r="N293">
        <v>1200</v>
      </c>
    </row>
    <row r="294" spans="1:14" x14ac:dyDescent="0.25">
      <c r="A294">
        <v>159.07497000000001</v>
      </c>
      <c r="B294" s="1">
        <f>DATE(2010,10,7) + TIME(1,47,57)</f>
        <v>40458.074965277781</v>
      </c>
      <c r="C294">
        <v>80</v>
      </c>
      <c r="D294">
        <v>79.600494385000005</v>
      </c>
      <c r="E294">
        <v>50</v>
      </c>
      <c r="F294">
        <v>16.204864502</v>
      </c>
      <c r="G294">
        <v>1373.0538329999999</v>
      </c>
      <c r="H294">
        <v>1358.7791748</v>
      </c>
      <c r="I294">
        <v>1316.1354980000001</v>
      </c>
      <c r="J294">
        <v>1308.9921875</v>
      </c>
      <c r="K294">
        <v>1200</v>
      </c>
      <c r="L294">
        <v>0</v>
      </c>
      <c r="M294">
        <v>0</v>
      </c>
      <c r="N294">
        <v>1200</v>
      </c>
    </row>
    <row r="295" spans="1:14" x14ac:dyDescent="0.25">
      <c r="A295">
        <v>160.61501999999999</v>
      </c>
      <c r="B295" s="1">
        <f>DATE(2010,10,8) + TIME(14,45,37)</f>
        <v>40459.615011574075</v>
      </c>
      <c r="C295">
        <v>80</v>
      </c>
      <c r="D295">
        <v>79.601699828999998</v>
      </c>
      <c r="E295">
        <v>50</v>
      </c>
      <c r="F295">
        <v>16.311895369999998</v>
      </c>
      <c r="G295">
        <v>1372.9865723</v>
      </c>
      <c r="H295">
        <v>1358.7163086</v>
      </c>
      <c r="I295">
        <v>1316.1717529</v>
      </c>
      <c r="J295">
        <v>1309.0351562000001</v>
      </c>
      <c r="K295">
        <v>1200</v>
      </c>
      <c r="L295">
        <v>0</v>
      </c>
      <c r="M295">
        <v>0</v>
      </c>
      <c r="N295">
        <v>1200</v>
      </c>
    </row>
    <row r="296" spans="1:14" x14ac:dyDescent="0.25">
      <c r="A296">
        <v>162.17073500000001</v>
      </c>
      <c r="B296" s="1">
        <f>DATE(2010,10,10) + TIME(4,5,51)</f>
        <v>40461.170729166668</v>
      </c>
      <c r="C296">
        <v>80</v>
      </c>
      <c r="D296">
        <v>79.602912903000004</v>
      </c>
      <c r="E296">
        <v>50</v>
      </c>
      <c r="F296">
        <v>16.428640366</v>
      </c>
      <c r="G296">
        <v>1372.9193115</v>
      </c>
      <c r="H296">
        <v>1358.6533202999999</v>
      </c>
      <c r="I296">
        <v>1316.2098389</v>
      </c>
      <c r="J296">
        <v>1309.0809326000001</v>
      </c>
      <c r="K296">
        <v>1200</v>
      </c>
      <c r="L296">
        <v>0</v>
      </c>
      <c r="M296">
        <v>0</v>
      </c>
      <c r="N296">
        <v>1200</v>
      </c>
    </row>
    <row r="297" spans="1:14" x14ac:dyDescent="0.25">
      <c r="A297">
        <v>163.744812</v>
      </c>
      <c r="B297" s="1">
        <f>DATE(2010,10,11) + TIME(17,52,31)</f>
        <v>40462.744803240741</v>
      </c>
      <c r="C297">
        <v>80</v>
      </c>
      <c r="D297">
        <v>79.604133606000005</v>
      </c>
      <c r="E297">
        <v>50</v>
      </c>
      <c r="F297">
        <v>16.555511474999999</v>
      </c>
      <c r="G297">
        <v>1372.8516846</v>
      </c>
      <c r="H297">
        <v>1358.5900879000001</v>
      </c>
      <c r="I297">
        <v>1316.2496338000001</v>
      </c>
      <c r="J297">
        <v>1309.1300048999999</v>
      </c>
      <c r="K297">
        <v>1200</v>
      </c>
      <c r="L297">
        <v>0</v>
      </c>
      <c r="M297">
        <v>0</v>
      </c>
      <c r="N297">
        <v>1200</v>
      </c>
    </row>
    <row r="298" spans="1:14" x14ac:dyDescent="0.25">
      <c r="A298">
        <v>165.325177</v>
      </c>
      <c r="B298" s="1">
        <f>DATE(2010,10,13) + TIME(7,48,15)</f>
        <v>40464.325173611112</v>
      </c>
      <c r="C298">
        <v>80</v>
      </c>
      <c r="D298">
        <v>79.605346679999997</v>
      </c>
      <c r="E298">
        <v>50</v>
      </c>
      <c r="F298">
        <v>16.692338942999999</v>
      </c>
      <c r="G298">
        <v>1372.7839355000001</v>
      </c>
      <c r="H298">
        <v>1358.5263672000001</v>
      </c>
      <c r="I298">
        <v>1316.2915039</v>
      </c>
      <c r="J298">
        <v>1309.182251</v>
      </c>
      <c r="K298">
        <v>1200</v>
      </c>
      <c r="L298">
        <v>0</v>
      </c>
      <c r="M298">
        <v>0</v>
      </c>
      <c r="N298">
        <v>1200</v>
      </c>
    </row>
    <row r="299" spans="1:14" x14ac:dyDescent="0.25">
      <c r="A299">
        <v>166.91369499999999</v>
      </c>
      <c r="B299" s="1">
        <f>DATE(2010,10,14) + TIME(21,55,43)</f>
        <v>40465.91369212963</v>
      </c>
      <c r="C299">
        <v>80</v>
      </c>
      <c r="D299">
        <v>79.606559752999999</v>
      </c>
      <c r="E299">
        <v>50</v>
      </c>
      <c r="F299">
        <v>16.839464188000001</v>
      </c>
      <c r="G299">
        <v>1372.7163086</v>
      </c>
      <c r="H299">
        <v>1358.4628906</v>
      </c>
      <c r="I299">
        <v>1316.3349608999999</v>
      </c>
      <c r="J299">
        <v>1309.2376709</v>
      </c>
      <c r="K299">
        <v>1200</v>
      </c>
      <c r="L299">
        <v>0</v>
      </c>
      <c r="M299">
        <v>0</v>
      </c>
      <c r="N299">
        <v>1200</v>
      </c>
    </row>
    <row r="300" spans="1:14" x14ac:dyDescent="0.25">
      <c r="A300">
        <v>167.71145999999999</v>
      </c>
      <c r="B300" s="1">
        <f>DATE(2010,10,15) + TIME(17,4,30)</f>
        <v>40466.711458333331</v>
      </c>
      <c r="C300">
        <v>80</v>
      </c>
      <c r="D300">
        <v>79.607154846</v>
      </c>
      <c r="E300">
        <v>50</v>
      </c>
      <c r="F300">
        <v>16.937265396000001</v>
      </c>
      <c r="G300">
        <v>1372.6488036999999</v>
      </c>
      <c r="H300">
        <v>1358.3995361</v>
      </c>
      <c r="I300">
        <v>1316.3841553</v>
      </c>
      <c r="J300">
        <v>1309.2906493999999</v>
      </c>
      <c r="K300">
        <v>1200</v>
      </c>
      <c r="L300">
        <v>0</v>
      </c>
      <c r="M300">
        <v>0</v>
      </c>
      <c r="N300">
        <v>1200</v>
      </c>
    </row>
    <row r="301" spans="1:14" x14ac:dyDescent="0.25">
      <c r="A301">
        <v>168.50834699999999</v>
      </c>
      <c r="B301" s="1">
        <f>DATE(2010,10,16) + TIME(12,12,1)</f>
        <v>40467.508344907408</v>
      </c>
      <c r="C301">
        <v>80</v>
      </c>
      <c r="D301">
        <v>79.607742310000006</v>
      </c>
      <c r="E301">
        <v>50</v>
      </c>
      <c r="F301">
        <v>17.033672332999998</v>
      </c>
      <c r="G301">
        <v>1372.6142577999999</v>
      </c>
      <c r="H301">
        <v>1358.3669434000001</v>
      </c>
      <c r="I301">
        <v>1316.4067382999999</v>
      </c>
      <c r="J301">
        <v>1309.3227539</v>
      </c>
      <c r="K301">
        <v>1200</v>
      </c>
      <c r="L301">
        <v>0</v>
      </c>
      <c r="M301">
        <v>0</v>
      </c>
      <c r="N301">
        <v>1200</v>
      </c>
    </row>
    <row r="302" spans="1:14" x14ac:dyDescent="0.25">
      <c r="A302">
        <v>169.30307199999999</v>
      </c>
      <c r="B302" s="1">
        <f>DATE(2010,10,17) + TIME(7,16,25)</f>
        <v>40468.303067129629</v>
      </c>
      <c r="C302">
        <v>80</v>
      </c>
      <c r="D302">
        <v>79.608337402000004</v>
      </c>
      <c r="E302">
        <v>50</v>
      </c>
      <c r="F302">
        <v>17.129541397000001</v>
      </c>
      <c r="G302">
        <v>1372.5805664</v>
      </c>
      <c r="H302">
        <v>1358.3352050999999</v>
      </c>
      <c r="I302">
        <v>1316.4302978999999</v>
      </c>
      <c r="J302">
        <v>1309.3557129000001</v>
      </c>
      <c r="K302">
        <v>1200</v>
      </c>
      <c r="L302">
        <v>0</v>
      </c>
      <c r="M302">
        <v>0</v>
      </c>
      <c r="N302">
        <v>1200</v>
      </c>
    </row>
    <row r="303" spans="1:14" x14ac:dyDescent="0.25">
      <c r="A303">
        <v>170.09562600000001</v>
      </c>
      <c r="B303" s="1">
        <f>DATE(2010,10,18) + TIME(2,17,42)</f>
        <v>40469.095625000002</v>
      </c>
      <c r="C303">
        <v>80</v>
      </c>
      <c r="D303">
        <v>79.608932495000005</v>
      </c>
      <c r="E303">
        <v>50</v>
      </c>
      <c r="F303">
        <v>17.225599289000002</v>
      </c>
      <c r="G303">
        <v>1372.5472411999999</v>
      </c>
      <c r="H303">
        <v>1358.3037108999999</v>
      </c>
      <c r="I303">
        <v>1316.4543457</v>
      </c>
      <c r="J303">
        <v>1309.3891602000001</v>
      </c>
      <c r="K303">
        <v>1200</v>
      </c>
      <c r="L303">
        <v>0</v>
      </c>
      <c r="M303">
        <v>0</v>
      </c>
      <c r="N303">
        <v>1200</v>
      </c>
    </row>
    <row r="304" spans="1:14" x14ac:dyDescent="0.25">
      <c r="A304">
        <v>170.88645700000001</v>
      </c>
      <c r="B304" s="1">
        <f>DATE(2010,10,18) + TIME(21,16,29)</f>
        <v>40469.886446759258</v>
      </c>
      <c r="C304">
        <v>80</v>
      </c>
      <c r="D304">
        <v>79.609519958000007</v>
      </c>
      <c r="E304">
        <v>50</v>
      </c>
      <c r="F304">
        <v>17.322444915999998</v>
      </c>
      <c r="G304">
        <v>1372.5139160000001</v>
      </c>
      <c r="H304">
        <v>1358.2724608999999</v>
      </c>
      <c r="I304">
        <v>1316.4790039</v>
      </c>
      <c r="J304">
        <v>1309.4232178</v>
      </c>
      <c r="K304">
        <v>1200</v>
      </c>
      <c r="L304">
        <v>0</v>
      </c>
      <c r="M304">
        <v>0</v>
      </c>
      <c r="N304">
        <v>1200</v>
      </c>
    </row>
    <row r="305" spans="1:14" x14ac:dyDescent="0.25">
      <c r="A305">
        <v>171.676626</v>
      </c>
      <c r="B305" s="1">
        <f>DATE(2010,10,19) + TIME(16,14,20)</f>
        <v>40470.676620370374</v>
      </c>
      <c r="C305">
        <v>80</v>
      </c>
      <c r="D305">
        <v>79.610107421999999</v>
      </c>
      <c r="E305">
        <v>50</v>
      </c>
      <c r="F305">
        <v>17.420593262000001</v>
      </c>
      <c r="G305">
        <v>1372.480957</v>
      </c>
      <c r="H305">
        <v>1358.2413329999999</v>
      </c>
      <c r="I305">
        <v>1316.5039062000001</v>
      </c>
      <c r="J305">
        <v>1309.4577637</v>
      </c>
      <c r="K305">
        <v>1200</v>
      </c>
      <c r="L305">
        <v>0</v>
      </c>
      <c r="M305">
        <v>0</v>
      </c>
      <c r="N305">
        <v>1200</v>
      </c>
    </row>
    <row r="306" spans="1:14" x14ac:dyDescent="0.25">
      <c r="A306">
        <v>172.46679599999999</v>
      </c>
      <c r="B306" s="1">
        <f>DATE(2010,10,20) + TIME(11,12,11)</f>
        <v>40471.466793981483</v>
      </c>
      <c r="C306">
        <v>80</v>
      </c>
      <c r="D306">
        <v>79.610694885000001</v>
      </c>
      <c r="E306">
        <v>50</v>
      </c>
      <c r="F306">
        <v>17.520444869999999</v>
      </c>
      <c r="G306">
        <v>1372.4481201000001</v>
      </c>
      <c r="H306">
        <v>1358.2103271000001</v>
      </c>
      <c r="I306">
        <v>1316.5292969</v>
      </c>
      <c r="J306">
        <v>1309.4930420000001</v>
      </c>
      <c r="K306">
        <v>1200</v>
      </c>
      <c r="L306">
        <v>0</v>
      </c>
      <c r="M306">
        <v>0</v>
      </c>
      <c r="N306">
        <v>1200</v>
      </c>
    </row>
    <row r="307" spans="1:14" x14ac:dyDescent="0.25">
      <c r="A307">
        <v>173.25696500000001</v>
      </c>
      <c r="B307" s="1">
        <f>DATE(2010,10,21) + TIME(6,10,1)</f>
        <v>40472.256956018522</v>
      </c>
      <c r="C307">
        <v>80</v>
      </c>
      <c r="D307">
        <v>79.611282349000007</v>
      </c>
      <c r="E307">
        <v>50</v>
      </c>
      <c r="F307">
        <v>17.622264862000002</v>
      </c>
      <c r="G307">
        <v>1372.4155272999999</v>
      </c>
      <c r="H307">
        <v>1358.1794434000001</v>
      </c>
      <c r="I307">
        <v>1316.5550536999999</v>
      </c>
      <c r="J307">
        <v>1309.5290527</v>
      </c>
      <c r="K307">
        <v>1200</v>
      </c>
      <c r="L307">
        <v>0</v>
      </c>
      <c r="M307">
        <v>0</v>
      </c>
      <c r="N307">
        <v>1200</v>
      </c>
    </row>
    <row r="308" spans="1:14" x14ac:dyDescent="0.25">
      <c r="A308">
        <v>174.047134</v>
      </c>
      <c r="B308" s="1">
        <f>DATE(2010,10,22) + TIME(1,7,52)</f>
        <v>40473.047129629631</v>
      </c>
      <c r="C308">
        <v>80</v>
      </c>
      <c r="D308">
        <v>79.611869811999995</v>
      </c>
      <c r="E308">
        <v>50</v>
      </c>
      <c r="F308">
        <v>17.726242065000001</v>
      </c>
      <c r="G308">
        <v>1372.3829346</v>
      </c>
      <c r="H308">
        <v>1358.1486815999999</v>
      </c>
      <c r="I308">
        <v>1316.5812988</v>
      </c>
      <c r="J308">
        <v>1309.5657959</v>
      </c>
      <c r="K308">
        <v>1200</v>
      </c>
      <c r="L308">
        <v>0</v>
      </c>
      <c r="M308">
        <v>0</v>
      </c>
      <c r="N308">
        <v>1200</v>
      </c>
    </row>
    <row r="309" spans="1:14" x14ac:dyDescent="0.25">
      <c r="A309">
        <v>174.83730299999999</v>
      </c>
      <c r="B309" s="1">
        <f>DATE(2010,10,22) + TIME(20,5,43)</f>
        <v>40473.83730324074</v>
      </c>
      <c r="C309">
        <v>80</v>
      </c>
      <c r="D309">
        <v>79.612449646000002</v>
      </c>
      <c r="E309">
        <v>50</v>
      </c>
      <c r="F309">
        <v>17.832536696999998</v>
      </c>
      <c r="G309">
        <v>1372.3504639</v>
      </c>
      <c r="H309">
        <v>1358.1180420000001</v>
      </c>
      <c r="I309">
        <v>1316.6079102000001</v>
      </c>
      <c r="J309">
        <v>1309.6032714999999</v>
      </c>
      <c r="K309">
        <v>1200</v>
      </c>
      <c r="L309">
        <v>0</v>
      </c>
      <c r="M309">
        <v>0</v>
      </c>
      <c r="N309">
        <v>1200</v>
      </c>
    </row>
    <row r="310" spans="1:14" x14ac:dyDescent="0.25">
      <c r="A310">
        <v>175.62747300000001</v>
      </c>
      <c r="B310" s="1">
        <f>DATE(2010,10,23) + TIME(15,3,33)</f>
        <v>40474.627465277779</v>
      </c>
      <c r="C310">
        <v>80</v>
      </c>
      <c r="D310">
        <v>79.613037109000004</v>
      </c>
      <c r="E310">
        <v>50</v>
      </c>
      <c r="F310">
        <v>17.941278457999999</v>
      </c>
      <c r="G310">
        <v>1372.3181152</v>
      </c>
      <c r="H310">
        <v>1358.0875243999999</v>
      </c>
      <c r="I310">
        <v>1316.6351318</v>
      </c>
      <c r="J310">
        <v>1309.6416016000001</v>
      </c>
      <c r="K310">
        <v>1200</v>
      </c>
      <c r="L310">
        <v>0</v>
      </c>
      <c r="M310">
        <v>0</v>
      </c>
      <c r="N310">
        <v>1200</v>
      </c>
    </row>
    <row r="311" spans="1:14" x14ac:dyDescent="0.25">
      <c r="A311">
        <v>176.417642</v>
      </c>
      <c r="B311" s="1">
        <f>DATE(2010,10,24) + TIME(10,1,24)</f>
        <v>40475.417638888888</v>
      </c>
      <c r="C311">
        <v>80</v>
      </c>
      <c r="D311">
        <v>79.613616942999997</v>
      </c>
      <c r="E311">
        <v>50</v>
      </c>
      <c r="F311">
        <v>18.052576065</v>
      </c>
      <c r="G311">
        <v>1372.2860106999999</v>
      </c>
      <c r="H311">
        <v>1358.0570068</v>
      </c>
      <c r="I311">
        <v>1316.6625977000001</v>
      </c>
      <c r="J311">
        <v>1309.6806641000001</v>
      </c>
      <c r="K311">
        <v>1200</v>
      </c>
      <c r="L311">
        <v>0</v>
      </c>
      <c r="M311">
        <v>0</v>
      </c>
      <c r="N311">
        <v>1200</v>
      </c>
    </row>
    <row r="312" spans="1:14" x14ac:dyDescent="0.25">
      <c r="A312">
        <v>177.20781099999999</v>
      </c>
      <c r="B312" s="1">
        <f>DATE(2010,10,25) + TIME(4,59,14)</f>
        <v>40476.207800925928</v>
      </c>
      <c r="C312">
        <v>80</v>
      </c>
      <c r="D312">
        <v>79.614189147999994</v>
      </c>
      <c r="E312">
        <v>50</v>
      </c>
      <c r="F312">
        <v>18.166507720999999</v>
      </c>
      <c r="G312">
        <v>1372.2539062000001</v>
      </c>
      <c r="H312">
        <v>1358.0267334</v>
      </c>
      <c r="I312">
        <v>1316.6905518000001</v>
      </c>
      <c r="J312">
        <v>1309.7207031</v>
      </c>
      <c r="K312">
        <v>1200</v>
      </c>
      <c r="L312">
        <v>0</v>
      </c>
      <c r="M312">
        <v>0</v>
      </c>
      <c r="N312">
        <v>1200</v>
      </c>
    </row>
    <row r="313" spans="1:14" x14ac:dyDescent="0.25">
      <c r="A313">
        <v>177.99798000000001</v>
      </c>
      <c r="B313" s="1">
        <f>DATE(2010,10,25) + TIME(23,57,5)</f>
        <v>40476.997974537036</v>
      </c>
      <c r="C313">
        <v>80</v>
      </c>
      <c r="D313">
        <v>79.614768982000001</v>
      </c>
      <c r="E313">
        <v>50</v>
      </c>
      <c r="F313">
        <v>18.283134459999999</v>
      </c>
      <c r="G313">
        <v>1372.2219238</v>
      </c>
      <c r="H313">
        <v>1357.9964600000001</v>
      </c>
      <c r="I313">
        <v>1316.7189940999999</v>
      </c>
      <c r="J313">
        <v>1309.7614745999999</v>
      </c>
      <c r="K313">
        <v>1200</v>
      </c>
      <c r="L313">
        <v>0</v>
      </c>
      <c r="M313">
        <v>0</v>
      </c>
      <c r="N313">
        <v>1200</v>
      </c>
    </row>
    <row r="314" spans="1:14" x14ac:dyDescent="0.25">
      <c r="A314">
        <v>178.78815</v>
      </c>
      <c r="B314" s="1">
        <f>DATE(2010,10,26) + TIME(18,54,56)</f>
        <v>40477.788148148145</v>
      </c>
      <c r="C314">
        <v>80</v>
      </c>
      <c r="D314">
        <v>79.615341186999999</v>
      </c>
      <c r="E314">
        <v>50</v>
      </c>
      <c r="F314">
        <v>18.402507782000001</v>
      </c>
      <c r="G314">
        <v>1372.1901855000001</v>
      </c>
      <c r="H314">
        <v>1357.9663086</v>
      </c>
      <c r="I314">
        <v>1316.7478027</v>
      </c>
      <c r="J314">
        <v>1309.8031006000001</v>
      </c>
      <c r="K314">
        <v>1200</v>
      </c>
      <c r="L314">
        <v>0</v>
      </c>
      <c r="M314">
        <v>0</v>
      </c>
      <c r="N314">
        <v>1200</v>
      </c>
    </row>
    <row r="315" spans="1:14" x14ac:dyDescent="0.25">
      <c r="A315">
        <v>179.57831899999999</v>
      </c>
      <c r="B315" s="1">
        <f>DATE(2010,10,27) + TIME(13,52,46)</f>
        <v>40478.578310185185</v>
      </c>
      <c r="C315">
        <v>80</v>
      </c>
      <c r="D315">
        <v>79.615921021000005</v>
      </c>
      <c r="E315">
        <v>50</v>
      </c>
      <c r="F315">
        <v>18.524662018000001</v>
      </c>
      <c r="G315">
        <v>1372.1584473</v>
      </c>
      <c r="H315">
        <v>1357.9362793</v>
      </c>
      <c r="I315">
        <v>1316.7769774999999</v>
      </c>
      <c r="J315">
        <v>1309.8455810999999</v>
      </c>
      <c r="K315">
        <v>1200</v>
      </c>
      <c r="L315">
        <v>0</v>
      </c>
      <c r="M315">
        <v>0</v>
      </c>
      <c r="N315">
        <v>1200</v>
      </c>
    </row>
    <row r="316" spans="1:14" x14ac:dyDescent="0.25">
      <c r="A316">
        <v>180.36848800000001</v>
      </c>
      <c r="B316" s="1">
        <f>DATE(2010,10,28) + TIME(8,50,37)</f>
        <v>40479.368483796294</v>
      </c>
      <c r="C316">
        <v>80</v>
      </c>
      <c r="D316">
        <v>79.616493224999999</v>
      </c>
      <c r="E316">
        <v>50</v>
      </c>
      <c r="F316">
        <v>18.649627685999999</v>
      </c>
      <c r="G316">
        <v>1372.1269531</v>
      </c>
      <c r="H316">
        <v>1357.9063721</v>
      </c>
      <c r="I316">
        <v>1316.8066406</v>
      </c>
      <c r="J316">
        <v>1309.8889160000001</v>
      </c>
      <c r="K316">
        <v>1200</v>
      </c>
      <c r="L316">
        <v>0</v>
      </c>
      <c r="M316">
        <v>0</v>
      </c>
      <c r="N316">
        <v>1200</v>
      </c>
    </row>
    <row r="317" spans="1:14" x14ac:dyDescent="0.25">
      <c r="A317">
        <v>181.15865700000001</v>
      </c>
      <c r="B317" s="1">
        <f>DATE(2010,10,29) + TIME(3,48,28)</f>
        <v>40480.15865740741</v>
      </c>
      <c r="C317">
        <v>80</v>
      </c>
      <c r="D317">
        <v>79.617057799999998</v>
      </c>
      <c r="E317">
        <v>50</v>
      </c>
      <c r="F317">
        <v>18.777423858999999</v>
      </c>
      <c r="G317">
        <v>1372.0955810999999</v>
      </c>
      <c r="H317">
        <v>1357.8765868999999</v>
      </c>
      <c r="I317">
        <v>1316.8366699000001</v>
      </c>
      <c r="J317">
        <v>1309.9329834</v>
      </c>
      <c r="K317">
        <v>1200</v>
      </c>
      <c r="L317">
        <v>0</v>
      </c>
      <c r="M317">
        <v>0</v>
      </c>
      <c r="N317">
        <v>1200</v>
      </c>
    </row>
    <row r="318" spans="1:14" x14ac:dyDescent="0.25">
      <c r="A318">
        <v>181.94882699999999</v>
      </c>
      <c r="B318" s="1">
        <f>DATE(2010,10,29) + TIME(22,46,18)</f>
        <v>40480.948819444442</v>
      </c>
      <c r="C318">
        <v>80</v>
      </c>
      <c r="D318">
        <v>79.617630004999995</v>
      </c>
      <c r="E318">
        <v>50</v>
      </c>
      <c r="F318">
        <v>18.908061980999999</v>
      </c>
      <c r="G318">
        <v>1372.0642089999999</v>
      </c>
      <c r="H318">
        <v>1357.8469238</v>
      </c>
      <c r="I318">
        <v>1316.8671875</v>
      </c>
      <c r="J318">
        <v>1309.9780272999999</v>
      </c>
      <c r="K318">
        <v>1200</v>
      </c>
      <c r="L318">
        <v>0</v>
      </c>
      <c r="M318">
        <v>0</v>
      </c>
      <c r="N318">
        <v>1200</v>
      </c>
    </row>
    <row r="319" spans="1:14" x14ac:dyDescent="0.25">
      <c r="A319">
        <v>182.73899599999999</v>
      </c>
      <c r="B319" s="1">
        <f>DATE(2010,10,30) + TIME(17,44,9)</f>
        <v>40481.738993055558</v>
      </c>
      <c r="C319">
        <v>80</v>
      </c>
      <c r="D319">
        <v>79.618194579999994</v>
      </c>
      <c r="E319">
        <v>50</v>
      </c>
      <c r="F319">
        <v>19.041551590000001</v>
      </c>
      <c r="G319">
        <v>1372.0330810999999</v>
      </c>
      <c r="H319">
        <v>1357.8173827999999</v>
      </c>
      <c r="I319">
        <v>1316.8979492000001</v>
      </c>
      <c r="J319">
        <v>1310.0239257999999</v>
      </c>
      <c r="K319">
        <v>1200</v>
      </c>
      <c r="L319">
        <v>0</v>
      </c>
      <c r="M319">
        <v>0</v>
      </c>
      <c r="N319">
        <v>1200</v>
      </c>
    </row>
    <row r="320" spans="1:14" x14ac:dyDescent="0.25">
      <c r="A320">
        <v>184</v>
      </c>
      <c r="B320" s="1">
        <f>DATE(2010,11,1) + TIME(0,0,0)</f>
        <v>40483</v>
      </c>
      <c r="C320">
        <v>80</v>
      </c>
      <c r="D320">
        <v>79.619102478000002</v>
      </c>
      <c r="E320">
        <v>50</v>
      </c>
      <c r="F320">
        <v>19.231586455999999</v>
      </c>
      <c r="G320">
        <v>1372.0021973</v>
      </c>
      <c r="H320">
        <v>1357.7880858999999</v>
      </c>
      <c r="I320">
        <v>1316.9262695</v>
      </c>
      <c r="J320">
        <v>1310.0759277</v>
      </c>
      <c r="K320">
        <v>1200</v>
      </c>
      <c r="L320">
        <v>0</v>
      </c>
      <c r="M320">
        <v>0</v>
      </c>
      <c r="N320">
        <v>1200</v>
      </c>
    </row>
    <row r="321" spans="1:14" x14ac:dyDescent="0.25">
      <c r="A321">
        <v>184.000001</v>
      </c>
      <c r="B321" s="1">
        <f>DATE(2010,11,1) + TIME(0,0,0)</f>
        <v>40483</v>
      </c>
      <c r="C321">
        <v>80</v>
      </c>
      <c r="D321">
        <v>79.619064331000004</v>
      </c>
      <c r="E321">
        <v>50</v>
      </c>
      <c r="F321">
        <v>19.231628418</v>
      </c>
      <c r="G321">
        <v>1357.4997559000001</v>
      </c>
      <c r="H321">
        <v>1344.9719238</v>
      </c>
      <c r="I321">
        <v>1323.3153076000001</v>
      </c>
      <c r="J321">
        <v>1317.2224120999999</v>
      </c>
      <c r="K321">
        <v>0</v>
      </c>
      <c r="L321">
        <v>1200</v>
      </c>
      <c r="M321">
        <v>1200</v>
      </c>
      <c r="N321">
        <v>0</v>
      </c>
    </row>
    <row r="322" spans="1:14" x14ac:dyDescent="0.25">
      <c r="A322">
        <v>184.00000399999999</v>
      </c>
      <c r="B322" s="1">
        <f>DATE(2010,11,1) + TIME(0,0,0)</f>
        <v>40483</v>
      </c>
      <c r="C322">
        <v>80</v>
      </c>
      <c r="D322">
        <v>79.618949889999996</v>
      </c>
      <c r="E322">
        <v>50</v>
      </c>
      <c r="F322">
        <v>19.231750487999999</v>
      </c>
      <c r="G322">
        <v>1356.7000731999999</v>
      </c>
      <c r="H322">
        <v>1344.1697998</v>
      </c>
      <c r="I322">
        <v>1324.1171875</v>
      </c>
      <c r="J322">
        <v>1318.0599365</v>
      </c>
      <c r="K322">
        <v>0</v>
      </c>
      <c r="L322">
        <v>1200</v>
      </c>
      <c r="M322">
        <v>1200</v>
      </c>
      <c r="N322">
        <v>0</v>
      </c>
    </row>
    <row r="323" spans="1:14" x14ac:dyDescent="0.25">
      <c r="A323">
        <v>184.000013</v>
      </c>
      <c r="B323" s="1">
        <f>DATE(2010,11,1) + TIME(0,0,1)</f>
        <v>40483.000011574077</v>
      </c>
      <c r="C323">
        <v>80</v>
      </c>
      <c r="D323">
        <v>79.618667603000006</v>
      </c>
      <c r="E323">
        <v>50</v>
      </c>
      <c r="F323">
        <v>19.232078552000001</v>
      </c>
      <c r="G323">
        <v>1354.7359618999999</v>
      </c>
      <c r="H323">
        <v>1342.2014160000001</v>
      </c>
      <c r="I323">
        <v>1326.1879882999999</v>
      </c>
      <c r="J323">
        <v>1320.1990966999999</v>
      </c>
      <c r="K323">
        <v>0</v>
      </c>
      <c r="L323">
        <v>1200</v>
      </c>
      <c r="M323">
        <v>1200</v>
      </c>
      <c r="N323">
        <v>0</v>
      </c>
    </row>
    <row r="324" spans="1:14" x14ac:dyDescent="0.25">
      <c r="A324">
        <v>184.00004000000001</v>
      </c>
      <c r="B324" s="1">
        <f>DATE(2010,11,1) + TIME(0,0,3)</f>
        <v>40483.000034722223</v>
      </c>
      <c r="C324">
        <v>80</v>
      </c>
      <c r="D324">
        <v>79.618118285999998</v>
      </c>
      <c r="E324">
        <v>50</v>
      </c>
      <c r="F324">
        <v>19.232837676999999</v>
      </c>
      <c r="G324">
        <v>1350.8842772999999</v>
      </c>
      <c r="H324">
        <v>1338.347168</v>
      </c>
      <c r="I324">
        <v>1330.5051269999999</v>
      </c>
      <c r="J324">
        <v>1324.5808105000001</v>
      </c>
      <c r="K324">
        <v>0</v>
      </c>
      <c r="L324">
        <v>1200</v>
      </c>
      <c r="M324">
        <v>1200</v>
      </c>
      <c r="N324">
        <v>0</v>
      </c>
    </row>
    <row r="325" spans="1:14" x14ac:dyDescent="0.25">
      <c r="A325">
        <v>184.00012100000001</v>
      </c>
      <c r="B325" s="1">
        <f>DATE(2010,11,1) + TIME(0,0,10)</f>
        <v>40483.000115740739</v>
      </c>
      <c r="C325">
        <v>80</v>
      </c>
      <c r="D325">
        <v>79.617294311999999</v>
      </c>
      <c r="E325">
        <v>50</v>
      </c>
      <c r="F325">
        <v>19.234392165999999</v>
      </c>
      <c r="G325">
        <v>1345.1940918</v>
      </c>
      <c r="H325">
        <v>1332.6617432</v>
      </c>
      <c r="I325">
        <v>1336.8133545000001</v>
      </c>
      <c r="J325">
        <v>1330.8911132999999</v>
      </c>
      <c r="K325">
        <v>0</v>
      </c>
      <c r="L325">
        <v>1200</v>
      </c>
      <c r="M325">
        <v>1200</v>
      </c>
      <c r="N325">
        <v>0</v>
      </c>
    </row>
    <row r="326" spans="1:14" x14ac:dyDescent="0.25">
      <c r="A326">
        <v>184.00036399999999</v>
      </c>
      <c r="B326" s="1">
        <f>DATE(2010,11,1) + TIME(0,0,31)</f>
        <v>40483.000358796293</v>
      </c>
      <c r="C326">
        <v>80</v>
      </c>
      <c r="D326">
        <v>79.616249084000003</v>
      </c>
      <c r="E326">
        <v>50</v>
      </c>
      <c r="F326">
        <v>19.237712859999998</v>
      </c>
      <c r="G326">
        <v>1338.4541016000001</v>
      </c>
      <c r="H326">
        <v>1325.9536132999999</v>
      </c>
      <c r="I326">
        <v>1343.2379149999999</v>
      </c>
      <c r="J326">
        <v>1337.2426757999999</v>
      </c>
      <c r="K326">
        <v>0</v>
      </c>
      <c r="L326">
        <v>1200</v>
      </c>
      <c r="M326">
        <v>1200</v>
      </c>
      <c r="N326">
        <v>0</v>
      </c>
    </row>
    <row r="327" spans="1:14" x14ac:dyDescent="0.25">
      <c r="A327">
        <v>184.001093</v>
      </c>
      <c r="B327" s="1">
        <f>DATE(2010,11,1) + TIME(0,1,34)</f>
        <v>40483.001087962963</v>
      </c>
      <c r="C327">
        <v>80</v>
      </c>
      <c r="D327">
        <v>79.614944457999997</v>
      </c>
      <c r="E327">
        <v>50</v>
      </c>
      <c r="F327">
        <v>19.246286391999998</v>
      </c>
      <c r="G327">
        <v>1331.3696289</v>
      </c>
      <c r="H327">
        <v>1318.875</v>
      </c>
      <c r="I327">
        <v>1348.7753906</v>
      </c>
      <c r="J327">
        <v>1342.7407227000001</v>
      </c>
      <c r="K327">
        <v>0</v>
      </c>
      <c r="L327">
        <v>1200</v>
      </c>
      <c r="M327">
        <v>1200</v>
      </c>
      <c r="N327">
        <v>0</v>
      </c>
    </row>
    <row r="328" spans="1:14" x14ac:dyDescent="0.25">
      <c r="A328">
        <v>184.00327999999999</v>
      </c>
      <c r="B328" s="1">
        <f>DATE(2010,11,1) + TIME(0,4,43)</f>
        <v>40483.003275462965</v>
      </c>
      <c r="C328">
        <v>80</v>
      </c>
      <c r="D328">
        <v>79.613059997999997</v>
      </c>
      <c r="E328">
        <v>50</v>
      </c>
      <c r="F328">
        <v>19.270906448000002</v>
      </c>
      <c r="G328">
        <v>1324.5993652</v>
      </c>
      <c r="H328">
        <v>1311.9970702999999</v>
      </c>
      <c r="I328">
        <v>1352.7199707</v>
      </c>
      <c r="J328">
        <v>1346.6246338000001</v>
      </c>
      <c r="K328">
        <v>0</v>
      </c>
      <c r="L328">
        <v>1200</v>
      </c>
      <c r="M328">
        <v>1200</v>
      </c>
      <c r="N328">
        <v>0</v>
      </c>
    </row>
    <row r="329" spans="1:14" x14ac:dyDescent="0.25">
      <c r="A329">
        <v>184.00984099999999</v>
      </c>
      <c r="B329" s="1">
        <f>DATE(2010,11,1) + TIME(0,14,10)</f>
        <v>40483.009837962964</v>
      </c>
      <c r="C329">
        <v>80</v>
      </c>
      <c r="D329">
        <v>79.609413146999998</v>
      </c>
      <c r="E329">
        <v>50</v>
      </c>
      <c r="F329">
        <v>19.344259262000001</v>
      </c>
      <c r="G329">
        <v>1318.8416748</v>
      </c>
      <c r="H329">
        <v>1306.1076660000001</v>
      </c>
      <c r="I329">
        <v>1353.7879639</v>
      </c>
      <c r="J329">
        <v>1347.6376952999999</v>
      </c>
      <c r="K329">
        <v>0</v>
      </c>
      <c r="L329">
        <v>1200</v>
      </c>
      <c r="M329">
        <v>1200</v>
      </c>
      <c r="N329">
        <v>0</v>
      </c>
    </row>
    <row r="330" spans="1:14" x14ac:dyDescent="0.25">
      <c r="A330">
        <v>184.02952400000001</v>
      </c>
      <c r="B330" s="1">
        <f>DATE(2010,11,1) + TIME(0,42,30)</f>
        <v>40483.029513888891</v>
      </c>
      <c r="C330">
        <v>80</v>
      </c>
      <c r="D330">
        <v>79.600341796999999</v>
      </c>
      <c r="E330">
        <v>50</v>
      </c>
      <c r="F330">
        <v>19.563472747999999</v>
      </c>
      <c r="G330">
        <v>1314.6120605000001</v>
      </c>
      <c r="H330">
        <v>1301.8251952999999</v>
      </c>
      <c r="I330">
        <v>1352.4699707</v>
      </c>
      <c r="J330">
        <v>1346.3200684000001</v>
      </c>
      <c r="K330">
        <v>0</v>
      </c>
      <c r="L330">
        <v>1200</v>
      </c>
      <c r="M330">
        <v>1200</v>
      </c>
      <c r="N330">
        <v>0</v>
      </c>
    </row>
    <row r="331" spans="1:14" x14ac:dyDescent="0.25">
      <c r="A331">
        <v>184.088573</v>
      </c>
      <c r="B331" s="1">
        <f>DATE(2010,11,1) + TIME(2,7,32)</f>
        <v>40483.088564814818</v>
      </c>
      <c r="C331">
        <v>80</v>
      </c>
      <c r="D331">
        <v>79.574935913000004</v>
      </c>
      <c r="E331">
        <v>50</v>
      </c>
      <c r="F331">
        <v>20.208349227999999</v>
      </c>
      <c r="G331">
        <v>1311.9979248</v>
      </c>
      <c r="H331">
        <v>1299.1975098</v>
      </c>
      <c r="I331">
        <v>1350.5411377</v>
      </c>
      <c r="J331">
        <v>1344.4821777</v>
      </c>
      <c r="K331">
        <v>0</v>
      </c>
      <c r="L331">
        <v>1200</v>
      </c>
      <c r="M331">
        <v>1200</v>
      </c>
      <c r="N331">
        <v>0</v>
      </c>
    </row>
    <row r="332" spans="1:14" x14ac:dyDescent="0.25">
      <c r="A332">
        <v>184.17282499999999</v>
      </c>
      <c r="B332" s="1">
        <f>DATE(2010,11,1) + TIME(4,8,52)</f>
        <v>40483.172824074078</v>
      </c>
      <c r="C332">
        <v>80</v>
      </c>
      <c r="D332">
        <v>79.539543151999993</v>
      </c>
      <c r="E332">
        <v>50</v>
      </c>
      <c r="F332">
        <v>21.102312088000001</v>
      </c>
      <c r="G332">
        <v>1310.9176024999999</v>
      </c>
      <c r="H332">
        <v>1298.1134033000001</v>
      </c>
      <c r="I332">
        <v>1349.3549805</v>
      </c>
      <c r="J332">
        <v>1343.425293</v>
      </c>
      <c r="K332">
        <v>0</v>
      </c>
      <c r="L332">
        <v>1200</v>
      </c>
      <c r="M332">
        <v>1200</v>
      </c>
      <c r="N332">
        <v>0</v>
      </c>
    </row>
    <row r="333" spans="1:14" x14ac:dyDescent="0.25">
      <c r="A333">
        <v>184.25945100000001</v>
      </c>
      <c r="B333" s="1">
        <f>DATE(2010,11,1) + TIME(6,13,36)</f>
        <v>40483.259444444448</v>
      </c>
      <c r="C333">
        <v>80</v>
      </c>
      <c r="D333">
        <v>79.503486632999994</v>
      </c>
      <c r="E333">
        <v>50</v>
      </c>
      <c r="F333">
        <v>21.994529724</v>
      </c>
      <c r="G333">
        <v>1310.4512939000001</v>
      </c>
      <c r="H333">
        <v>1297.6448975000001</v>
      </c>
      <c r="I333">
        <v>1348.6722411999999</v>
      </c>
      <c r="J333">
        <v>1342.8641356999999</v>
      </c>
      <c r="K333">
        <v>0</v>
      </c>
      <c r="L333">
        <v>1200</v>
      </c>
      <c r="M333">
        <v>1200</v>
      </c>
      <c r="N333">
        <v>0</v>
      </c>
    </row>
    <row r="334" spans="1:14" x14ac:dyDescent="0.25">
      <c r="A334">
        <v>184.34860399999999</v>
      </c>
      <c r="B334" s="1">
        <f>DATE(2010,11,1) + TIME(8,21,59)</f>
        <v>40483.348599537036</v>
      </c>
      <c r="C334">
        <v>80</v>
      </c>
      <c r="D334">
        <v>79.466674804999997</v>
      </c>
      <c r="E334">
        <v>50</v>
      </c>
      <c r="F334">
        <v>22.885055542</v>
      </c>
      <c r="G334">
        <v>1310.2144774999999</v>
      </c>
      <c r="H334">
        <v>1297.4061279</v>
      </c>
      <c r="I334">
        <v>1348.2042236</v>
      </c>
      <c r="J334">
        <v>1342.5124512</v>
      </c>
      <c r="K334">
        <v>0</v>
      </c>
      <c r="L334">
        <v>1200</v>
      </c>
      <c r="M334">
        <v>1200</v>
      </c>
      <c r="N334">
        <v>0</v>
      </c>
    </row>
    <row r="335" spans="1:14" x14ac:dyDescent="0.25">
      <c r="A335">
        <v>184.440462</v>
      </c>
      <c r="B335" s="1">
        <f>DATE(2010,11,1) + TIME(10,34,15)</f>
        <v>40483.440451388888</v>
      </c>
      <c r="C335">
        <v>80</v>
      </c>
      <c r="D335">
        <v>79.429039001000007</v>
      </c>
      <c r="E335">
        <v>50</v>
      </c>
      <c r="F335">
        <v>23.774051665999998</v>
      </c>
      <c r="G335">
        <v>1310.0876464999999</v>
      </c>
      <c r="H335">
        <v>1297.2774658000001</v>
      </c>
      <c r="I335">
        <v>1347.8496094</v>
      </c>
      <c r="J335">
        <v>1342.269043</v>
      </c>
      <c r="K335">
        <v>0</v>
      </c>
      <c r="L335">
        <v>1200</v>
      </c>
      <c r="M335">
        <v>1200</v>
      </c>
      <c r="N335">
        <v>0</v>
      </c>
    </row>
    <row r="336" spans="1:14" x14ac:dyDescent="0.25">
      <c r="A336">
        <v>184.53519299999999</v>
      </c>
      <c r="B336" s="1">
        <f>DATE(2010,11,1) + TIME(12,50,40)</f>
        <v>40483.535185185188</v>
      </c>
      <c r="C336">
        <v>80</v>
      </c>
      <c r="D336">
        <v>79.390518188000001</v>
      </c>
      <c r="E336">
        <v>50</v>
      </c>
      <c r="F336">
        <v>24.661447525</v>
      </c>
      <c r="G336">
        <v>1310.0191649999999</v>
      </c>
      <c r="H336">
        <v>1297.2070312000001</v>
      </c>
      <c r="I336">
        <v>1347.5614014</v>
      </c>
      <c r="J336">
        <v>1342.0871582</v>
      </c>
      <c r="K336">
        <v>0</v>
      </c>
      <c r="L336">
        <v>1200</v>
      </c>
      <c r="M336">
        <v>1200</v>
      </c>
      <c r="N336">
        <v>0</v>
      </c>
    </row>
    <row r="337" spans="1:14" x14ac:dyDescent="0.25">
      <c r="A337">
        <v>184.632971</v>
      </c>
      <c r="B337" s="1">
        <f>DATE(2010,11,1) + TIME(15,11,28)</f>
        <v>40483.632962962962</v>
      </c>
      <c r="C337">
        <v>80</v>
      </c>
      <c r="D337">
        <v>79.351051330999994</v>
      </c>
      <c r="E337">
        <v>50</v>
      </c>
      <c r="F337">
        <v>25.547449111999999</v>
      </c>
      <c r="G337">
        <v>1309.9824219</v>
      </c>
      <c r="H337">
        <v>1297.1682129000001</v>
      </c>
      <c r="I337">
        <v>1347.3142089999999</v>
      </c>
      <c r="J337">
        <v>1341.9415283000001</v>
      </c>
      <c r="K337">
        <v>0</v>
      </c>
      <c r="L337">
        <v>1200</v>
      </c>
      <c r="M337">
        <v>1200</v>
      </c>
      <c r="N337">
        <v>0</v>
      </c>
    </row>
    <row r="338" spans="1:14" x14ac:dyDescent="0.25">
      <c r="A338">
        <v>184.73408599999999</v>
      </c>
      <c r="B338" s="1">
        <f>DATE(2010,11,1) + TIME(17,37,5)</f>
        <v>40483.734085648146</v>
      </c>
      <c r="C338">
        <v>80</v>
      </c>
      <c r="D338">
        <v>79.310562133999994</v>
      </c>
      <c r="E338">
        <v>50</v>
      </c>
      <c r="F338">
        <v>26.432586669999999</v>
      </c>
      <c r="G338">
        <v>1309.9628906</v>
      </c>
      <c r="H338">
        <v>1297.1467285000001</v>
      </c>
      <c r="I338">
        <v>1347.0938721</v>
      </c>
      <c r="J338">
        <v>1341.8184814000001</v>
      </c>
      <c r="K338">
        <v>0</v>
      </c>
      <c r="L338">
        <v>1200</v>
      </c>
      <c r="M338">
        <v>1200</v>
      </c>
      <c r="N338">
        <v>0</v>
      </c>
    </row>
    <row r="339" spans="1:14" x14ac:dyDescent="0.25">
      <c r="A339">
        <v>184.83879899999999</v>
      </c>
      <c r="B339" s="1">
        <f>DATE(2010,11,1) + TIME(20,7,52)</f>
        <v>40483.838796296295</v>
      </c>
      <c r="C339">
        <v>80</v>
      </c>
      <c r="D339">
        <v>79.268951415999993</v>
      </c>
      <c r="E339">
        <v>50</v>
      </c>
      <c r="F339">
        <v>27.316738129000001</v>
      </c>
      <c r="G339">
        <v>1309.9527588000001</v>
      </c>
      <c r="H339">
        <v>1297.1342772999999</v>
      </c>
      <c r="I339">
        <v>1346.8923339999999</v>
      </c>
      <c r="J339">
        <v>1341.7098389</v>
      </c>
      <c r="K339">
        <v>0</v>
      </c>
      <c r="L339">
        <v>1200</v>
      </c>
      <c r="M339">
        <v>1200</v>
      </c>
      <c r="N339">
        <v>0</v>
      </c>
    </row>
    <row r="340" spans="1:14" x14ac:dyDescent="0.25">
      <c r="A340">
        <v>184.94739799999999</v>
      </c>
      <c r="B340" s="1">
        <f>DATE(2010,11,1) + TIME(22,44,15)</f>
        <v>40483.947395833333</v>
      </c>
      <c r="C340">
        <v>80</v>
      </c>
      <c r="D340">
        <v>79.226142882999994</v>
      </c>
      <c r="E340">
        <v>50</v>
      </c>
      <c r="F340">
        <v>28.199970244999999</v>
      </c>
      <c r="G340">
        <v>1309.9472656</v>
      </c>
      <c r="H340">
        <v>1297.1265868999999</v>
      </c>
      <c r="I340">
        <v>1346.7048339999999</v>
      </c>
      <c r="J340">
        <v>1341.6113281</v>
      </c>
      <c r="K340">
        <v>0</v>
      </c>
      <c r="L340">
        <v>1200</v>
      </c>
      <c r="M340">
        <v>1200</v>
      </c>
      <c r="N340">
        <v>0</v>
      </c>
    </row>
    <row r="341" spans="1:14" x14ac:dyDescent="0.25">
      <c r="A341">
        <v>185.060194</v>
      </c>
      <c r="B341" s="1">
        <f>DATE(2010,11,2) + TIME(1,26,40)</f>
        <v>40484.060185185182</v>
      </c>
      <c r="C341">
        <v>80</v>
      </c>
      <c r="D341">
        <v>79.182037354000002</v>
      </c>
      <c r="E341">
        <v>50</v>
      </c>
      <c r="F341">
        <v>29.082248688</v>
      </c>
      <c r="G341">
        <v>1309.9443358999999</v>
      </c>
      <c r="H341">
        <v>1297.1212158000001</v>
      </c>
      <c r="I341">
        <v>1346.5285644999999</v>
      </c>
      <c r="J341">
        <v>1341.5203856999999</v>
      </c>
      <c r="K341">
        <v>0</v>
      </c>
      <c r="L341">
        <v>1200</v>
      </c>
      <c r="M341">
        <v>1200</v>
      </c>
      <c r="N341">
        <v>0</v>
      </c>
    </row>
    <row r="342" spans="1:14" x14ac:dyDescent="0.25">
      <c r="A342">
        <v>185.177482</v>
      </c>
      <c r="B342" s="1">
        <f>DATE(2010,11,2) + TIME(4,15,34)</f>
        <v>40484.177476851852</v>
      </c>
      <c r="C342">
        <v>80</v>
      </c>
      <c r="D342">
        <v>79.136566161999994</v>
      </c>
      <c r="E342">
        <v>50</v>
      </c>
      <c r="F342">
        <v>29.963115691999999</v>
      </c>
      <c r="G342">
        <v>1309.9423827999999</v>
      </c>
      <c r="H342">
        <v>1297.1168213000001</v>
      </c>
      <c r="I342">
        <v>1346.3621826000001</v>
      </c>
      <c r="J342">
        <v>1341.4355469</v>
      </c>
      <c r="K342">
        <v>0</v>
      </c>
      <c r="L342">
        <v>1200</v>
      </c>
      <c r="M342">
        <v>1200</v>
      </c>
      <c r="N342">
        <v>0</v>
      </c>
    </row>
    <row r="343" spans="1:14" x14ac:dyDescent="0.25">
      <c r="A343">
        <v>185.29972699999999</v>
      </c>
      <c r="B343" s="1">
        <f>DATE(2010,11,2) + TIME(7,11,36)</f>
        <v>40484.299722222226</v>
      </c>
      <c r="C343">
        <v>80</v>
      </c>
      <c r="D343">
        <v>79.089569092000005</v>
      </c>
      <c r="E343">
        <v>50</v>
      </c>
      <c r="F343">
        <v>30.843212128000001</v>
      </c>
      <c r="G343">
        <v>1309.940918</v>
      </c>
      <c r="H343">
        <v>1297.1126709</v>
      </c>
      <c r="I343">
        <v>1346.2043457</v>
      </c>
      <c r="J343">
        <v>1341.3558350000001</v>
      </c>
      <c r="K343">
        <v>0</v>
      </c>
      <c r="L343">
        <v>1200</v>
      </c>
      <c r="M343">
        <v>1200</v>
      </c>
      <c r="N343">
        <v>0</v>
      </c>
    </row>
    <row r="344" spans="1:14" x14ac:dyDescent="0.25">
      <c r="A344">
        <v>185.42735200000001</v>
      </c>
      <c r="B344" s="1">
        <f>DATE(2010,11,2) + TIME(10,15,23)</f>
        <v>40484.427349537036</v>
      </c>
      <c r="C344">
        <v>80</v>
      </c>
      <c r="D344">
        <v>79.040939331000004</v>
      </c>
      <c r="E344">
        <v>50</v>
      </c>
      <c r="F344">
        <v>31.722072601000001</v>
      </c>
      <c r="G344">
        <v>1309.9393310999999</v>
      </c>
      <c r="H344">
        <v>1297.1083983999999</v>
      </c>
      <c r="I344">
        <v>1346.0544434000001</v>
      </c>
      <c r="J344">
        <v>1341.2807617000001</v>
      </c>
      <c r="K344">
        <v>0</v>
      </c>
      <c r="L344">
        <v>1200</v>
      </c>
      <c r="M344">
        <v>1200</v>
      </c>
      <c r="N344">
        <v>0</v>
      </c>
    </row>
    <row r="345" spans="1:14" x14ac:dyDescent="0.25">
      <c r="A345">
        <v>185.56086400000001</v>
      </c>
      <c r="B345" s="1">
        <f>DATE(2010,11,2) + TIME(13,27,38)</f>
        <v>40484.560856481483</v>
      </c>
      <c r="C345">
        <v>80</v>
      </c>
      <c r="D345">
        <v>78.990531920999999</v>
      </c>
      <c r="E345">
        <v>50</v>
      </c>
      <c r="F345">
        <v>32.599506378000001</v>
      </c>
      <c r="G345">
        <v>1309.9377440999999</v>
      </c>
      <c r="H345">
        <v>1297.1038818</v>
      </c>
      <c r="I345">
        <v>1345.9118652</v>
      </c>
      <c r="J345">
        <v>1341.2098389</v>
      </c>
      <c r="K345">
        <v>0</v>
      </c>
      <c r="L345">
        <v>1200</v>
      </c>
      <c r="M345">
        <v>1200</v>
      </c>
      <c r="N345">
        <v>0</v>
      </c>
    </row>
    <row r="346" spans="1:14" x14ac:dyDescent="0.25">
      <c r="A346">
        <v>185.70083600000001</v>
      </c>
      <c r="B346" s="1">
        <f>DATE(2010,11,2) + TIME(16,49,12)</f>
        <v>40484.700833333336</v>
      </c>
      <c r="C346">
        <v>80</v>
      </c>
      <c r="D346">
        <v>78.938171386999997</v>
      </c>
      <c r="E346">
        <v>50</v>
      </c>
      <c r="F346">
        <v>33.475261688000003</v>
      </c>
      <c r="G346">
        <v>1309.9359131000001</v>
      </c>
      <c r="H346">
        <v>1297.0991211</v>
      </c>
      <c r="I346">
        <v>1345.7762451000001</v>
      </c>
      <c r="J346">
        <v>1341.1428223</v>
      </c>
      <c r="K346">
        <v>0</v>
      </c>
      <c r="L346">
        <v>1200</v>
      </c>
      <c r="M346">
        <v>1200</v>
      </c>
      <c r="N346">
        <v>0</v>
      </c>
    </row>
    <row r="347" spans="1:14" x14ac:dyDescent="0.25">
      <c r="A347">
        <v>185.84791100000001</v>
      </c>
      <c r="B347" s="1">
        <f>DATE(2010,11,2) + TIME(20,20,59)</f>
        <v>40484.847905092596</v>
      </c>
      <c r="C347">
        <v>80</v>
      </c>
      <c r="D347">
        <v>78.883682250999996</v>
      </c>
      <c r="E347">
        <v>50</v>
      </c>
      <c r="F347">
        <v>34.348918914999999</v>
      </c>
      <c r="G347">
        <v>1309.9337158000001</v>
      </c>
      <c r="H347">
        <v>1297.09375</v>
      </c>
      <c r="I347">
        <v>1345.6470947</v>
      </c>
      <c r="J347">
        <v>1341.0794678</v>
      </c>
      <c r="K347">
        <v>0</v>
      </c>
      <c r="L347">
        <v>1200</v>
      </c>
      <c r="M347">
        <v>1200</v>
      </c>
      <c r="N347">
        <v>0</v>
      </c>
    </row>
    <row r="348" spans="1:14" x14ac:dyDescent="0.25">
      <c r="A348">
        <v>186.00288</v>
      </c>
      <c r="B348" s="1">
        <f>DATE(2010,11,3) + TIME(0,4,8)</f>
        <v>40485.002870370372</v>
      </c>
      <c r="C348">
        <v>80</v>
      </c>
      <c r="D348">
        <v>78.826850891000007</v>
      </c>
      <c r="E348">
        <v>50</v>
      </c>
      <c r="F348">
        <v>35.220264434999997</v>
      </c>
      <c r="G348">
        <v>1309.9311522999999</v>
      </c>
      <c r="H348">
        <v>1297.0880127</v>
      </c>
      <c r="I348">
        <v>1345.5241699000001</v>
      </c>
      <c r="J348">
        <v>1341.0192870999999</v>
      </c>
      <c r="K348">
        <v>0</v>
      </c>
      <c r="L348">
        <v>1200</v>
      </c>
      <c r="M348">
        <v>1200</v>
      </c>
      <c r="N348">
        <v>0</v>
      </c>
    </row>
    <row r="349" spans="1:14" x14ac:dyDescent="0.25">
      <c r="A349">
        <v>186.16663600000001</v>
      </c>
      <c r="B349" s="1">
        <f>DATE(2010,11,3) + TIME(3,59,57)</f>
        <v>40485.166631944441</v>
      </c>
      <c r="C349">
        <v>80</v>
      </c>
      <c r="D349">
        <v>78.767417907999999</v>
      </c>
      <c r="E349">
        <v>50</v>
      </c>
      <c r="F349">
        <v>36.088840484999999</v>
      </c>
      <c r="G349">
        <v>1309.9282227000001</v>
      </c>
      <c r="H349">
        <v>1297.0816649999999</v>
      </c>
      <c r="I349">
        <v>1345.4069824000001</v>
      </c>
      <c r="J349">
        <v>1340.9622803</v>
      </c>
      <c r="K349">
        <v>0</v>
      </c>
      <c r="L349">
        <v>1200</v>
      </c>
      <c r="M349">
        <v>1200</v>
      </c>
      <c r="N349">
        <v>0</v>
      </c>
    </row>
    <row r="350" spans="1:14" x14ac:dyDescent="0.25">
      <c r="A350">
        <v>186.34022400000001</v>
      </c>
      <c r="B350" s="1">
        <f>DATE(2010,11,3) + TIME(8,9,55)</f>
        <v>40485.340219907404</v>
      </c>
      <c r="C350">
        <v>80</v>
      </c>
      <c r="D350">
        <v>78.705108643000003</v>
      </c>
      <c r="E350">
        <v>50</v>
      </c>
      <c r="F350">
        <v>36.954071044999999</v>
      </c>
      <c r="G350">
        <v>1309.9250488</v>
      </c>
      <c r="H350">
        <v>1297.0748291</v>
      </c>
      <c r="I350">
        <v>1345.2951660000001</v>
      </c>
      <c r="J350">
        <v>1340.9082031</v>
      </c>
      <c r="K350">
        <v>0</v>
      </c>
      <c r="L350">
        <v>1200</v>
      </c>
      <c r="M350">
        <v>1200</v>
      </c>
      <c r="N350">
        <v>0</v>
      </c>
    </row>
    <row r="351" spans="1:14" x14ac:dyDescent="0.25">
      <c r="A351">
        <v>186.52487600000001</v>
      </c>
      <c r="B351" s="1">
        <f>DATE(2010,11,3) + TIME(12,35,49)</f>
        <v>40485.524872685186</v>
      </c>
      <c r="C351">
        <v>80</v>
      </c>
      <c r="D351">
        <v>78.639572143999999</v>
      </c>
      <c r="E351">
        <v>50</v>
      </c>
      <c r="F351">
        <v>37.815261841000002</v>
      </c>
      <c r="G351">
        <v>1309.9213867000001</v>
      </c>
      <c r="H351">
        <v>1297.0673827999999</v>
      </c>
      <c r="I351">
        <v>1345.1884766000001</v>
      </c>
      <c r="J351">
        <v>1340.8565673999999</v>
      </c>
      <c r="K351">
        <v>0</v>
      </c>
      <c r="L351">
        <v>1200</v>
      </c>
      <c r="M351">
        <v>1200</v>
      </c>
      <c r="N351">
        <v>0</v>
      </c>
    </row>
    <row r="352" spans="1:14" x14ac:dyDescent="0.25">
      <c r="A352">
        <v>186.72206199999999</v>
      </c>
      <c r="B352" s="1">
        <f>DATE(2010,11,3) + TIME(17,19,46)</f>
        <v>40485.722060185188</v>
      </c>
      <c r="C352">
        <v>80</v>
      </c>
      <c r="D352">
        <v>78.570434570000003</v>
      </c>
      <c r="E352">
        <v>50</v>
      </c>
      <c r="F352">
        <v>38.671569824000002</v>
      </c>
      <c r="G352">
        <v>1309.9172363</v>
      </c>
      <c r="H352">
        <v>1297.0593262</v>
      </c>
      <c r="I352">
        <v>1345.0865478999999</v>
      </c>
      <c r="J352">
        <v>1340.807251</v>
      </c>
      <c r="K352">
        <v>0</v>
      </c>
      <c r="L352">
        <v>1200</v>
      </c>
      <c r="M352">
        <v>1200</v>
      </c>
      <c r="N352">
        <v>0</v>
      </c>
    </row>
    <row r="353" spans="1:14" x14ac:dyDescent="0.25">
      <c r="A353">
        <v>186.93355</v>
      </c>
      <c r="B353" s="1">
        <f>DATE(2010,11,3) + TIME(22,24,18)</f>
        <v>40485.933541666665</v>
      </c>
      <c r="C353">
        <v>80</v>
      </c>
      <c r="D353">
        <v>78.497207642000006</v>
      </c>
      <c r="E353">
        <v>50</v>
      </c>
      <c r="F353">
        <v>39.521965027</v>
      </c>
      <c r="G353">
        <v>1309.9127197</v>
      </c>
      <c r="H353">
        <v>1297.0505370999999</v>
      </c>
      <c r="I353">
        <v>1344.9890137</v>
      </c>
      <c r="J353">
        <v>1340.7600098</v>
      </c>
      <c r="K353">
        <v>0</v>
      </c>
      <c r="L353">
        <v>1200</v>
      </c>
      <c r="M353">
        <v>1200</v>
      </c>
      <c r="N353">
        <v>0</v>
      </c>
    </row>
    <row r="354" spans="1:14" x14ac:dyDescent="0.25">
      <c r="A354">
        <v>187.161494</v>
      </c>
      <c r="B354" s="1">
        <f>DATE(2010,11,4) + TIME(3,52,33)</f>
        <v>40486.161493055559</v>
      </c>
      <c r="C354">
        <v>80</v>
      </c>
      <c r="D354">
        <v>78.419342040999993</v>
      </c>
      <c r="E354">
        <v>50</v>
      </c>
      <c r="F354">
        <v>40.365310669000003</v>
      </c>
      <c r="G354">
        <v>1309.9075928</v>
      </c>
      <c r="H354">
        <v>1297.0410156</v>
      </c>
      <c r="I354">
        <v>1344.8956298999999</v>
      </c>
      <c r="J354">
        <v>1340.7144774999999</v>
      </c>
      <c r="K354">
        <v>0</v>
      </c>
      <c r="L354">
        <v>1200</v>
      </c>
      <c r="M354">
        <v>1200</v>
      </c>
      <c r="N354">
        <v>0</v>
      </c>
    </row>
    <row r="355" spans="1:14" x14ac:dyDescent="0.25">
      <c r="A355">
        <v>187.40854899999999</v>
      </c>
      <c r="B355" s="1">
        <f>DATE(2010,11,4) + TIME(9,48,18)</f>
        <v>40486.408541666664</v>
      </c>
      <c r="C355">
        <v>80</v>
      </c>
      <c r="D355">
        <v>78.336158752000003</v>
      </c>
      <c r="E355">
        <v>50</v>
      </c>
      <c r="F355">
        <v>41.20016098</v>
      </c>
      <c r="G355">
        <v>1309.9019774999999</v>
      </c>
      <c r="H355">
        <v>1297.0306396000001</v>
      </c>
      <c r="I355">
        <v>1344.8057861</v>
      </c>
      <c r="J355">
        <v>1340.6702881000001</v>
      </c>
      <c r="K355">
        <v>0</v>
      </c>
      <c r="L355">
        <v>1200</v>
      </c>
      <c r="M355">
        <v>1200</v>
      </c>
      <c r="N355">
        <v>0</v>
      </c>
    </row>
    <row r="356" spans="1:14" x14ac:dyDescent="0.25">
      <c r="A356">
        <v>187.678012</v>
      </c>
      <c r="B356" s="1">
        <f>DATE(2010,11,4) + TIME(16,16,20)</f>
        <v>40486.67800925926</v>
      </c>
      <c r="C356">
        <v>80</v>
      </c>
      <c r="D356">
        <v>78.246818542</v>
      </c>
      <c r="E356">
        <v>50</v>
      </c>
      <c r="F356">
        <v>42.024547577</v>
      </c>
      <c r="G356">
        <v>1309.8956298999999</v>
      </c>
      <c r="H356">
        <v>1297.0192870999999</v>
      </c>
      <c r="I356">
        <v>1344.7192382999999</v>
      </c>
      <c r="J356">
        <v>1340.6270752</v>
      </c>
      <c r="K356">
        <v>0</v>
      </c>
      <c r="L356">
        <v>1200</v>
      </c>
      <c r="M356">
        <v>1200</v>
      </c>
      <c r="N356">
        <v>0</v>
      </c>
    </row>
    <row r="357" spans="1:14" x14ac:dyDescent="0.25">
      <c r="A357">
        <v>187.97387800000001</v>
      </c>
      <c r="B357" s="1">
        <f>DATE(2010,11,4) + TIME(23,22,23)</f>
        <v>40486.973877314813</v>
      </c>
      <c r="C357">
        <v>80</v>
      </c>
      <c r="D357">
        <v>78.150352478000002</v>
      </c>
      <c r="E357">
        <v>50</v>
      </c>
      <c r="F357">
        <v>42.835769653</v>
      </c>
      <c r="G357">
        <v>1309.8885498</v>
      </c>
      <c r="H357">
        <v>1297.0067139</v>
      </c>
      <c r="I357">
        <v>1344.6357422000001</v>
      </c>
      <c r="J357">
        <v>1340.5845947</v>
      </c>
      <c r="K357">
        <v>0</v>
      </c>
      <c r="L357">
        <v>1200</v>
      </c>
      <c r="M357">
        <v>1200</v>
      </c>
      <c r="N357">
        <v>0</v>
      </c>
    </row>
    <row r="358" spans="1:14" x14ac:dyDescent="0.25">
      <c r="A358">
        <v>188.30140700000001</v>
      </c>
      <c r="B358" s="1">
        <f>DATE(2010,11,5) + TIME(7,14,1)</f>
        <v>40487.301400462966</v>
      </c>
      <c r="C358">
        <v>80</v>
      </c>
      <c r="D358">
        <v>78.045501709000007</v>
      </c>
      <c r="E358">
        <v>50</v>
      </c>
      <c r="F358">
        <v>43.630958557</v>
      </c>
      <c r="G358">
        <v>1309.8804932</v>
      </c>
      <c r="H358">
        <v>1296.9929199000001</v>
      </c>
      <c r="I358">
        <v>1344.5546875</v>
      </c>
      <c r="J358">
        <v>1340.5421143000001</v>
      </c>
      <c r="K358">
        <v>0</v>
      </c>
      <c r="L358">
        <v>1200</v>
      </c>
      <c r="M358">
        <v>1200</v>
      </c>
      <c r="N358">
        <v>0</v>
      </c>
    </row>
    <row r="359" spans="1:14" x14ac:dyDescent="0.25">
      <c r="A359">
        <v>188.66764699999999</v>
      </c>
      <c r="B359" s="1">
        <f>DATE(2010,11,5) + TIME(16,1,24)</f>
        <v>40487.667638888888</v>
      </c>
      <c r="C359">
        <v>80</v>
      </c>
      <c r="D359">
        <v>77.930587768999999</v>
      </c>
      <c r="E359">
        <v>50</v>
      </c>
      <c r="F359">
        <v>44.406929015999999</v>
      </c>
      <c r="G359">
        <v>1309.8713379000001</v>
      </c>
      <c r="H359">
        <v>1296.9775391000001</v>
      </c>
      <c r="I359">
        <v>1344.4754639</v>
      </c>
      <c r="J359">
        <v>1340.4992675999999</v>
      </c>
      <c r="K359">
        <v>0</v>
      </c>
      <c r="L359">
        <v>1200</v>
      </c>
      <c r="M359">
        <v>1200</v>
      </c>
      <c r="N359">
        <v>0</v>
      </c>
    </row>
    <row r="360" spans="1:14" x14ac:dyDescent="0.25">
      <c r="A360">
        <v>189.082055</v>
      </c>
      <c r="B360" s="1">
        <f>DATE(2010,11,6) + TIME(1,58,9)</f>
        <v>40488.082048611112</v>
      </c>
      <c r="C360">
        <v>80</v>
      </c>
      <c r="D360">
        <v>77.803482056000007</v>
      </c>
      <c r="E360">
        <v>50</v>
      </c>
      <c r="F360">
        <v>45.159648894999997</v>
      </c>
      <c r="G360">
        <v>1309.8609618999999</v>
      </c>
      <c r="H360">
        <v>1296.9603271000001</v>
      </c>
      <c r="I360">
        <v>1344.3974608999999</v>
      </c>
      <c r="J360">
        <v>1340.4553223</v>
      </c>
      <c r="K360">
        <v>0</v>
      </c>
      <c r="L360">
        <v>1200</v>
      </c>
      <c r="M360">
        <v>1200</v>
      </c>
      <c r="N360">
        <v>0</v>
      </c>
    </row>
    <row r="361" spans="1:14" x14ac:dyDescent="0.25">
      <c r="A361">
        <v>189.557255</v>
      </c>
      <c r="B361" s="1">
        <f>DATE(2010,11,6) + TIME(13,22,26)</f>
        <v>40488.557245370372</v>
      </c>
      <c r="C361">
        <v>80</v>
      </c>
      <c r="D361">
        <v>77.661399841000005</v>
      </c>
      <c r="E361">
        <v>50</v>
      </c>
      <c r="F361">
        <v>45.883525847999998</v>
      </c>
      <c r="G361">
        <v>1309.8488769999999</v>
      </c>
      <c r="H361">
        <v>1296.9406738</v>
      </c>
      <c r="I361">
        <v>1344.3201904</v>
      </c>
      <c r="J361">
        <v>1340.4095459</v>
      </c>
      <c r="K361">
        <v>0</v>
      </c>
      <c r="L361">
        <v>1200</v>
      </c>
      <c r="M361">
        <v>1200</v>
      </c>
      <c r="N361">
        <v>0</v>
      </c>
    </row>
    <row r="362" spans="1:14" x14ac:dyDescent="0.25">
      <c r="A362">
        <v>190.03295</v>
      </c>
      <c r="B362" s="1">
        <f>DATE(2010,11,7) + TIME(0,47,26)</f>
        <v>40489.032939814817</v>
      </c>
      <c r="C362">
        <v>80</v>
      </c>
      <c r="D362">
        <v>77.519866942999997</v>
      </c>
      <c r="E362">
        <v>50</v>
      </c>
      <c r="F362">
        <v>46.490810394</v>
      </c>
      <c r="G362">
        <v>1309.8334961</v>
      </c>
      <c r="H362">
        <v>1296.9183350000001</v>
      </c>
      <c r="I362">
        <v>1344.2543945</v>
      </c>
      <c r="J362">
        <v>1340.3670654</v>
      </c>
      <c r="K362">
        <v>0</v>
      </c>
      <c r="L362">
        <v>1200</v>
      </c>
      <c r="M362">
        <v>1200</v>
      </c>
      <c r="N362">
        <v>0</v>
      </c>
    </row>
    <row r="363" spans="1:14" x14ac:dyDescent="0.25">
      <c r="A363">
        <v>190.51529300000001</v>
      </c>
      <c r="B363" s="1">
        <f>DATE(2010,11,7) + TIME(12,22,1)</f>
        <v>40489.515289351853</v>
      </c>
      <c r="C363">
        <v>80</v>
      </c>
      <c r="D363">
        <v>77.377510071000003</v>
      </c>
      <c r="E363">
        <v>50</v>
      </c>
      <c r="F363">
        <v>47.005123138000002</v>
      </c>
      <c r="G363">
        <v>1309.817749</v>
      </c>
      <c r="H363">
        <v>1296.8957519999999</v>
      </c>
      <c r="I363">
        <v>1344.1938477000001</v>
      </c>
      <c r="J363">
        <v>1340.3258057</v>
      </c>
      <c r="K363">
        <v>0</v>
      </c>
      <c r="L363">
        <v>1200</v>
      </c>
      <c r="M363">
        <v>1200</v>
      </c>
      <c r="N363">
        <v>0</v>
      </c>
    </row>
    <row r="364" spans="1:14" x14ac:dyDescent="0.25">
      <c r="A364">
        <v>191.006744</v>
      </c>
      <c r="B364" s="1">
        <f>DATE(2010,11,8) + TIME(0,9,42)</f>
        <v>40490.006736111114</v>
      </c>
      <c r="C364">
        <v>80</v>
      </c>
      <c r="D364">
        <v>77.233840942</v>
      </c>
      <c r="E364">
        <v>50</v>
      </c>
      <c r="F364">
        <v>47.441093445</v>
      </c>
      <c r="G364">
        <v>1309.8015137</v>
      </c>
      <c r="H364">
        <v>1296.8724365</v>
      </c>
      <c r="I364">
        <v>1344.137207</v>
      </c>
      <c r="J364">
        <v>1340.2852783000001</v>
      </c>
      <c r="K364">
        <v>0</v>
      </c>
      <c r="L364">
        <v>1200</v>
      </c>
      <c r="M364">
        <v>1200</v>
      </c>
      <c r="N364">
        <v>0</v>
      </c>
    </row>
    <row r="365" spans="1:14" x14ac:dyDescent="0.25">
      <c r="A365">
        <v>191.509772</v>
      </c>
      <c r="B365" s="1">
        <f>DATE(2010,11,8) + TIME(12,14,4)</f>
        <v>40490.509768518517</v>
      </c>
      <c r="C365">
        <v>80</v>
      </c>
      <c r="D365">
        <v>77.088394164999997</v>
      </c>
      <c r="E365">
        <v>50</v>
      </c>
      <c r="F365">
        <v>47.810684203999998</v>
      </c>
      <c r="G365">
        <v>1309.7845459</v>
      </c>
      <c r="H365">
        <v>1296.8483887</v>
      </c>
      <c r="I365">
        <v>1344.0838623</v>
      </c>
      <c r="J365">
        <v>1340.2451172000001</v>
      </c>
      <c r="K365">
        <v>0</v>
      </c>
      <c r="L365">
        <v>1200</v>
      </c>
      <c r="M365">
        <v>1200</v>
      </c>
      <c r="N365">
        <v>0</v>
      </c>
    </row>
    <row r="366" spans="1:14" x14ac:dyDescent="0.25">
      <c r="A366">
        <v>192.026847</v>
      </c>
      <c r="B366" s="1">
        <f>DATE(2010,11,9) + TIME(0,38,39)</f>
        <v>40491.02684027778</v>
      </c>
      <c r="C366">
        <v>80</v>
      </c>
      <c r="D366">
        <v>76.940696716000005</v>
      </c>
      <c r="E366">
        <v>50</v>
      </c>
      <c r="F366">
        <v>48.123752594000003</v>
      </c>
      <c r="G366">
        <v>1309.7669678</v>
      </c>
      <c r="H366">
        <v>1296.8234863</v>
      </c>
      <c r="I366">
        <v>1344.0328368999999</v>
      </c>
      <c r="J366">
        <v>1340.2052002</v>
      </c>
      <c r="K366">
        <v>0</v>
      </c>
      <c r="L366">
        <v>1200</v>
      </c>
      <c r="M366">
        <v>1200</v>
      </c>
      <c r="N366">
        <v>0</v>
      </c>
    </row>
    <row r="367" spans="1:14" x14ac:dyDescent="0.25">
      <c r="A367">
        <v>192.56046799999999</v>
      </c>
      <c r="B367" s="1">
        <f>DATE(2010,11,9) + TIME(13,27,4)</f>
        <v>40491.56046296296</v>
      </c>
      <c r="C367">
        <v>80</v>
      </c>
      <c r="D367">
        <v>76.790260314999998</v>
      </c>
      <c r="E367">
        <v>50</v>
      </c>
      <c r="F367">
        <v>48.388511657999999</v>
      </c>
      <c r="G367">
        <v>1309.7484131000001</v>
      </c>
      <c r="H367">
        <v>1296.7977295000001</v>
      </c>
      <c r="I367">
        <v>1343.9836425999999</v>
      </c>
      <c r="J367">
        <v>1340.1652832</v>
      </c>
      <c r="K367">
        <v>0</v>
      </c>
      <c r="L367">
        <v>1200</v>
      </c>
      <c r="M367">
        <v>1200</v>
      </c>
      <c r="N367">
        <v>0</v>
      </c>
    </row>
    <row r="368" spans="1:14" x14ac:dyDescent="0.25">
      <c r="A368">
        <v>193.113394</v>
      </c>
      <c r="B368" s="1">
        <f>DATE(2010,11,10) + TIME(2,43,17)</f>
        <v>40492.113391203704</v>
      </c>
      <c r="C368">
        <v>80</v>
      </c>
      <c r="D368">
        <v>76.636596679999997</v>
      </c>
      <c r="E368">
        <v>50</v>
      </c>
      <c r="F368">
        <v>48.611938477000002</v>
      </c>
      <c r="G368">
        <v>1309.7290039</v>
      </c>
      <c r="H368">
        <v>1296.7707519999999</v>
      </c>
      <c r="I368">
        <v>1343.9359131000001</v>
      </c>
      <c r="J368">
        <v>1340.1252440999999</v>
      </c>
      <c r="K368">
        <v>0</v>
      </c>
      <c r="L368">
        <v>1200</v>
      </c>
      <c r="M368">
        <v>1200</v>
      </c>
      <c r="N368">
        <v>0</v>
      </c>
    </row>
    <row r="369" spans="1:14" x14ac:dyDescent="0.25">
      <c r="A369">
        <v>193.68849499999999</v>
      </c>
      <c r="B369" s="1">
        <f>DATE(2010,11,10) + TIME(16,31,26)</f>
        <v>40492.68849537037</v>
      </c>
      <c r="C369">
        <v>80</v>
      </c>
      <c r="D369">
        <v>76.479164123999993</v>
      </c>
      <c r="E369">
        <v>50</v>
      </c>
      <c r="F369">
        <v>48.799934387</v>
      </c>
      <c r="G369">
        <v>1309.708374</v>
      </c>
      <c r="H369">
        <v>1296.7424315999999</v>
      </c>
      <c r="I369">
        <v>1343.8891602000001</v>
      </c>
      <c r="J369">
        <v>1340.0850829999999</v>
      </c>
      <c r="K369">
        <v>0</v>
      </c>
      <c r="L369">
        <v>1200</v>
      </c>
      <c r="M369">
        <v>1200</v>
      </c>
      <c r="N369">
        <v>0</v>
      </c>
    </row>
    <row r="370" spans="1:14" x14ac:dyDescent="0.25">
      <c r="A370">
        <v>194.28826599999999</v>
      </c>
      <c r="B370" s="1">
        <f>DATE(2010,11,11) + TIME(6,55,6)</f>
        <v>40493.288263888891</v>
      </c>
      <c r="C370">
        <v>80</v>
      </c>
      <c r="D370">
        <v>76.317573546999995</v>
      </c>
      <c r="E370">
        <v>50</v>
      </c>
      <c r="F370">
        <v>48.957435607999997</v>
      </c>
      <c r="G370">
        <v>1309.6866454999999</v>
      </c>
      <c r="H370">
        <v>1296.7127685999999</v>
      </c>
      <c r="I370">
        <v>1343.8432617000001</v>
      </c>
      <c r="J370">
        <v>1340.0446777</v>
      </c>
      <c r="K370">
        <v>0</v>
      </c>
      <c r="L370">
        <v>1200</v>
      </c>
      <c r="M370">
        <v>1200</v>
      </c>
      <c r="N370">
        <v>0</v>
      </c>
    </row>
    <row r="371" spans="1:14" x14ac:dyDescent="0.25">
      <c r="A371">
        <v>194.91628499999999</v>
      </c>
      <c r="B371" s="1">
        <f>DATE(2010,11,11) + TIME(21,59,27)</f>
        <v>40493.916284722225</v>
      </c>
      <c r="C371">
        <v>80</v>
      </c>
      <c r="D371">
        <v>76.151199340999995</v>
      </c>
      <c r="E371">
        <v>50</v>
      </c>
      <c r="F371">
        <v>49.088924407999997</v>
      </c>
      <c r="G371">
        <v>1309.6636963000001</v>
      </c>
      <c r="H371">
        <v>1296.6813964999999</v>
      </c>
      <c r="I371">
        <v>1343.7979736</v>
      </c>
      <c r="J371">
        <v>1340.0039062000001</v>
      </c>
      <c r="K371">
        <v>0</v>
      </c>
      <c r="L371">
        <v>1200</v>
      </c>
      <c r="M371">
        <v>1200</v>
      </c>
      <c r="N371">
        <v>0</v>
      </c>
    </row>
    <row r="372" spans="1:14" x14ac:dyDescent="0.25">
      <c r="A372">
        <v>195.57660999999999</v>
      </c>
      <c r="B372" s="1">
        <f>DATE(2010,11,12) + TIME(13,50,19)</f>
        <v>40494.576608796298</v>
      </c>
      <c r="C372">
        <v>80</v>
      </c>
      <c r="D372">
        <v>75.979362488000007</v>
      </c>
      <c r="E372">
        <v>50</v>
      </c>
      <c r="F372">
        <v>49.19827652</v>
      </c>
      <c r="G372">
        <v>1309.6391602000001</v>
      </c>
      <c r="H372">
        <v>1296.6483154</v>
      </c>
      <c r="I372">
        <v>1343.7530518000001</v>
      </c>
      <c r="J372">
        <v>1339.9627685999999</v>
      </c>
      <c r="K372">
        <v>0</v>
      </c>
      <c r="L372">
        <v>1200</v>
      </c>
      <c r="M372">
        <v>1200</v>
      </c>
      <c r="N372">
        <v>0</v>
      </c>
    </row>
    <row r="373" spans="1:14" x14ac:dyDescent="0.25">
      <c r="A373">
        <v>196.27377000000001</v>
      </c>
      <c r="B373" s="1">
        <f>DATE(2010,11,13) + TIME(6,34,13)</f>
        <v>40495.273761574077</v>
      </c>
      <c r="C373">
        <v>80</v>
      </c>
      <c r="D373">
        <v>75.801330566000004</v>
      </c>
      <c r="E373">
        <v>50</v>
      </c>
      <c r="F373">
        <v>49.288829802999999</v>
      </c>
      <c r="G373">
        <v>1309.6129149999999</v>
      </c>
      <c r="H373">
        <v>1296.6130370999999</v>
      </c>
      <c r="I373">
        <v>1343.7081298999999</v>
      </c>
      <c r="J373">
        <v>1339.9212646000001</v>
      </c>
      <c r="K373">
        <v>0</v>
      </c>
      <c r="L373">
        <v>1200</v>
      </c>
      <c r="M373">
        <v>1200</v>
      </c>
      <c r="N373">
        <v>0</v>
      </c>
    </row>
    <row r="374" spans="1:14" x14ac:dyDescent="0.25">
      <c r="A374">
        <v>197.01153199999999</v>
      </c>
      <c r="B374" s="1">
        <f>DATE(2010,11,14) + TIME(0,16,36)</f>
        <v>40496.01152777778</v>
      </c>
      <c r="C374">
        <v>80</v>
      </c>
      <c r="D374">
        <v>75.61656189</v>
      </c>
      <c r="E374">
        <v>50</v>
      </c>
      <c r="F374">
        <v>49.363376617</v>
      </c>
      <c r="G374">
        <v>1309.5848389</v>
      </c>
      <c r="H374">
        <v>1296.5754394999999</v>
      </c>
      <c r="I374">
        <v>1343.6633300999999</v>
      </c>
      <c r="J374">
        <v>1339.8792725000001</v>
      </c>
      <c r="K374">
        <v>0</v>
      </c>
      <c r="L374">
        <v>1200</v>
      </c>
      <c r="M374">
        <v>1200</v>
      </c>
      <c r="N374">
        <v>0</v>
      </c>
    </row>
    <row r="375" spans="1:14" x14ac:dyDescent="0.25">
      <c r="A375">
        <v>197.79611600000001</v>
      </c>
      <c r="B375" s="1">
        <f>DATE(2010,11,14) + TIME(19,6,24)</f>
        <v>40496.796111111114</v>
      </c>
      <c r="C375">
        <v>80</v>
      </c>
      <c r="D375">
        <v>75.424095154</v>
      </c>
      <c r="E375">
        <v>50</v>
      </c>
      <c r="F375">
        <v>49.424545287999997</v>
      </c>
      <c r="G375">
        <v>1309.5546875</v>
      </c>
      <c r="H375">
        <v>1296.5352783000001</v>
      </c>
      <c r="I375">
        <v>1343.6182861</v>
      </c>
      <c r="J375">
        <v>1339.8366699000001</v>
      </c>
      <c r="K375">
        <v>0</v>
      </c>
      <c r="L375">
        <v>1200</v>
      </c>
      <c r="M375">
        <v>1200</v>
      </c>
      <c r="N375">
        <v>0</v>
      </c>
    </row>
    <row r="376" spans="1:14" x14ac:dyDescent="0.25">
      <c r="A376">
        <v>198.634894</v>
      </c>
      <c r="B376" s="1">
        <f>DATE(2010,11,15) + TIME(15,14,14)</f>
        <v>40497.634884259256</v>
      </c>
      <c r="C376">
        <v>80</v>
      </c>
      <c r="D376">
        <v>75.222846985000004</v>
      </c>
      <c r="E376">
        <v>50</v>
      </c>
      <c r="F376">
        <v>49.474594115999999</v>
      </c>
      <c r="G376">
        <v>1309.5222168</v>
      </c>
      <c r="H376">
        <v>1296.4919434000001</v>
      </c>
      <c r="I376">
        <v>1343.5729980000001</v>
      </c>
      <c r="J376">
        <v>1339.793457</v>
      </c>
      <c r="K376">
        <v>0</v>
      </c>
      <c r="L376">
        <v>1200</v>
      </c>
      <c r="M376">
        <v>1200</v>
      </c>
      <c r="N376">
        <v>0</v>
      </c>
    </row>
    <row r="377" spans="1:14" x14ac:dyDescent="0.25">
      <c r="A377">
        <v>199.52910499999999</v>
      </c>
      <c r="B377" s="1">
        <f>DATE(2010,11,16) + TIME(12,41,54)</f>
        <v>40498.529097222221</v>
      </c>
      <c r="C377">
        <v>80</v>
      </c>
      <c r="D377">
        <v>75.012878418</v>
      </c>
      <c r="E377">
        <v>50</v>
      </c>
      <c r="F377">
        <v>49.515201568999998</v>
      </c>
      <c r="G377">
        <v>1309.4868164</v>
      </c>
      <c r="H377">
        <v>1296.4451904</v>
      </c>
      <c r="I377">
        <v>1343.5272216999999</v>
      </c>
      <c r="J377">
        <v>1339.7495117000001</v>
      </c>
      <c r="K377">
        <v>0</v>
      </c>
      <c r="L377">
        <v>1200</v>
      </c>
      <c r="M377">
        <v>1200</v>
      </c>
      <c r="N377">
        <v>0</v>
      </c>
    </row>
    <row r="378" spans="1:14" x14ac:dyDescent="0.25">
      <c r="A378">
        <v>200.48416700000001</v>
      </c>
      <c r="B378" s="1">
        <f>DATE(2010,11,17) + TIME(11,37,12)</f>
        <v>40499.484166666669</v>
      </c>
      <c r="C378">
        <v>80</v>
      </c>
      <c r="D378">
        <v>74.793380737000007</v>
      </c>
      <c r="E378">
        <v>50</v>
      </c>
      <c r="F378">
        <v>49.548095703000001</v>
      </c>
      <c r="G378">
        <v>1309.4484863</v>
      </c>
      <c r="H378">
        <v>1296.3946533000001</v>
      </c>
      <c r="I378">
        <v>1343.4810791</v>
      </c>
      <c r="J378">
        <v>1339.7050781</v>
      </c>
      <c r="K378">
        <v>0</v>
      </c>
      <c r="L378">
        <v>1200</v>
      </c>
      <c r="M378">
        <v>1200</v>
      </c>
      <c r="N378">
        <v>0</v>
      </c>
    </row>
    <row r="379" spans="1:14" x14ac:dyDescent="0.25">
      <c r="A379">
        <v>201.48061300000001</v>
      </c>
      <c r="B379" s="1">
        <f>DATE(2010,11,18) + TIME(11,32,4)</f>
        <v>40500.48060185185</v>
      </c>
      <c r="C379">
        <v>80</v>
      </c>
      <c r="D379">
        <v>74.568016052000004</v>
      </c>
      <c r="E379">
        <v>50</v>
      </c>
      <c r="F379">
        <v>49.574241637999997</v>
      </c>
      <c r="G379">
        <v>1309.4066161999999</v>
      </c>
      <c r="H379">
        <v>1296.3400879000001</v>
      </c>
      <c r="I379">
        <v>1343.4345702999999</v>
      </c>
      <c r="J379">
        <v>1339.6600341999999</v>
      </c>
      <c r="K379">
        <v>0</v>
      </c>
      <c r="L379">
        <v>1200</v>
      </c>
      <c r="M379">
        <v>1200</v>
      </c>
      <c r="N379">
        <v>0</v>
      </c>
    </row>
    <row r="380" spans="1:14" x14ac:dyDescent="0.25">
      <c r="A380">
        <v>202.480548</v>
      </c>
      <c r="B380" s="1">
        <f>DATE(2010,11,19) + TIME(11,31,59)</f>
        <v>40501.480543981481</v>
      </c>
      <c r="C380">
        <v>80</v>
      </c>
      <c r="D380">
        <v>74.343452454000001</v>
      </c>
      <c r="E380">
        <v>50</v>
      </c>
      <c r="F380">
        <v>49.594547272</v>
      </c>
      <c r="G380">
        <v>1309.3619385</v>
      </c>
      <c r="H380">
        <v>1296.2824707</v>
      </c>
      <c r="I380">
        <v>1343.3887939000001</v>
      </c>
      <c r="J380">
        <v>1339.6156006000001</v>
      </c>
      <c r="K380">
        <v>0</v>
      </c>
      <c r="L380">
        <v>1200</v>
      </c>
      <c r="M380">
        <v>1200</v>
      </c>
      <c r="N380">
        <v>0</v>
      </c>
    </row>
    <row r="381" spans="1:14" x14ac:dyDescent="0.25">
      <c r="A381">
        <v>203.490388</v>
      </c>
      <c r="B381" s="1">
        <f>DATE(2010,11,20) + TIME(11,46,9)</f>
        <v>40502.490381944444</v>
      </c>
      <c r="C381">
        <v>80</v>
      </c>
      <c r="D381">
        <v>74.119400024000001</v>
      </c>
      <c r="E381">
        <v>50</v>
      </c>
      <c r="F381">
        <v>49.610664368000002</v>
      </c>
      <c r="G381">
        <v>1309.3165283000001</v>
      </c>
      <c r="H381">
        <v>1296.2235106999999</v>
      </c>
      <c r="I381">
        <v>1343.3454589999999</v>
      </c>
      <c r="J381">
        <v>1339.5733643000001</v>
      </c>
      <c r="K381">
        <v>0</v>
      </c>
      <c r="L381">
        <v>1200</v>
      </c>
      <c r="M381">
        <v>1200</v>
      </c>
      <c r="N381">
        <v>0</v>
      </c>
    </row>
    <row r="382" spans="1:14" x14ac:dyDescent="0.25">
      <c r="A382">
        <v>204.51597000000001</v>
      </c>
      <c r="B382" s="1">
        <f>DATE(2010,11,21) + TIME(12,22,59)</f>
        <v>40503.515960648147</v>
      </c>
      <c r="C382">
        <v>80</v>
      </c>
      <c r="D382">
        <v>73.895378113000007</v>
      </c>
      <c r="E382">
        <v>50</v>
      </c>
      <c r="F382">
        <v>49.623729705999999</v>
      </c>
      <c r="G382">
        <v>1309.2698975000001</v>
      </c>
      <c r="H382">
        <v>1296.1629639</v>
      </c>
      <c r="I382">
        <v>1343.3040771000001</v>
      </c>
      <c r="J382">
        <v>1339.5330810999999</v>
      </c>
      <c r="K382">
        <v>0</v>
      </c>
      <c r="L382">
        <v>1200</v>
      </c>
      <c r="M382">
        <v>1200</v>
      </c>
      <c r="N382">
        <v>0</v>
      </c>
    </row>
    <row r="383" spans="1:14" x14ac:dyDescent="0.25">
      <c r="A383">
        <v>205.563176</v>
      </c>
      <c r="B383" s="1">
        <f>DATE(2010,11,22) + TIME(13,30,58)</f>
        <v>40504.563171296293</v>
      </c>
      <c r="C383">
        <v>80</v>
      </c>
      <c r="D383">
        <v>73.670768738000007</v>
      </c>
      <c r="E383">
        <v>50</v>
      </c>
      <c r="F383">
        <v>49.634544372999997</v>
      </c>
      <c r="G383">
        <v>1309.2218018000001</v>
      </c>
      <c r="H383">
        <v>1296.1002197</v>
      </c>
      <c r="I383">
        <v>1343.2642822</v>
      </c>
      <c r="J383">
        <v>1339.4942627</v>
      </c>
      <c r="K383">
        <v>0</v>
      </c>
      <c r="L383">
        <v>1200</v>
      </c>
      <c r="M383">
        <v>1200</v>
      </c>
      <c r="N383">
        <v>0</v>
      </c>
    </row>
    <row r="384" spans="1:14" x14ac:dyDescent="0.25">
      <c r="A384">
        <v>206.63642300000001</v>
      </c>
      <c r="B384" s="1">
        <f>DATE(2010,11,23) + TIME(15,16,26)</f>
        <v>40505.636412037034</v>
      </c>
      <c r="C384">
        <v>80</v>
      </c>
      <c r="D384">
        <v>73.445075989000003</v>
      </c>
      <c r="E384">
        <v>50</v>
      </c>
      <c r="F384">
        <v>49.643669127999999</v>
      </c>
      <c r="G384">
        <v>1309.171875</v>
      </c>
      <c r="H384">
        <v>1296.0349120999999</v>
      </c>
      <c r="I384">
        <v>1343.2257079999999</v>
      </c>
      <c r="J384">
        <v>1339.4567870999999</v>
      </c>
      <c r="K384">
        <v>0</v>
      </c>
      <c r="L384">
        <v>1200</v>
      </c>
      <c r="M384">
        <v>1200</v>
      </c>
      <c r="N384">
        <v>0</v>
      </c>
    </row>
    <row r="385" spans="1:14" x14ac:dyDescent="0.25">
      <c r="A385">
        <v>207.73985400000001</v>
      </c>
      <c r="B385" s="1">
        <f>DATE(2010,11,24) + TIME(17,45,23)</f>
        <v>40506.739849537036</v>
      </c>
      <c r="C385">
        <v>80</v>
      </c>
      <c r="D385">
        <v>73.217811584000003</v>
      </c>
      <c r="E385">
        <v>50</v>
      </c>
      <c r="F385">
        <v>49.651500702</v>
      </c>
      <c r="G385">
        <v>1309.1199951000001</v>
      </c>
      <c r="H385">
        <v>1295.9669189000001</v>
      </c>
      <c r="I385">
        <v>1343.1883545000001</v>
      </c>
      <c r="J385">
        <v>1339.4201660000001</v>
      </c>
      <c r="K385">
        <v>0</v>
      </c>
      <c r="L385">
        <v>1200</v>
      </c>
      <c r="M385">
        <v>1200</v>
      </c>
      <c r="N385">
        <v>0</v>
      </c>
    </row>
    <row r="386" spans="1:14" x14ac:dyDescent="0.25">
      <c r="A386">
        <v>208.879538</v>
      </c>
      <c r="B386" s="1">
        <f>DATE(2010,11,25) + TIME(21,6,32)</f>
        <v>40507.879537037035</v>
      </c>
      <c r="C386">
        <v>80</v>
      </c>
      <c r="D386">
        <v>72.988204956000004</v>
      </c>
      <c r="E386">
        <v>50</v>
      </c>
      <c r="F386">
        <v>49.658348083</v>
      </c>
      <c r="G386">
        <v>1309.0655518000001</v>
      </c>
      <c r="H386">
        <v>1295.8956298999999</v>
      </c>
      <c r="I386">
        <v>1343.1518555</v>
      </c>
      <c r="J386">
        <v>1339.3846435999999</v>
      </c>
      <c r="K386">
        <v>0</v>
      </c>
      <c r="L386">
        <v>1200</v>
      </c>
      <c r="M386">
        <v>1200</v>
      </c>
      <c r="N386">
        <v>0</v>
      </c>
    </row>
    <row r="387" spans="1:14" x14ac:dyDescent="0.25">
      <c r="A387">
        <v>210.062229</v>
      </c>
      <c r="B387" s="1">
        <f>DATE(2010,11,27) + TIME(1,29,36)</f>
        <v>40509.062222222223</v>
      </c>
      <c r="C387">
        <v>80</v>
      </c>
      <c r="D387">
        <v>72.755401610999996</v>
      </c>
      <c r="E387">
        <v>50</v>
      </c>
      <c r="F387">
        <v>49.664432525999999</v>
      </c>
      <c r="G387">
        <v>1309.0084228999999</v>
      </c>
      <c r="H387">
        <v>1295.8205565999999</v>
      </c>
      <c r="I387">
        <v>1343.1160889</v>
      </c>
      <c r="J387">
        <v>1339.3497314000001</v>
      </c>
      <c r="K387">
        <v>0</v>
      </c>
      <c r="L387">
        <v>1200</v>
      </c>
      <c r="M387">
        <v>1200</v>
      </c>
      <c r="N387">
        <v>0</v>
      </c>
    </row>
    <row r="388" spans="1:14" x14ac:dyDescent="0.25">
      <c r="A388">
        <v>211.29554200000001</v>
      </c>
      <c r="B388" s="1">
        <f>DATE(2010,11,28) + TIME(7,5,34)</f>
        <v>40510.295532407406</v>
      </c>
      <c r="C388">
        <v>80</v>
      </c>
      <c r="D388">
        <v>72.518417357999994</v>
      </c>
      <c r="E388">
        <v>50</v>
      </c>
      <c r="F388">
        <v>49.669921875</v>
      </c>
      <c r="G388">
        <v>1308.9481201000001</v>
      </c>
      <c r="H388">
        <v>1295.7410889</v>
      </c>
      <c r="I388">
        <v>1343.0809326000001</v>
      </c>
      <c r="J388">
        <v>1339.3154297000001</v>
      </c>
      <c r="K388">
        <v>0</v>
      </c>
      <c r="L388">
        <v>1200</v>
      </c>
      <c r="M388">
        <v>1200</v>
      </c>
      <c r="N388">
        <v>0</v>
      </c>
    </row>
    <row r="389" spans="1:14" x14ac:dyDescent="0.25">
      <c r="A389">
        <v>212.58826400000001</v>
      </c>
      <c r="B389" s="1">
        <f>DATE(2010,11,29) + TIME(14,7,5)</f>
        <v>40511.588252314818</v>
      </c>
      <c r="C389">
        <v>80</v>
      </c>
      <c r="D389">
        <v>72.276191710999996</v>
      </c>
      <c r="E389">
        <v>50</v>
      </c>
      <c r="F389">
        <v>49.674942016999999</v>
      </c>
      <c r="G389">
        <v>1308.8840332</v>
      </c>
      <c r="H389">
        <v>1295.6564940999999</v>
      </c>
      <c r="I389">
        <v>1343.0462646000001</v>
      </c>
      <c r="J389">
        <v>1339.2814940999999</v>
      </c>
      <c r="K389">
        <v>0</v>
      </c>
      <c r="L389">
        <v>1200</v>
      </c>
      <c r="M389">
        <v>1200</v>
      </c>
      <c r="N389">
        <v>0</v>
      </c>
    </row>
    <row r="390" spans="1:14" x14ac:dyDescent="0.25">
      <c r="A390">
        <v>214</v>
      </c>
      <c r="B390" s="1">
        <f>DATE(2010,12,1) + TIME(0,0,0)</f>
        <v>40513</v>
      </c>
      <c r="C390">
        <v>80</v>
      </c>
      <c r="D390">
        <v>72.021469116000006</v>
      </c>
      <c r="E390">
        <v>50</v>
      </c>
      <c r="F390">
        <v>49.679740905999999</v>
      </c>
      <c r="G390">
        <v>1308.8156738</v>
      </c>
      <c r="H390">
        <v>1295.5654297000001</v>
      </c>
      <c r="I390">
        <v>1343.0118408000001</v>
      </c>
      <c r="J390">
        <v>1339.2478027</v>
      </c>
      <c r="K390">
        <v>0</v>
      </c>
      <c r="L390">
        <v>1200</v>
      </c>
      <c r="M390">
        <v>1200</v>
      </c>
      <c r="N390">
        <v>0</v>
      </c>
    </row>
    <row r="391" spans="1:14" x14ac:dyDescent="0.25">
      <c r="A391">
        <v>215.36247</v>
      </c>
      <c r="B391" s="1">
        <f>DATE(2010,12,2) + TIME(8,41,57)</f>
        <v>40514.36246527778</v>
      </c>
      <c r="C391">
        <v>80</v>
      </c>
      <c r="D391">
        <v>71.773803710999999</v>
      </c>
      <c r="E391">
        <v>50</v>
      </c>
      <c r="F391">
        <v>49.683849334999998</v>
      </c>
      <c r="G391">
        <v>1308.7386475000001</v>
      </c>
      <c r="H391">
        <v>1295.4654541</v>
      </c>
      <c r="I391">
        <v>1342.9760742000001</v>
      </c>
      <c r="J391">
        <v>1339.2127685999999</v>
      </c>
      <c r="K391">
        <v>0</v>
      </c>
      <c r="L391">
        <v>1200</v>
      </c>
      <c r="M391">
        <v>1200</v>
      </c>
      <c r="N391">
        <v>0</v>
      </c>
    </row>
    <row r="392" spans="1:14" x14ac:dyDescent="0.25">
      <c r="A392">
        <v>216.907993</v>
      </c>
      <c r="B392" s="1">
        <f>DATE(2010,12,3) + TIME(21,47,30)</f>
        <v>40515.907986111109</v>
      </c>
      <c r="C392">
        <v>80</v>
      </c>
      <c r="D392">
        <v>71.508110045999999</v>
      </c>
      <c r="E392">
        <v>50</v>
      </c>
      <c r="F392">
        <v>49.687988281000003</v>
      </c>
      <c r="G392">
        <v>1308.6635742000001</v>
      </c>
      <c r="H392">
        <v>1295.3637695</v>
      </c>
      <c r="I392">
        <v>1342.9438477000001</v>
      </c>
      <c r="J392">
        <v>1339.1812743999999</v>
      </c>
      <c r="K392">
        <v>0</v>
      </c>
      <c r="L392">
        <v>1200</v>
      </c>
      <c r="M392">
        <v>1200</v>
      </c>
      <c r="N392">
        <v>0</v>
      </c>
    </row>
    <row r="393" spans="1:14" x14ac:dyDescent="0.25">
      <c r="A393">
        <v>218.526499</v>
      </c>
      <c r="B393" s="1">
        <f>DATE(2010,12,5) + TIME(12,38,9)</f>
        <v>40517.526493055557</v>
      </c>
      <c r="C393">
        <v>80</v>
      </c>
      <c r="D393">
        <v>71.234977721999996</v>
      </c>
      <c r="E393">
        <v>50</v>
      </c>
      <c r="F393">
        <v>49.691844940000003</v>
      </c>
      <c r="G393">
        <v>1308.5760498</v>
      </c>
      <c r="H393">
        <v>1295.2476807</v>
      </c>
      <c r="I393">
        <v>1342.9090576000001</v>
      </c>
      <c r="J393">
        <v>1339.1470947</v>
      </c>
      <c r="K393">
        <v>0</v>
      </c>
      <c r="L393">
        <v>1200</v>
      </c>
      <c r="M393">
        <v>1200</v>
      </c>
      <c r="N393">
        <v>0</v>
      </c>
    </row>
    <row r="394" spans="1:14" x14ac:dyDescent="0.25">
      <c r="A394">
        <v>220.15440699999999</v>
      </c>
      <c r="B394" s="1">
        <f>DATE(2010,12,7) + TIME(3,42,20)</f>
        <v>40519.154398148145</v>
      </c>
      <c r="C394">
        <v>80</v>
      </c>
      <c r="D394">
        <v>70.961738585999996</v>
      </c>
      <c r="E394">
        <v>50</v>
      </c>
      <c r="F394">
        <v>49.695327759000001</v>
      </c>
      <c r="G394">
        <v>1308.4818115</v>
      </c>
      <c r="H394">
        <v>1295.1230469</v>
      </c>
      <c r="I394">
        <v>1342.8746338000001</v>
      </c>
      <c r="J394">
        <v>1339.1132812000001</v>
      </c>
      <c r="K394">
        <v>0</v>
      </c>
      <c r="L394">
        <v>1200</v>
      </c>
      <c r="M394">
        <v>1200</v>
      </c>
      <c r="N394">
        <v>0</v>
      </c>
    </row>
    <row r="395" spans="1:14" x14ac:dyDescent="0.25">
      <c r="A395">
        <v>221.80182600000001</v>
      </c>
      <c r="B395" s="1">
        <f>DATE(2010,12,8) + TIME(19,14,37)</f>
        <v>40520.801817129628</v>
      </c>
      <c r="C395">
        <v>80</v>
      </c>
      <c r="D395">
        <v>70.688896178999997</v>
      </c>
      <c r="E395">
        <v>50</v>
      </c>
      <c r="F395">
        <v>49.698513030999997</v>
      </c>
      <c r="G395">
        <v>1308.3846435999999</v>
      </c>
      <c r="H395">
        <v>1294.9931641000001</v>
      </c>
      <c r="I395">
        <v>1342.8420410000001</v>
      </c>
      <c r="J395">
        <v>1339.0812988</v>
      </c>
      <c r="K395">
        <v>0</v>
      </c>
      <c r="L395">
        <v>1200</v>
      </c>
      <c r="M395">
        <v>1200</v>
      </c>
      <c r="N395">
        <v>0</v>
      </c>
    </row>
    <row r="396" spans="1:14" x14ac:dyDescent="0.25">
      <c r="A396">
        <v>223.476146</v>
      </c>
      <c r="B396" s="1">
        <f>DATE(2010,12,10) + TIME(11,25,38)</f>
        <v>40522.476134259261</v>
      </c>
      <c r="C396">
        <v>80</v>
      </c>
      <c r="D396">
        <v>70.416442871000001</v>
      </c>
      <c r="E396">
        <v>50</v>
      </c>
      <c r="F396">
        <v>49.701461792000003</v>
      </c>
      <c r="G396">
        <v>1308.2838135</v>
      </c>
      <c r="H396">
        <v>1294.8574219</v>
      </c>
      <c r="I396">
        <v>1342.8110352000001</v>
      </c>
      <c r="J396">
        <v>1339.0506591999999</v>
      </c>
      <c r="K396">
        <v>0</v>
      </c>
      <c r="L396">
        <v>1200</v>
      </c>
      <c r="M396">
        <v>1200</v>
      </c>
      <c r="N396">
        <v>0</v>
      </c>
    </row>
    <row r="397" spans="1:14" x14ac:dyDescent="0.25">
      <c r="A397">
        <v>225.188444</v>
      </c>
      <c r="B397" s="1">
        <f>DATE(2010,12,12) + TIME(4,31,21)</f>
        <v>40524.188437500001</v>
      </c>
      <c r="C397">
        <v>80</v>
      </c>
      <c r="D397">
        <v>70.143592834000003</v>
      </c>
      <c r="E397">
        <v>50</v>
      </c>
      <c r="F397">
        <v>49.704223632999998</v>
      </c>
      <c r="G397">
        <v>1308.1785889</v>
      </c>
      <c r="H397">
        <v>1294.7149658000001</v>
      </c>
      <c r="I397">
        <v>1342.78125</v>
      </c>
      <c r="J397">
        <v>1339.0213623</v>
      </c>
      <c r="K397">
        <v>0</v>
      </c>
      <c r="L397">
        <v>1200</v>
      </c>
      <c r="M397">
        <v>1200</v>
      </c>
      <c r="N397">
        <v>0</v>
      </c>
    </row>
    <row r="398" spans="1:14" x14ac:dyDescent="0.25">
      <c r="A398">
        <v>226.94981100000001</v>
      </c>
      <c r="B398" s="1">
        <f>DATE(2010,12,13) + TIME(22,47,43)</f>
        <v>40525.949803240743</v>
      </c>
      <c r="C398">
        <v>80</v>
      </c>
      <c r="D398">
        <v>69.869117736999996</v>
      </c>
      <c r="E398">
        <v>50</v>
      </c>
      <c r="F398">
        <v>49.706844330000003</v>
      </c>
      <c r="G398">
        <v>1308.0683594</v>
      </c>
      <c r="H398">
        <v>1294.5645752</v>
      </c>
      <c r="I398">
        <v>1342.7525635</v>
      </c>
      <c r="J398">
        <v>1338.9930420000001</v>
      </c>
      <c r="K398">
        <v>0</v>
      </c>
      <c r="L398">
        <v>1200</v>
      </c>
      <c r="M398">
        <v>1200</v>
      </c>
      <c r="N398">
        <v>0</v>
      </c>
    </row>
    <row r="399" spans="1:14" x14ac:dyDescent="0.25">
      <c r="A399">
        <v>228.77215699999999</v>
      </c>
      <c r="B399" s="1">
        <f>DATE(2010,12,15) + TIME(18,31,54)</f>
        <v>40527.772152777776</v>
      </c>
      <c r="C399">
        <v>80</v>
      </c>
      <c r="D399">
        <v>69.591560364000003</v>
      </c>
      <c r="E399">
        <v>50</v>
      </c>
      <c r="F399">
        <v>49.709358215000002</v>
      </c>
      <c r="G399">
        <v>1307.9519043</v>
      </c>
      <c r="H399">
        <v>1294.4050293</v>
      </c>
      <c r="I399">
        <v>1342.7247314000001</v>
      </c>
      <c r="J399">
        <v>1338.9655762</v>
      </c>
      <c r="K399">
        <v>0</v>
      </c>
      <c r="L399">
        <v>1200</v>
      </c>
      <c r="M399">
        <v>1200</v>
      </c>
      <c r="N399">
        <v>0</v>
      </c>
    </row>
    <row r="400" spans="1:14" x14ac:dyDescent="0.25">
      <c r="A400">
        <v>230.66872599999999</v>
      </c>
      <c r="B400" s="1">
        <f>DATE(2010,12,17) + TIME(16,2,57)</f>
        <v>40529.668715277781</v>
      </c>
      <c r="C400">
        <v>80</v>
      </c>
      <c r="D400">
        <v>69.309455872000001</v>
      </c>
      <c r="E400">
        <v>50</v>
      </c>
      <c r="F400">
        <v>49.711795807000001</v>
      </c>
      <c r="G400">
        <v>1307.8282471</v>
      </c>
      <c r="H400">
        <v>1294.2346190999999</v>
      </c>
      <c r="I400">
        <v>1342.6975098</v>
      </c>
      <c r="J400">
        <v>1338.9387207</v>
      </c>
      <c r="K400">
        <v>0</v>
      </c>
      <c r="L400">
        <v>1200</v>
      </c>
      <c r="M400">
        <v>1200</v>
      </c>
      <c r="N400">
        <v>0</v>
      </c>
    </row>
    <row r="401" spans="1:14" x14ac:dyDescent="0.25">
      <c r="A401">
        <v>232.654661</v>
      </c>
      <c r="B401" s="1">
        <f>DATE(2010,12,19) + TIME(15,42,42)</f>
        <v>40531.654652777775</v>
      </c>
      <c r="C401">
        <v>80</v>
      </c>
      <c r="D401">
        <v>69.020988463999998</v>
      </c>
      <c r="E401">
        <v>50</v>
      </c>
      <c r="F401">
        <v>49.714191436999997</v>
      </c>
      <c r="G401">
        <v>1307.6961670000001</v>
      </c>
      <c r="H401">
        <v>1294.0515137</v>
      </c>
      <c r="I401">
        <v>1342.6708983999999</v>
      </c>
      <c r="J401">
        <v>1338.9122314000001</v>
      </c>
      <c r="K401">
        <v>0</v>
      </c>
      <c r="L401">
        <v>1200</v>
      </c>
      <c r="M401">
        <v>1200</v>
      </c>
      <c r="N401">
        <v>0</v>
      </c>
    </row>
    <row r="402" spans="1:14" x14ac:dyDescent="0.25">
      <c r="A402">
        <v>234.69560300000001</v>
      </c>
      <c r="B402" s="1">
        <f>DATE(2010,12,21) + TIME(16,41,40)</f>
        <v>40533.695601851854</v>
      </c>
      <c r="C402">
        <v>80</v>
      </c>
      <c r="D402">
        <v>68.728393554999997</v>
      </c>
      <c r="E402">
        <v>50</v>
      </c>
      <c r="F402">
        <v>49.716510773000003</v>
      </c>
      <c r="G402">
        <v>1307.5540771000001</v>
      </c>
      <c r="H402">
        <v>1293.8540039</v>
      </c>
      <c r="I402">
        <v>1342.6445312000001</v>
      </c>
      <c r="J402">
        <v>1338.8861084</v>
      </c>
      <c r="K402">
        <v>0</v>
      </c>
      <c r="L402">
        <v>1200</v>
      </c>
      <c r="M402">
        <v>1200</v>
      </c>
      <c r="N402">
        <v>0</v>
      </c>
    </row>
    <row r="403" spans="1:14" x14ac:dyDescent="0.25">
      <c r="A403">
        <v>236.763991</v>
      </c>
      <c r="B403" s="1">
        <f>DATE(2010,12,23) + TIME(18,20,8)</f>
        <v>40535.763981481483</v>
      </c>
      <c r="C403">
        <v>80</v>
      </c>
      <c r="D403">
        <v>68.434181213000002</v>
      </c>
      <c r="E403">
        <v>50</v>
      </c>
      <c r="F403">
        <v>49.718738555999998</v>
      </c>
      <c r="G403">
        <v>1307.4038086</v>
      </c>
      <c r="H403">
        <v>1293.6442870999999</v>
      </c>
      <c r="I403">
        <v>1342.6188964999999</v>
      </c>
      <c r="J403">
        <v>1338.8605957</v>
      </c>
      <c r="K403">
        <v>0</v>
      </c>
      <c r="L403">
        <v>1200</v>
      </c>
      <c r="M403">
        <v>1200</v>
      </c>
      <c r="N403">
        <v>0</v>
      </c>
    </row>
    <row r="404" spans="1:14" x14ac:dyDescent="0.25">
      <c r="A404">
        <v>238.86422899999999</v>
      </c>
      <c r="B404" s="1">
        <f>DATE(2010,12,25) + TIME(20,44,29)</f>
        <v>40537.864224537036</v>
      </c>
      <c r="C404">
        <v>80</v>
      </c>
      <c r="D404">
        <v>68.138580321999996</v>
      </c>
      <c r="E404">
        <v>50</v>
      </c>
      <c r="F404">
        <v>49.720897675000003</v>
      </c>
      <c r="G404">
        <v>1307.2470702999999</v>
      </c>
      <c r="H404">
        <v>1293.4235839999999</v>
      </c>
      <c r="I404">
        <v>1342.5946045000001</v>
      </c>
      <c r="J404">
        <v>1338.8363036999999</v>
      </c>
      <c r="K404">
        <v>0</v>
      </c>
      <c r="L404">
        <v>1200</v>
      </c>
      <c r="M404">
        <v>1200</v>
      </c>
      <c r="N404">
        <v>0</v>
      </c>
    </row>
    <row r="405" spans="1:14" x14ac:dyDescent="0.25">
      <c r="A405">
        <v>240.99682200000001</v>
      </c>
      <c r="B405" s="1">
        <f>DATE(2010,12,27) + TIME(23,55,25)</f>
        <v>40539.996817129628</v>
      </c>
      <c r="C405">
        <v>80</v>
      </c>
      <c r="D405">
        <v>67.841590881000002</v>
      </c>
      <c r="E405">
        <v>50</v>
      </c>
      <c r="F405">
        <v>49.722991942999997</v>
      </c>
      <c r="G405">
        <v>1307.0834961</v>
      </c>
      <c r="H405">
        <v>1293.1916504000001</v>
      </c>
      <c r="I405">
        <v>1342.5712891000001</v>
      </c>
      <c r="J405">
        <v>1338.8129882999999</v>
      </c>
      <c r="K405">
        <v>0</v>
      </c>
      <c r="L405">
        <v>1200</v>
      </c>
      <c r="M405">
        <v>1200</v>
      </c>
      <c r="N405">
        <v>0</v>
      </c>
    </row>
    <row r="406" spans="1:14" x14ac:dyDescent="0.25">
      <c r="A406">
        <v>243.14309700000001</v>
      </c>
      <c r="B406" s="1">
        <f>DATE(2010,12,30) + TIME(3,26,3)</f>
        <v>40542.143090277779</v>
      </c>
      <c r="C406">
        <v>80</v>
      </c>
      <c r="D406">
        <v>67.544494628999999</v>
      </c>
      <c r="E406">
        <v>50</v>
      </c>
      <c r="F406">
        <v>49.725021362</v>
      </c>
      <c r="G406">
        <v>1306.9125977000001</v>
      </c>
      <c r="H406">
        <v>1292.9481201000001</v>
      </c>
      <c r="I406">
        <v>1342.5489502</v>
      </c>
      <c r="J406">
        <v>1338.7905272999999</v>
      </c>
      <c r="K406">
        <v>0</v>
      </c>
      <c r="L406">
        <v>1200</v>
      </c>
      <c r="M406">
        <v>1200</v>
      </c>
      <c r="N406">
        <v>0</v>
      </c>
    </row>
    <row r="407" spans="1:14" x14ac:dyDescent="0.25">
      <c r="A407">
        <v>245</v>
      </c>
      <c r="B407" s="1">
        <f>DATE(2011,1,1) + TIME(0,0,0)</f>
        <v>40544</v>
      </c>
      <c r="C407">
        <v>80</v>
      </c>
      <c r="D407">
        <v>67.272705078000001</v>
      </c>
      <c r="E407">
        <v>50</v>
      </c>
      <c r="F407">
        <v>49.726718902999998</v>
      </c>
      <c r="G407">
        <v>1306.7364502</v>
      </c>
      <c r="H407">
        <v>1292.6999512</v>
      </c>
      <c r="I407">
        <v>1342.5270995999999</v>
      </c>
      <c r="J407">
        <v>1338.7686768000001</v>
      </c>
      <c r="K407">
        <v>0</v>
      </c>
      <c r="L407">
        <v>1200</v>
      </c>
      <c r="M407">
        <v>1200</v>
      </c>
      <c r="N407">
        <v>0</v>
      </c>
    </row>
    <row r="408" spans="1:14" x14ac:dyDescent="0.25">
      <c r="A408">
        <v>247.163903</v>
      </c>
      <c r="B408" s="1">
        <f>DATE(2011,1,3) + TIME(3,56,1)</f>
        <v>40546.163900462961</v>
      </c>
      <c r="C408">
        <v>80</v>
      </c>
      <c r="D408">
        <v>66.982864379999995</v>
      </c>
      <c r="E408">
        <v>50</v>
      </c>
      <c r="F408">
        <v>49.728641510000003</v>
      </c>
      <c r="G408">
        <v>1306.5775146000001</v>
      </c>
      <c r="H408">
        <v>1292.4633789</v>
      </c>
      <c r="I408">
        <v>1342.5104980000001</v>
      </c>
      <c r="J408">
        <v>1338.7519531</v>
      </c>
      <c r="K408">
        <v>0</v>
      </c>
      <c r="L408">
        <v>1200</v>
      </c>
      <c r="M408">
        <v>1200</v>
      </c>
      <c r="N408">
        <v>0</v>
      </c>
    </row>
    <row r="409" spans="1:14" x14ac:dyDescent="0.25">
      <c r="A409">
        <v>249.37081699999999</v>
      </c>
      <c r="B409" s="1">
        <f>DATE(2011,1,5) + TIME(8,53,58)</f>
        <v>40548.370810185188</v>
      </c>
      <c r="C409">
        <v>80</v>
      </c>
      <c r="D409">
        <v>66.687423706000004</v>
      </c>
      <c r="E409">
        <v>50</v>
      </c>
      <c r="F409">
        <v>49.730545044000003</v>
      </c>
      <c r="G409">
        <v>1306.3912353999999</v>
      </c>
      <c r="H409">
        <v>1292.1931152</v>
      </c>
      <c r="I409">
        <v>1342.4913329999999</v>
      </c>
      <c r="J409">
        <v>1338.7325439000001</v>
      </c>
      <c r="K409">
        <v>0</v>
      </c>
      <c r="L409">
        <v>1200</v>
      </c>
      <c r="M409">
        <v>1200</v>
      </c>
      <c r="N409">
        <v>0</v>
      </c>
    </row>
    <row r="410" spans="1:14" x14ac:dyDescent="0.25">
      <c r="A410">
        <v>251.605932</v>
      </c>
      <c r="B410" s="1">
        <f>DATE(2011,1,7) + TIME(14,32,32)</f>
        <v>40550.605925925927</v>
      </c>
      <c r="C410">
        <v>80</v>
      </c>
      <c r="D410">
        <v>66.387481688999998</v>
      </c>
      <c r="E410">
        <v>50</v>
      </c>
      <c r="F410">
        <v>49.732421875</v>
      </c>
      <c r="G410">
        <v>1306.1962891000001</v>
      </c>
      <c r="H410">
        <v>1291.9085693</v>
      </c>
      <c r="I410">
        <v>1342.4727783000001</v>
      </c>
      <c r="J410">
        <v>1338.7139893000001</v>
      </c>
      <c r="K410">
        <v>0</v>
      </c>
      <c r="L410">
        <v>1200</v>
      </c>
      <c r="M410">
        <v>1200</v>
      </c>
      <c r="N410">
        <v>0</v>
      </c>
    </row>
    <row r="411" spans="1:14" x14ac:dyDescent="0.25">
      <c r="A411">
        <v>253.860795</v>
      </c>
      <c r="B411" s="1">
        <f>DATE(2011,1,9) + TIME(20,39,32)</f>
        <v>40552.86078703704</v>
      </c>
      <c r="C411">
        <v>80</v>
      </c>
      <c r="D411">
        <v>66.083778381000002</v>
      </c>
      <c r="E411">
        <v>50</v>
      </c>
      <c r="F411">
        <v>49.734272003000001</v>
      </c>
      <c r="G411">
        <v>1305.9938964999999</v>
      </c>
      <c r="H411">
        <v>1291.6113281</v>
      </c>
      <c r="I411">
        <v>1342.4550781</v>
      </c>
      <c r="J411">
        <v>1338.6960449000001</v>
      </c>
      <c r="K411">
        <v>0</v>
      </c>
      <c r="L411">
        <v>1200</v>
      </c>
      <c r="M411">
        <v>1200</v>
      </c>
      <c r="N411">
        <v>0</v>
      </c>
    </row>
    <row r="412" spans="1:14" x14ac:dyDescent="0.25">
      <c r="A412">
        <v>256.13194199999998</v>
      </c>
      <c r="B412" s="1">
        <f>DATE(2011,1,12) + TIME(3,9,59)</f>
        <v>40555.131932870368</v>
      </c>
      <c r="C412">
        <v>80</v>
      </c>
      <c r="D412">
        <v>65.776542664000004</v>
      </c>
      <c r="E412">
        <v>50</v>
      </c>
      <c r="F412">
        <v>49.736087799000003</v>
      </c>
      <c r="G412">
        <v>1305.7847899999999</v>
      </c>
      <c r="H412">
        <v>1291.3018798999999</v>
      </c>
      <c r="I412">
        <v>1342.4381103999999</v>
      </c>
      <c r="J412">
        <v>1338.6789550999999</v>
      </c>
      <c r="K412">
        <v>0</v>
      </c>
      <c r="L412">
        <v>1200</v>
      </c>
      <c r="M412">
        <v>1200</v>
      </c>
      <c r="N412">
        <v>0</v>
      </c>
    </row>
    <row r="413" spans="1:14" x14ac:dyDescent="0.25">
      <c r="A413">
        <v>258.423497</v>
      </c>
      <c r="B413" s="1">
        <f>DATE(2011,1,14) + TIME(10,9,50)</f>
        <v>40557.423495370371</v>
      </c>
      <c r="C413">
        <v>80</v>
      </c>
      <c r="D413">
        <v>65.465255737000007</v>
      </c>
      <c r="E413">
        <v>50</v>
      </c>
      <c r="F413">
        <v>49.737880707000002</v>
      </c>
      <c r="G413">
        <v>1305.5692139</v>
      </c>
      <c r="H413">
        <v>1290.980957</v>
      </c>
      <c r="I413">
        <v>1342.4221190999999</v>
      </c>
      <c r="J413">
        <v>1338.6625977000001</v>
      </c>
      <c r="K413">
        <v>0</v>
      </c>
      <c r="L413">
        <v>1200</v>
      </c>
      <c r="M413">
        <v>1200</v>
      </c>
      <c r="N413">
        <v>0</v>
      </c>
    </row>
    <row r="414" spans="1:14" x14ac:dyDescent="0.25">
      <c r="A414">
        <v>260.73965299999998</v>
      </c>
      <c r="B414" s="1">
        <f>DATE(2011,1,16) + TIME(17,45,5)</f>
        <v>40559.739641203705</v>
      </c>
      <c r="C414">
        <v>80</v>
      </c>
      <c r="D414">
        <v>65.149055481000005</v>
      </c>
      <c r="E414">
        <v>50</v>
      </c>
      <c r="F414">
        <v>49.739654541</v>
      </c>
      <c r="G414">
        <v>1305.3470459</v>
      </c>
      <c r="H414">
        <v>1290.6477050999999</v>
      </c>
      <c r="I414">
        <v>1342.4067382999999</v>
      </c>
      <c r="J414">
        <v>1338.6470947</v>
      </c>
      <c r="K414">
        <v>0</v>
      </c>
      <c r="L414">
        <v>1200</v>
      </c>
      <c r="M414">
        <v>1200</v>
      </c>
      <c r="N414">
        <v>0</v>
      </c>
    </row>
    <row r="415" spans="1:14" x14ac:dyDescent="0.25">
      <c r="A415">
        <v>263.08467100000001</v>
      </c>
      <c r="B415" s="1">
        <f>DATE(2011,1,19) + TIME(2,1,55)</f>
        <v>40562.084664351853</v>
      </c>
      <c r="C415">
        <v>80</v>
      </c>
      <c r="D415">
        <v>64.826950073000006</v>
      </c>
      <c r="E415">
        <v>50</v>
      </c>
      <c r="F415">
        <v>49.741413115999997</v>
      </c>
      <c r="G415">
        <v>1305.1176757999999</v>
      </c>
      <c r="H415">
        <v>1290.3018798999999</v>
      </c>
      <c r="I415">
        <v>1342.3920897999999</v>
      </c>
      <c r="J415">
        <v>1338.6322021000001</v>
      </c>
      <c r="K415">
        <v>0</v>
      </c>
      <c r="L415">
        <v>1200</v>
      </c>
      <c r="M415">
        <v>1200</v>
      </c>
      <c r="N415">
        <v>0</v>
      </c>
    </row>
    <row r="416" spans="1:14" x14ac:dyDescent="0.25">
      <c r="A416">
        <v>265.462852</v>
      </c>
      <c r="B416" s="1">
        <f>DATE(2011,1,21) + TIME(11,6,30)</f>
        <v>40564.462847222225</v>
      </c>
      <c r="C416">
        <v>80</v>
      </c>
      <c r="D416">
        <v>64.497787475999999</v>
      </c>
      <c r="E416">
        <v>50</v>
      </c>
      <c r="F416">
        <v>49.743160248000002</v>
      </c>
      <c r="G416">
        <v>1304.8808594</v>
      </c>
      <c r="H416">
        <v>1289.9426269999999</v>
      </c>
      <c r="I416">
        <v>1342.3780518000001</v>
      </c>
      <c r="J416">
        <v>1338.6180420000001</v>
      </c>
      <c r="K416">
        <v>0</v>
      </c>
      <c r="L416">
        <v>1200</v>
      </c>
      <c r="M416">
        <v>1200</v>
      </c>
      <c r="N416">
        <v>0</v>
      </c>
    </row>
    <row r="417" spans="1:14" x14ac:dyDescent="0.25">
      <c r="A417">
        <v>267.86655000000002</v>
      </c>
      <c r="B417" s="1">
        <f>DATE(2011,1,23) + TIME(20,47,49)</f>
        <v>40566.866539351853</v>
      </c>
      <c r="C417">
        <v>80</v>
      </c>
      <c r="D417">
        <v>64.161178589000002</v>
      </c>
      <c r="E417">
        <v>50</v>
      </c>
      <c r="F417">
        <v>49.744892120000003</v>
      </c>
      <c r="G417">
        <v>1304.6362305</v>
      </c>
      <c r="H417">
        <v>1289.5692139</v>
      </c>
      <c r="I417">
        <v>1342.364624</v>
      </c>
      <c r="J417">
        <v>1338.6043701000001</v>
      </c>
      <c r="K417">
        <v>0</v>
      </c>
      <c r="L417">
        <v>1200</v>
      </c>
      <c r="M417">
        <v>1200</v>
      </c>
      <c r="N417">
        <v>0</v>
      </c>
    </row>
    <row r="418" spans="1:14" x14ac:dyDescent="0.25">
      <c r="A418">
        <v>270.29638299999999</v>
      </c>
      <c r="B418" s="1">
        <f>DATE(2011,1,26) + TIME(7,6,47)</f>
        <v>40569.296377314815</v>
      </c>
      <c r="C418">
        <v>80</v>
      </c>
      <c r="D418">
        <v>63.816459655999999</v>
      </c>
      <c r="E418">
        <v>50</v>
      </c>
      <c r="F418">
        <v>49.746608733999999</v>
      </c>
      <c r="G418">
        <v>1304.3843993999999</v>
      </c>
      <c r="H418">
        <v>1289.1826172000001</v>
      </c>
      <c r="I418">
        <v>1342.3516846</v>
      </c>
      <c r="J418">
        <v>1338.5913086</v>
      </c>
      <c r="K418">
        <v>0</v>
      </c>
      <c r="L418">
        <v>1200</v>
      </c>
      <c r="M418">
        <v>1200</v>
      </c>
      <c r="N418">
        <v>0</v>
      </c>
    </row>
    <row r="419" spans="1:14" x14ac:dyDescent="0.25">
      <c r="A419">
        <v>272.75762099999997</v>
      </c>
      <c r="B419" s="1">
        <f>DATE(2011,1,28) + TIME(18,10,58)</f>
        <v>40571.757615740738</v>
      </c>
      <c r="C419">
        <v>80</v>
      </c>
      <c r="D419">
        <v>63.462528229</v>
      </c>
      <c r="E419">
        <v>50</v>
      </c>
      <c r="F419">
        <v>49.748313904</v>
      </c>
      <c r="G419">
        <v>1304.1254882999999</v>
      </c>
      <c r="H419">
        <v>1288.7823486</v>
      </c>
      <c r="I419">
        <v>1342.3393555</v>
      </c>
      <c r="J419">
        <v>1338.5787353999999</v>
      </c>
      <c r="K419">
        <v>0</v>
      </c>
      <c r="L419">
        <v>1200</v>
      </c>
      <c r="M419">
        <v>1200</v>
      </c>
      <c r="N419">
        <v>0</v>
      </c>
    </row>
    <row r="420" spans="1:14" x14ac:dyDescent="0.25">
      <c r="A420">
        <v>275.236492</v>
      </c>
      <c r="B420" s="1">
        <f>DATE(2011,1,31) + TIME(5,40,32)</f>
        <v>40574.236481481479</v>
      </c>
      <c r="C420">
        <v>80</v>
      </c>
      <c r="D420">
        <v>63.099552154999998</v>
      </c>
      <c r="E420">
        <v>50</v>
      </c>
      <c r="F420">
        <v>49.75</v>
      </c>
      <c r="G420">
        <v>1303.8588867000001</v>
      </c>
      <c r="H420">
        <v>1288.3682861</v>
      </c>
      <c r="I420">
        <v>1342.3276367000001</v>
      </c>
      <c r="J420">
        <v>1338.5668945</v>
      </c>
      <c r="K420">
        <v>0</v>
      </c>
      <c r="L420">
        <v>1200</v>
      </c>
      <c r="M420">
        <v>1200</v>
      </c>
      <c r="N420">
        <v>0</v>
      </c>
    </row>
    <row r="421" spans="1:14" x14ac:dyDescent="0.25">
      <c r="A421">
        <v>276</v>
      </c>
      <c r="B421" s="1">
        <f>DATE(2011,2,1) + TIME(0,0,0)</f>
        <v>40575</v>
      </c>
      <c r="C421">
        <v>80</v>
      </c>
      <c r="D421">
        <v>62.929649353000002</v>
      </c>
      <c r="E421">
        <v>50</v>
      </c>
      <c r="F421">
        <v>49.750511168999999</v>
      </c>
      <c r="G421">
        <v>1303.6005858999999</v>
      </c>
      <c r="H421">
        <v>1288.0170897999999</v>
      </c>
      <c r="I421">
        <v>1342.3125</v>
      </c>
      <c r="J421">
        <v>1338.5518798999999</v>
      </c>
      <c r="K421">
        <v>0</v>
      </c>
      <c r="L421">
        <v>1200</v>
      </c>
      <c r="M421">
        <v>1200</v>
      </c>
      <c r="N421">
        <v>0</v>
      </c>
    </row>
    <row r="422" spans="1:14" x14ac:dyDescent="0.25">
      <c r="A422">
        <v>278.49639000000002</v>
      </c>
      <c r="B422" s="1">
        <f>DATE(2011,2,3) + TIME(11,54,48)</f>
        <v>40577.496388888889</v>
      </c>
      <c r="C422">
        <v>80</v>
      </c>
      <c r="D422">
        <v>62.581253052000001</v>
      </c>
      <c r="E422">
        <v>50</v>
      </c>
      <c r="F422">
        <v>49.752170563</v>
      </c>
      <c r="G422">
        <v>1303.4929199000001</v>
      </c>
      <c r="H422">
        <v>1287.7849120999999</v>
      </c>
      <c r="I422">
        <v>1342.3133545000001</v>
      </c>
      <c r="J422">
        <v>1338.5523682</v>
      </c>
      <c r="K422">
        <v>0</v>
      </c>
      <c r="L422">
        <v>1200</v>
      </c>
      <c r="M422">
        <v>1200</v>
      </c>
      <c r="N422">
        <v>0</v>
      </c>
    </row>
    <row r="423" spans="1:14" x14ac:dyDescent="0.25">
      <c r="A423">
        <v>281.023099</v>
      </c>
      <c r="B423" s="1">
        <f>DATE(2011,2,6) + TIME(0,33,15)</f>
        <v>40580.023090277777</v>
      </c>
      <c r="C423">
        <v>80</v>
      </c>
      <c r="D423">
        <v>62.209541321000003</v>
      </c>
      <c r="E423">
        <v>50</v>
      </c>
      <c r="F423">
        <v>49.753814697000003</v>
      </c>
      <c r="G423">
        <v>1303.2175293</v>
      </c>
      <c r="H423">
        <v>1287.3549805</v>
      </c>
      <c r="I423">
        <v>1342.3027344</v>
      </c>
      <c r="J423">
        <v>1338.5417480000001</v>
      </c>
      <c r="K423">
        <v>0</v>
      </c>
      <c r="L423">
        <v>1200</v>
      </c>
      <c r="M423">
        <v>1200</v>
      </c>
      <c r="N423">
        <v>0</v>
      </c>
    </row>
    <row r="424" spans="1:14" x14ac:dyDescent="0.25">
      <c r="A424">
        <v>283.57756699999999</v>
      </c>
      <c r="B424" s="1">
        <f>DATE(2011,2,8) + TIME(13,51,41)</f>
        <v>40582.577557870369</v>
      </c>
      <c r="C424">
        <v>80</v>
      </c>
      <c r="D424">
        <v>61.819503783999998</v>
      </c>
      <c r="E424">
        <v>50</v>
      </c>
      <c r="F424">
        <v>49.755447388</v>
      </c>
      <c r="G424">
        <v>1302.9329834</v>
      </c>
      <c r="H424">
        <v>1286.9056396000001</v>
      </c>
      <c r="I424">
        <v>1342.2926024999999</v>
      </c>
      <c r="J424">
        <v>1338.5316161999999</v>
      </c>
      <c r="K424">
        <v>0</v>
      </c>
      <c r="L424">
        <v>1200</v>
      </c>
      <c r="M424">
        <v>1200</v>
      </c>
      <c r="N424">
        <v>0</v>
      </c>
    </row>
    <row r="425" spans="1:14" x14ac:dyDescent="0.25">
      <c r="A425">
        <v>286.15813800000001</v>
      </c>
      <c r="B425" s="1">
        <f>DATE(2011,2,11) + TIME(3,47,43)</f>
        <v>40585.158136574071</v>
      </c>
      <c r="C425">
        <v>80</v>
      </c>
      <c r="D425">
        <v>61.413661957000002</v>
      </c>
      <c r="E425">
        <v>50</v>
      </c>
      <c r="F425">
        <v>49.757064819</v>
      </c>
      <c r="G425">
        <v>1302.6407471</v>
      </c>
      <c r="H425">
        <v>1286.4401855000001</v>
      </c>
      <c r="I425">
        <v>1342.2829589999999</v>
      </c>
      <c r="J425">
        <v>1338.5219727000001</v>
      </c>
      <c r="K425">
        <v>0</v>
      </c>
      <c r="L425">
        <v>1200</v>
      </c>
      <c r="M425">
        <v>1200</v>
      </c>
      <c r="N425">
        <v>0</v>
      </c>
    </row>
    <row r="426" spans="1:14" x14ac:dyDescent="0.25">
      <c r="A426">
        <v>288.75942099999997</v>
      </c>
      <c r="B426" s="1">
        <f>DATE(2011,2,13) + TIME(18,13,33)</f>
        <v>40587.759409722225</v>
      </c>
      <c r="C426">
        <v>80</v>
      </c>
      <c r="D426">
        <v>60.993537903000004</v>
      </c>
      <c r="E426">
        <v>50</v>
      </c>
      <c r="F426">
        <v>49.758666992000002</v>
      </c>
      <c r="G426">
        <v>1302.3420410000001</v>
      </c>
      <c r="H426">
        <v>1285.9603271000001</v>
      </c>
      <c r="I426">
        <v>1342.2736815999999</v>
      </c>
      <c r="J426">
        <v>1338.5128173999999</v>
      </c>
      <c r="K426">
        <v>0</v>
      </c>
      <c r="L426">
        <v>1200</v>
      </c>
      <c r="M426">
        <v>1200</v>
      </c>
      <c r="N426">
        <v>0</v>
      </c>
    </row>
    <row r="427" spans="1:14" x14ac:dyDescent="0.25">
      <c r="A427">
        <v>291.38677000000001</v>
      </c>
      <c r="B427" s="1">
        <f>DATE(2011,2,16) + TIME(9,16,56)</f>
        <v>40590.386759259258</v>
      </c>
      <c r="C427">
        <v>80</v>
      </c>
      <c r="D427">
        <v>60.559299469000003</v>
      </c>
      <c r="E427">
        <v>50</v>
      </c>
      <c r="F427">
        <v>49.760250092</v>
      </c>
      <c r="G427">
        <v>1302.0375977000001</v>
      </c>
      <c r="H427">
        <v>1285.4675293</v>
      </c>
      <c r="I427">
        <v>1342.2650146000001</v>
      </c>
      <c r="J427">
        <v>1338.5042725000001</v>
      </c>
      <c r="K427">
        <v>0</v>
      </c>
      <c r="L427">
        <v>1200</v>
      </c>
      <c r="M427">
        <v>1200</v>
      </c>
      <c r="N427">
        <v>0</v>
      </c>
    </row>
    <row r="428" spans="1:14" x14ac:dyDescent="0.25">
      <c r="A428">
        <v>294.04562600000003</v>
      </c>
      <c r="B428" s="1">
        <f>DATE(2011,2,19) + TIME(1,5,42)</f>
        <v>40593.045624999999</v>
      </c>
      <c r="C428">
        <v>80</v>
      </c>
      <c r="D428">
        <v>60.110488891999999</v>
      </c>
      <c r="E428">
        <v>50</v>
      </c>
      <c r="F428">
        <v>49.761825561999999</v>
      </c>
      <c r="G428">
        <v>1301.7272949000001</v>
      </c>
      <c r="H428">
        <v>1284.9616699000001</v>
      </c>
      <c r="I428">
        <v>1342.2565918</v>
      </c>
      <c r="J428">
        <v>1338.4960937999999</v>
      </c>
      <c r="K428">
        <v>0</v>
      </c>
      <c r="L428">
        <v>1200</v>
      </c>
      <c r="M428">
        <v>1200</v>
      </c>
      <c r="N428">
        <v>0</v>
      </c>
    </row>
    <row r="429" spans="1:14" x14ac:dyDescent="0.25">
      <c r="A429">
        <v>296.74176</v>
      </c>
      <c r="B429" s="1">
        <f>DATE(2011,2,21) + TIME(17,48,8)</f>
        <v>40595.741759259261</v>
      </c>
      <c r="C429">
        <v>80</v>
      </c>
      <c r="D429">
        <v>59.645702362000002</v>
      </c>
      <c r="E429">
        <v>50</v>
      </c>
      <c r="F429">
        <v>49.763393401999998</v>
      </c>
      <c r="G429">
        <v>1301.4110106999999</v>
      </c>
      <c r="H429">
        <v>1284.4421387</v>
      </c>
      <c r="I429">
        <v>1342.2485352000001</v>
      </c>
      <c r="J429">
        <v>1338.4882812000001</v>
      </c>
      <c r="K429">
        <v>0</v>
      </c>
      <c r="L429">
        <v>1200</v>
      </c>
      <c r="M429">
        <v>1200</v>
      </c>
      <c r="N429">
        <v>0</v>
      </c>
    </row>
    <row r="430" spans="1:14" x14ac:dyDescent="0.25">
      <c r="A430">
        <v>299.46647000000002</v>
      </c>
      <c r="B430" s="1">
        <f>DATE(2011,2,24) + TIME(11,11,43)</f>
        <v>40598.466469907406</v>
      </c>
      <c r="C430">
        <v>80</v>
      </c>
      <c r="D430">
        <v>59.165035248000002</v>
      </c>
      <c r="E430">
        <v>50</v>
      </c>
      <c r="F430">
        <v>49.764945984000001</v>
      </c>
      <c r="G430">
        <v>1301.0883789</v>
      </c>
      <c r="H430">
        <v>1283.9086914</v>
      </c>
      <c r="I430">
        <v>1342.2408447</v>
      </c>
      <c r="J430">
        <v>1338.4808350000001</v>
      </c>
      <c r="K430">
        <v>0</v>
      </c>
      <c r="L430">
        <v>1200</v>
      </c>
      <c r="M430">
        <v>1200</v>
      </c>
      <c r="N430">
        <v>0</v>
      </c>
    </row>
    <row r="431" spans="1:14" x14ac:dyDescent="0.25">
      <c r="A431">
        <v>302.20899500000002</v>
      </c>
      <c r="B431" s="1">
        <f>DATE(2011,2,27) + TIME(5,0,57)</f>
        <v>40601.208993055552</v>
      </c>
      <c r="C431">
        <v>80</v>
      </c>
      <c r="D431">
        <v>58.669460297000001</v>
      </c>
      <c r="E431">
        <v>50</v>
      </c>
      <c r="F431">
        <v>49.766479492000002</v>
      </c>
      <c r="G431">
        <v>1300.7606201000001</v>
      </c>
      <c r="H431">
        <v>1283.3630370999999</v>
      </c>
      <c r="I431">
        <v>1342.2335204999999</v>
      </c>
      <c r="J431">
        <v>1338.4738769999999</v>
      </c>
      <c r="K431">
        <v>0</v>
      </c>
      <c r="L431">
        <v>1200</v>
      </c>
      <c r="M431">
        <v>1200</v>
      </c>
      <c r="N431">
        <v>0</v>
      </c>
    </row>
    <row r="432" spans="1:14" x14ac:dyDescent="0.25">
      <c r="A432">
        <v>304</v>
      </c>
      <c r="B432" s="1">
        <f>DATE(2011,3,1) + TIME(0,0,0)</f>
        <v>40603</v>
      </c>
      <c r="C432">
        <v>80</v>
      </c>
      <c r="D432">
        <v>58.266014099000003</v>
      </c>
      <c r="E432">
        <v>50</v>
      </c>
      <c r="F432">
        <v>49.767459869</v>
      </c>
      <c r="G432">
        <v>1300.4357910000001</v>
      </c>
      <c r="H432">
        <v>1282.8502197</v>
      </c>
      <c r="I432">
        <v>1342.2248535000001</v>
      </c>
      <c r="J432">
        <v>1338.4656981999999</v>
      </c>
      <c r="K432">
        <v>0</v>
      </c>
      <c r="L432">
        <v>1200</v>
      </c>
      <c r="M432">
        <v>1200</v>
      </c>
      <c r="N432">
        <v>0</v>
      </c>
    </row>
    <row r="433" spans="1:14" x14ac:dyDescent="0.25">
      <c r="A433">
        <v>306.76588099999998</v>
      </c>
      <c r="B433" s="1">
        <f>DATE(2011,3,3) + TIME(18,22,52)</f>
        <v>40605.765879629631</v>
      </c>
      <c r="C433">
        <v>80</v>
      </c>
      <c r="D433">
        <v>57.784572601000001</v>
      </c>
      <c r="E433">
        <v>50</v>
      </c>
      <c r="F433">
        <v>49.768962860000002</v>
      </c>
      <c r="G433">
        <v>1300.2042236</v>
      </c>
      <c r="H433">
        <v>1282.4136963000001</v>
      </c>
      <c r="I433">
        <v>1342.2224120999999</v>
      </c>
      <c r="J433">
        <v>1338.463501</v>
      </c>
      <c r="K433">
        <v>0</v>
      </c>
      <c r="L433">
        <v>1200</v>
      </c>
      <c r="M433">
        <v>1200</v>
      </c>
      <c r="N433">
        <v>0</v>
      </c>
    </row>
    <row r="434" spans="1:14" x14ac:dyDescent="0.25">
      <c r="A434">
        <v>309.58297199999998</v>
      </c>
      <c r="B434" s="1">
        <f>DATE(2011,3,6) + TIME(13,59,28)</f>
        <v>40608.582962962966</v>
      </c>
      <c r="C434">
        <v>80</v>
      </c>
      <c r="D434">
        <v>57.267665862999998</v>
      </c>
      <c r="E434">
        <v>50</v>
      </c>
      <c r="F434">
        <v>49.770458220999998</v>
      </c>
      <c r="G434">
        <v>1299.8735352000001</v>
      </c>
      <c r="H434">
        <v>1281.8569336</v>
      </c>
      <c r="I434">
        <v>1342.2158202999999</v>
      </c>
      <c r="J434">
        <v>1338.4575195</v>
      </c>
      <c r="K434">
        <v>0</v>
      </c>
      <c r="L434">
        <v>1200</v>
      </c>
      <c r="M434">
        <v>1200</v>
      </c>
      <c r="N434">
        <v>0</v>
      </c>
    </row>
    <row r="435" spans="1:14" x14ac:dyDescent="0.25">
      <c r="A435">
        <v>312.43063799999999</v>
      </c>
      <c r="B435" s="1">
        <f>DATE(2011,3,9) + TIME(10,20,7)</f>
        <v>40611.430636574078</v>
      </c>
      <c r="C435">
        <v>80</v>
      </c>
      <c r="D435">
        <v>56.725028991999999</v>
      </c>
      <c r="E435">
        <v>50</v>
      </c>
      <c r="F435">
        <v>49.771942138999997</v>
      </c>
      <c r="G435">
        <v>1299.534668</v>
      </c>
      <c r="H435">
        <v>1281.2792969</v>
      </c>
      <c r="I435">
        <v>1342.2094727000001</v>
      </c>
      <c r="J435">
        <v>1338.4517822</v>
      </c>
      <c r="K435">
        <v>0</v>
      </c>
      <c r="L435">
        <v>1200</v>
      </c>
      <c r="M435">
        <v>1200</v>
      </c>
      <c r="N435">
        <v>0</v>
      </c>
    </row>
    <row r="436" spans="1:14" x14ac:dyDescent="0.25">
      <c r="A436">
        <v>315.30759599999999</v>
      </c>
      <c r="B436" s="1">
        <f>DATE(2011,3,12) + TIME(7,22,56)</f>
        <v>40614.307592592595</v>
      </c>
      <c r="C436">
        <v>80</v>
      </c>
      <c r="D436">
        <v>56.162086487000003</v>
      </c>
      <c r="E436">
        <v>50</v>
      </c>
      <c r="F436">
        <v>49.773410796999997</v>
      </c>
      <c r="G436">
        <v>1299.1912841999999</v>
      </c>
      <c r="H436">
        <v>1280.6876221</v>
      </c>
      <c r="I436">
        <v>1342.2033690999999</v>
      </c>
      <c r="J436">
        <v>1338.4464111</v>
      </c>
      <c r="K436">
        <v>0</v>
      </c>
      <c r="L436">
        <v>1200</v>
      </c>
      <c r="M436">
        <v>1200</v>
      </c>
      <c r="N436">
        <v>0</v>
      </c>
    </row>
    <row r="437" spans="1:14" x14ac:dyDescent="0.25">
      <c r="A437">
        <v>318.22079200000002</v>
      </c>
      <c r="B437" s="1">
        <f>DATE(2011,3,15) + TIME(5,17,56)</f>
        <v>40617.22078703704</v>
      </c>
      <c r="C437">
        <v>80</v>
      </c>
      <c r="D437">
        <v>55.581146240000002</v>
      </c>
      <c r="E437">
        <v>50</v>
      </c>
      <c r="F437">
        <v>49.774868011000002</v>
      </c>
      <c r="G437">
        <v>1298.8448486</v>
      </c>
      <c r="H437">
        <v>1280.0842285000001</v>
      </c>
      <c r="I437">
        <v>1342.1976318</v>
      </c>
      <c r="J437">
        <v>1338.4414062000001</v>
      </c>
      <c r="K437">
        <v>0</v>
      </c>
      <c r="L437">
        <v>1200</v>
      </c>
      <c r="M437">
        <v>1200</v>
      </c>
      <c r="N437">
        <v>0</v>
      </c>
    </row>
    <row r="438" spans="1:14" x14ac:dyDescent="0.25">
      <c r="A438">
        <v>321.17425700000001</v>
      </c>
      <c r="B438" s="1">
        <f>DATE(2011,3,18) + TIME(4,10,55)</f>
        <v>40620.174247685187</v>
      </c>
      <c r="C438">
        <v>80</v>
      </c>
      <c r="D438">
        <v>54.983188628999997</v>
      </c>
      <c r="E438">
        <v>50</v>
      </c>
      <c r="F438">
        <v>49.776317595999998</v>
      </c>
      <c r="G438">
        <v>1298.4954834</v>
      </c>
      <c r="H438">
        <v>1279.4699707</v>
      </c>
      <c r="I438">
        <v>1342.1920166</v>
      </c>
      <c r="J438">
        <v>1338.4366454999999</v>
      </c>
      <c r="K438">
        <v>0</v>
      </c>
      <c r="L438">
        <v>1200</v>
      </c>
      <c r="M438">
        <v>1200</v>
      </c>
      <c r="N438">
        <v>0</v>
      </c>
    </row>
    <row r="439" spans="1:14" x14ac:dyDescent="0.25">
      <c r="A439">
        <v>324.16253899999998</v>
      </c>
      <c r="B439" s="1">
        <f>DATE(2011,3,21) + TIME(3,54,3)</f>
        <v>40623.162534722222</v>
      </c>
      <c r="C439">
        <v>80</v>
      </c>
      <c r="D439">
        <v>54.369571686</v>
      </c>
      <c r="E439">
        <v>50</v>
      </c>
      <c r="F439">
        <v>49.777751922999997</v>
      </c>
      <c r="G439">
        <v>1298.1434326000001</v>
      </c>
      <c r="H439">
        <v>1278.8455810999999</v>
      </c>
      <c r="I439">
        <v>1342.1865233999999</v>
      </c>
      <c r="J439">
        <v>1338.432251</v>
      </c>
      <c r="K439">
        <v>0</v>
      </c>
      <c r="L439">
        <v>1200</v>
      </c>
      <c r="M439">
        <v>1200</v>
      </c>
      <c r="N439">
        <v>0</v>
      </c>
    </row>
    <row r="440" spans="1:14" x14ac:dyDescent="0.25">
      <c r="A440">
        <v>327.19458900000001</v>
      </c>
      <c r="B440" s="1">
        <f>DATE(2011,3,24) + TIME(4,40,12)</f>
        <v>40626.19458333333</v>
      </c>
      <c r="C440">
        <v>80</v>
      </c>
      <c r="D440">
        <v>53.740695952999999</v>
      </c>
      <c r="E440">
        <v>50</v>
      </c>
      <c r="F440">
        <v>49.779178619</v>
      </c>
      <c r="G440">
        <v>1297.7899170000001</v>
      </c>
      <c r="H440">
        <v>1278.2124022999999</v>
      </c>
      <c r="I440">
        <v>1342.1813964999999</v>
      </c>
      <c r="J440">
        <v>1338.4279785000001</v>
      </c>
      <c r="K440">
        <v>0</v>
      </c>
      <c r="L440">
        <v>1200</v>
      </c>
      <c r="M440">
        <v>1200</v>
      </c>
      <c r="N440">
        <v>0</v>
      </c>
    </row>
    <row r="441" spans="1:14" x14ac:dyDescent="0.25">
      <c r="A441">
        <v>330.26755500000002</v>
      </c>
      <c r="B441" s="1">
        <f>DATE(2011,3,27) + TIME(6,25,16)</f>
        <v>40629.267546296294</v>
      </c>
      <c r="C441">
        <v>80</v>
      </c>
      <c r="D441">
        <v>53.097473145000002</v>
      </c>
      <c r="E441">
        <v>50</v>
      </c>
      <c r="F441">
        <v>49.780597686999997</v>
      </c>
      <c r="G441">
        <v>1297.4348144999999</v>
      </c>
      <c r="H441">
        <v>1277.5706786999999</v>
      </c>
      <c r="I441">
        <v>1342.1762695</v>
      </c>
      <c r="J441">
        <v>1338.4240723</v>
      </c>
      <c r="K441">
        <v>0</v>
      </c>
      <c r="L441">
        <v>1200</v>
      </c>
      <c r="M441">
        <v>1200</v>
      </c>
      <c r="N441">
        <v>0</v>
      </c>
    </row>
    <row r="442" spans="1:14" x14ac:dyDescent="0.25">
      <c r="A442">
        <v>333.38533699999999</v>
      </c>
      <c r="B442" s="1">
        <f>DATE(2011,3,30) + TIME(9,14,53)</f>
        <v>40632.385335648149</v>
      </c>
      <c r="C442">
        <v>80</v>
      </c>
      <c r="D442">
        <v>52.440750121999997</v>
      </c>
      <c r="E442">
        <v>50</v>
      </c>
      <c r="F442">
        <v>49.782005310000002</v>
      </c>
      <c r="G442">
        <v>1297.0793457</v>
      </c>
      <c r="H442">
        <v>1276.9216309000001</v>
      </c>
      <c r="I442">
        <v>1342.1713867000001</v>
      </c>
      <c r="J442">
        <v>1338.4202881000001</v>
      </c>
      <c r="K442">
        <v>0</v>
      </c>
      <c r="L442">
        <v>1200</v>
      </c>
      <c r="M442">
        <v>1200</v>
      </c>
      <c r="N442">
        <v>0</v>
      </c>
    </row>
    <row r="443" spans="1:14" x14ac:dyDescent="0.25">
      <c r="A443">
        <v>335</v>
      </c>
      <c r="B443" s="1">
        <f>DATE(2011,4,1) + TIME(0,0,0)</f>
        <v>40634</v>
      </c>
      <c r="C443">
        <v>80</v>
      </c>
      <c r="D443">
        <v>51.970893859999997</v>
      </c>
      <c r="E443">
        <v>50</v>
      </c>
      <c r="F443">
        <v>49.782711028999998</v>
      </c>
      <c r="G443">
        <v>1296.7310791</v>
      </c>
      <c r="H443">
        <v>1276.3507079999999</v>
      </c>
      <c r="I443">
        <v>1342.1645507999999</v>
      </c>
      <c r="J443">
        <v>1338.4147949000001</v>
      </c>
      <c r="K443">
        <v>0</v>
      </c>
      <c r="L443">
        <v>1200</v>
      </c>
      <c r="M443">
        <v>1200</v>
      </c>
      <c r="N443">
        <v>0</v>
      </c>
    </row>
    <row r="444" spans="1:14" x14ac:dyDescent="0.25">
      <c r="A444">
        <v>338.17406799999998</v>
      </c>
      <c r="B444" s="1">
        <f>DATE(2011,4,4) + TIME(4,10,39)</f>
        <v>40637.174062500002</v>
      </c>
      <c r="C444">
        <v>80</v>
      </c>
      <c r="D444">
        <v>51.368637085000003</v>
      </c>
      <c r="E444">
        <v>50</v>
      </c>
      <c r="F444">
        <v>49.784111023000001</v>
      </c>
      <c r="G444">
        <v>1296.5332031</v>
      </c>
      <c r="H444">
        <v>1275.8892822</v>
      </c>
      <c r="I444">
        <v>1342.1645507999999</v>
      </c>
      <c r="J444">
        <v>1338.4154053</v>
      </c>
      <c r="K444">
        <v>0</v>
      </c>
      <c r="L444">
        <v>1200</v>
      </c>
      <c r="M444">
        <v>1200</v>
      </c>
      <c r="N444">
        <v>0</v>
      </c>
    </row>
    <row r="445" spans="1:14" x14ac:dyDescent="0.25">
      <c r="A445">
        <v>341.447181</v>
      </c>
      <c r="B445" s="1">
        <f>DATE(2011,4,7) + TIME(10,43,56)</f>
        <v>40640.447175925925</v>
      </c>
      <c r="C445">
        <v>80</v>
      </c>
      <c r="D445">
        <v>50.712539673000002</v>
      </c>
      <c r="E445">
        <v>50</v>
      </c>
      <c r="F445">
        <v>49.785522460999999</v>
      </c>
      <c r="G445">
        <v>1296.1862793</v>
      </c>
      <c r="H445">
        <v>1275.2495117000001</v>
      </c>
      <c r="I445">
        <v>1342.1597899999999</v>
      </c>
      <c r="J445">
        <v>1338.4119873</v>
      </c>
      <c r="K445">
        <v>0</v>
      </c>
      <c r="L445">
        <v>1200</v>
      </c>
      <c r="M445">
        <v>1200</v>
      </c>
      <c r="N445">
        <v>0</v>
      </c>
    </row>
    <row r="446" spans="1:14" x14ac:dyDescent="0.25">
      <c r="A446">
        <v>344.77871699999997</v>
      </c>
      <c r="B446" s="1">
        <f>DATE(2011,4,10) + TIME(18,41,21)</f>
        <v>40643.778715277775</v>
      </c>
      <c r="C446">
        <v>80</v>
      </c>
      <c r="D446">
        <v>50.025871277</v>
      </c>
      <c r="E446">
        <v>50</v>
      </c>
      <c r="F446">
        <v>49.786922455000003</v>
      </c>
      <c r="G446">
        <v>1295.833374</v>
      </c>
      <c r="H446">
        <v>1274.5870361</v>
      </c>
      <c r="I446">
        <v>1342.1550293</v>
      </c>
      <c r="J446">
        <v>1338.4088135</v>
      </c>
      <c r="K446">
        <v>0</v>
      </c>
      <c r="L446">
        <v>1200</v>
      </c>
      <c r="M446">
        <v>1200</v>
      </c>
      <c r="N446">
        <v>0</v>
      </c>
    </row>
    <row r="447" spans="1:14" x14ac:dyDescent="0.25">
      <c r="A447">
        <v>348.18076200000002</v>
      </c>
      <c r="B447" s="1">
        <f>DATE(2011,4,14) + TIME(4,20,17)</f>
        <v>40647.180752314816</v>
      </c>
      <c r="C447">
        <v>80</v>
      </c>
      <c r="D447">
        <v>49.320152282999999</v>
      </c>
      <c r="E447">
        <v>50</v>
      </c>
      <c r="F447">
        <v>49.788326263000002</v>
      </c>
      <c r="G447">
        <v>1295.4813231999999</v>
      </c>
      <c r="H447">
        <v>1273.9146728999999</v>
      </c>
      <c r="I447">
        <v>1342.1503906</v>
      </c>
      <c r="J447">
        <v>1338.4057617000001</v>
      </c>
      <c r="K447">
        <v>0</v>
      </c>
      <c r="L447">
        <v>1200</v>
      </c>
      <c r="M447">
        <v>1200</v>
      </c>
      <c r="N447">
        <v>0</v>
      </c>
    </row>
    <row r="448" spans="1:14" x14ac:dyDescent="0.25">
      <c r="A448">
        <v>351.64316200000002</v>
      </c>
      <c r="B448" s="1">
        <f>DATE(2011,4,17) + TIME(15,26,9)</f>
        <v>40650.643159722225</v>
      </c>
      <c r="C448">
        <v>80</v>
      </c>
      <c r="D448">
        <v>48.602878570999998</v>
      </c>
      <c r="E448">
        <v>50</v>
      </c>
      <c r="F448">
        <v>49.789718628000003</v>
      </c>
      <c r="G448">
        <v>1295.1311035000001</v>
      </c>
      <c r="H448">
        <v>1273.2370605000001</v>
      </c>
      <c r="I448">
        <v>1342.145874</v>
      </c>
      <c r="J448">
        <v>1338.4029541</v>
      </c>
      <c r="K448">
        <v>0</v>
      </c>
      <c r="L448">
        <v>1200</v>
      </c>
      <c r="M448">
        <v>1200</v>
      </c>
      <c r="N448">
        <v>0</v>
      </c>
    </row>
    <row r="449" spans="1:14" x14ac:dyDescent="0.25">
      <c r="A449">
        <v>355.160437</v>
      </c>
      <c r="B449" s="1">
        <f>DATE(2011,4,21) + TIME(3,51,1)</f>
        <v>40654.160428240742</v>
      </c>
      <c r="C449">
        <v>80</v>
      </c>
      <c r="D449">
        <v>47.879623412999997</v>
      </c>
      <c r="E449">
        <v>50</v>
      </c>
      <c r="F449">
        <v>49.791107177999997</v>
      </c>
      <c r="G449">
        <v>1294.7854004000001</v>
      </c>
      <c r="H449">
        <v>1272.5592041</v>
      </c>
      <c r="I449">
        <v>1342.1414795000001</v>
      </c>
      <c r="J449">
        <v>1338.4001464999999</v>
      </c>
      <c r="K449">
        <v>0</v>
      </c>
      <c r="L449">
        <v>1200</v>
      </c>
      <c r="M449">
        <v>1200</v>
      </c>
      <c r="N449">
        <v>0</v>
      </c>
    </row>
    <row r="450" spans="1:14" x14ac:dyDescent="0.25">
      <c r="A450">
        <v>358.75711100000001</v>
      </c>
      <c r="B450" s="1">
        <f>DATE(2011,4,24) + TIME(18,10,14)</f>
        <v>40657.757106481484</v>
      </c>
      <c r="C450">
        <v>80</v>
      </c>
      <c r="D450">
        <v>47.152618408000002</v>
      </c>
      <c r="E450">
        <v>50</v>
      </c>
      <c r="F450">
        <v>49.792495727999999</v>
      </c>
      <c r="G450">
        <v>1294.4462891000001</v>
      </c>
      <c r="H450">
        <v>1271.8846435999999</v>
      </c>
      <c r="I450">
        <v>1342.1370850000001</v>
      </c>
      <c r="J450">
        <v>1338.3975829999999</v>
      </c>
      <c r="K450">
        <v>0</v>
      </c>
      <c r="L450">
        <v>1200</v>
      </c>
      <c r="M450">
        <v>1200</v>
      </c>
      <c r="N450">
        <v>0</v>
      </c>
    </row>
    <row r="451" spans="1:14" x14ac:dyDescent="0.25">
      <c r="A451">
        <v>362.47267199999999</v>
      </c>
      <c r="B451" s="1">
        <f>DATE(2011,4,28) + TIME(11,20,38)</f>
        <v>40661.472662037035</v>
      </c>
      <c r="C451">
        <v>80</v>
      </c>
      <c r="D451">
        <v>46.420711517000001</v>
      </c>
      <c r="E451">
        <v>50</v>
      </c>
      <c r="F451">
        <v>49.793903350999997</v>
      </c>
      <c r="G451">
        <v>1294.1132812000001</v>
      </c>
      <c r="H451">
        <v>1271.2122803</v>
      </c>
      <c r="I451">
        <v>1342.1326904</v>
      </c>
      <c r="J451">
        <v>1338.3950195</v>
      </c>
      <c r="K451">
        <v>0</v>
      </c>
      <c r="L451">
        <v>1200</v>
      </c>
      <c r="M451">
        <v>1200</v>
      </c>
      <c r="N451">
        <v>0</v>
      </c>
    </row>
    <row r="452" spans="1:14" x14ac:dyDescent="0.25">
      <c r="A452">
        <v>365</v>
      </c>
      <c r="B452" s="1">
        <f>DATE(2011,5,1) + TIME(0,0,0)</f>
        <v>40664</v>
      </c>
      <c r="C452">
        <v>80</v>
      </c>
      <c r="D452">
        <v>45.808162689</v>
      </c>
      <c r="E452">
        <v>50</v>
      </c>
      <c r="F452">
        <v>49.794822693</v>
      </c>
      <c r="G452">
        <v>1293.7866211</v>
      </c>
      <c r="H452">
        <v>1270.5970459</v>
      </c>
      <c r="I452">
        <v>1342.1271973</v>
      </c>
      <c r="J452">
        <v>1338.3916016000001</v>
      </c>
      <c r="K452">
        <v>0</v>
      </c>
      <c r="L452">
        <v>1200</v>
      </c>
      <c r="M452">
        <v>1200</v>
      </c>
      <c r="N452">
        <v>0</v>
      </c>
    </row>
    <row r="453" spans="1:14" x14ac:dyDescent="0.25">
      <c r="A453">
        <v>365.000001</v>
      </c>
      <c r="B453" s="1">
        <f>DATE(2011,5,1) + TIME(0,0,0)</f>
        <v>40664</v>
      </c>
      <c r="C453">
        <v>80</v>
      </c>
      <c r="D453">
        <v>45.808212279999999</v>
      </c>
      <c r="E453">
        <v>50</v>
      </c>
      <c r="F453">
        <v>49.794788361000002</v>
      </c>
      <c r="G453">
        <v>1317.9423827999999</v>
      </c>
      <c r="H453">
        <v>1294.0970459</v>
      </c>
      <c r="I453">
        <v>1338.1107178</v>
      </c>
      <c r="J453">
        <v>1335.1655272999999</v>
      </c>
      <c r="K453">
        <v>1200</v>
      </c>
      <c r="L453">
        <v>0</v>
      </c>
      <c r="M453">
        <v>0</v>
      </c>
      <c r="N453">
        <v>1200</v>
      </c>
    </row>
    <row r="454" spans="1:14" x14ac:dyDescent="0.25">
      <c r="A454">
        <v>365.00000399999999</v>
      </c>
      <c r="B454" s="1">
        <f>DATE(2011,5,1) + TIME(0,0,0)</f>
        <v>40664</v>
      </c>
      <c r="C454">
        <v>80</v>
      </c>
      <c r="D454">
        <v>45.808364867999998</v>
      </c>
      <c r="E454">
        <v>50</v>
      </c>
      <c r="F454">
        <v>49.794692992999998</v>
      </c>
      <c r="G454">
        <v>1318.7717285000001</v>
      </c>
      <c r="H454">
        <v>1294.9833983999999</v>
      </c>
      <c r="I454">
        <v>1337.3500977000001</v>
      </c>
      <c r="J454">
        <v>1334.4034423999999</v>
      </c>
      <c r="K454">
        <v>1200</v>
      </c>
      <c r="L454">
        <v>0</v>
      </c>
      <c r="M454">
        <v>0</v>
      </c>
      <c r="N454">
        <v>1200</v>
      </c>
    </row>
    <row r="455" spans="1:14" x14ac:dyDescent="0.25">
      <c r="A455">
        <v>365.00001300000002</v>
      </c>
      <c r="B455" s="1">
        <f>DATE(2011,5,1) + TIME(0,0,1)</f>
        <v>40664.000011574077</v>
      </c>
      <c r="C455">
        <v>80</v>
      </c>
      <c r="D455">
        <v>45.808776854999998</v>
      </c>
      <c r="E455">
        <v>50</v>
      </c>
      <c r="F455">
        <v>49.794471741000002</v>
      </c>
      <c r="G455">
        <v>1320.9698486</v>
      </c>
      <c r="H455">
        <v>1297.3127440999999</v>
      </c>
      <c r="I455">
        <v>1335.5977783000001</v>
      </c>
      <c r="J455">
        <v>1332.6494141000001</v>
      </c>
      <c r="K455">
        <v>1200</v>
      </c>
      <c r="L455">
        <v>0</v>
      </c>
      <c r="M455">
        <v>0</v>
      </c>
      <c r="N455">
        <v>1200</v>
      </c>
    </row>
    <row r="456" spans="1:14" x14ac:dyDescent="0.25">
      <c r="A456">
        <v>365.00004000000001</v>
      </c>
      <c r="B456" s="1">
        <f>DATE(2011,5,1) + TIME(0,0,3)</f>
        <v>40664.000034722223</v>
      </c>
      <c r="C456">
        <v>80</v>
      </c>
      <c r="D456">
        <v>45.809791564999998</v>
      </c>
      <c r="E456">
        <v>50</v>
      </c>
      <c r="F456">
        <v>49.794094086000001</v>
      </c>
      <c r="G456">
        <v>1325.8962402</v>
      </c>
      <c r="H456">
        <v>1302.4440918</v>
      </c>
      <c r="I456">
        <v>1332.625</v>
      </c>
      <c r="J456">
        <v>1329.6770019999999</v>
      </c>
      <c r="K456">
        <v>1200</v>
      </c>
      <c r="L456">
        <v>0</v>
      </c>
      <c r="M456">
        <v>0</v>
      </c>
      <c r="N456">
        <v>1200</v>
      </c>
    </row>
    <row r="457" spans="1:14" x14ac:dyDescent="0.25">
      <c r="A457">
        <v>365.00012099999998</v>
      </c>
      <c r="B457" s="1">
        <f>DATE(2011,5,1) + TIME(0,0,10)</f>
        <v>40664.000115740739</v>
      </c>
      <c r="C457">
        <v>80</v>
      </c>
      <c r="D457">
        <v>45.811992644999997</v>
      </c>
      <c r="E457">
        <v>50</v>
      </c>
      <c r="F457">
        <v>49.793636321999998</v>
      </c>
      <c r="G457">
        <v>1334.3778076000001</v>
      </c>
      <c r="H457">
        <v>1311.0810547000001</v>
      </c>
      <c r="I457">
        <v>1329.1622314000001</v>
      </c>
      <c r="J457">
        <v>1326.2247314000001</v>
      </c>
      <c r="K457">
        <v>1200</v>
      </c>
      <c r="L457">
        <v>0</v>
      </c>
      <c r="M457">
        <v>0</v>
      </c>
      <c r="N457">
        <v>1200</v>
      </c>
    </row>
    <row r="458" spans="1:14" x14ac:dyDescent="0.25">
      <c r="A458">
        <v>365.00036399999999</v>
      </c>
      <c r="B458" s="1">
        <f>DATE(2011,5,1) + TIME(0,0,31)</f>
        <v>40664.000358796293</v>
      </c>
      <c r="C458">
        <v>80</v>
      </c>
      <c r="D458">
        <v>45.816780090000002</v>
      </c>
      <c r="E458">
        <v>50</v>
      </c>
      <c r="F458">
        <v>49.793148041000002</v>
      </c>
      <c r="G458">
        <v>1345.5921631000001</v>
      </c>
      <c r="H458">
        <v>1322.3227539</v>
      </c>
      <c r="I458">
        <v>1325.9376221</v>
      </c>
      <c r="J458">
        <v>1323.0035399999999</v>
      </c>
      <c r="K458">
        <v>1200</v>
      </c>
      <c r="L458">
        <v>0</v>
      </c>
      <c r="M458">
        <v>0</v>
      </c>
      <c r="N458">
        <v>1200</v>
      </c>
    </row>
    <row r="459" spans="1:14" x14ac:dyDescent="0.25">
      <c r="A459">
        <v>365.00109300000003</v>
      </c>
      <c r="B459" s="1">
        <f>DATE(2011,5,1) + TIME(0,1,34)</f>
        <v>40664.001087962963</v>
      </c>
      <c r="C459">
        <v>80</v>
      </c>
      <c r="D459">
        <v>45.828548431000002</v>
      </c>
      <c r="E459">
        <v>50</v>
      </c>
      <c r="F459">
        <v>49.792499542000002</v>
      </c>
      <c r="G459">
        <v>1358.2058105000001</v>
      </c>
      <c r="H459">
        <v>1334.8883057</v>
      </c>
      <c r="I459">
        <v>1322.7991943</v>
      </c>
      <c r="J459">
        <v>1319.8508300999999</v>
      </c>
      <c r="K459">
        <v>1200</v>
      </c>
      <c r="L459">
        <v>0</v>
      </c>
      <c r="M459">
        <v>0</v>
      </c>
      <c r="N459">
        <v>1200</v>
      </c>
    </row>
    <row r="460" spans="1:14" x14ac:dyDescent="0.25">
      <c r="A460">
        <v>365.00328000000002</v>
      </c>
      <c r="B460" s="1">
        <f>DATE(2011,5,1) + TIME(0,4,43)</f>
        <v>40664.003275462965</v>
      </c>
      <c r="C460">
        <v>80</v>
      </c>
      <c r="D460">
        <v>45.860858917000002</v>
      </c>
      <c r="E460">
        <v>50</v>
      </c>
      <c r="F460">
        <v>49.791370391999997</v>
      </c>
      <c r="G460">
        <v>1370.7818603999999</v>
      </c>
      <c r="H460">
        <v>1347.3669434000001</v>
      </c>
      <c r="I460">
        <v>1320.0979004000001</v>
      </c>
      <c r="J460">
        <v>1317.109375</v>
      </c>
      <c r="K460">
        <v>1200</v>
      </c>
      <c r="L460">
        <v>0</v>
      </c>
      <c r="M460">
        <v>0</v>
      </c>
      <c r="N460">
        <v>1200</v>
      </c>
    </row>
    <row r="461" spans="1:14" x14ac:dyDescent="0.25">
      <c r="A461">
        <v>365.00984099999999</v>
      </c>
      <c r="B461" s="1">
        <f>DATE(2011,5,1) + TIME(0,14,10)</f>
        <v>40664.009837962964</v>
      </c>
      <c r="C461">
        <v>80</v>
      </c>
      <c r="D461">
        <v>45.954643249999997</v>
      </c>
      <c r="E461">
        <v>50</v>
      </c>
      <c r="F461">
        <v>49.788902282999999</v>
      </c>
      <c r="G461">
        <v>1380.7597656</v>
      </c>
      <c r="H461">
        <v>1357.2513428</v>
      </c>
      <c r="I461">
        <v>1319.4110106999999</v>
      </c>
      <c r="J461">
        <v>1316.3806152</v>
      </c>
      <c r="K461">
        <v>1200</v>
      </c>
      <c r="L461">
        <v>0</v>
      </c>
      <c r="M461">
        <v>0</v>
      </c>
      <c r="N461">
        <v>1200</v>
      </c>
    </row>
    <row r="462" spans="1:14" x14ac:dyDescent="0.25">
      <c r="A462">
        <v>365.02952399999998</v>
      </c>
      <c r="B462" s="1">
        <f>DATE(2011,5,1) + TIME(0,42,30)</f>
        <v>40664.029513888891</v>
      </c>
      <c r="C462">
        <v>80</v>
      </c>
      <c r="D462">
        <v>46.231685638000002</v>
      </c>
      <c r="E462">
        <v>50</v>
      </c>
      <c r="F462">
        <v>49.781982421999999</v>
      </c>
      <c r="G462">
        <v>1386.5911865</v>
      </c>
      <c r="H462">
        <v>1363.1195068</v>
      </c>
      <c r="I462">
        <v>1320.8065185999999</v>
      </c>
      <c r="J462">
        <v>1317.7604980000001</v>
      </c>
      <c r="K462">
        <v>1200</v>
      </c>
      <c r="L462">
        <v>0</v>
      </c>
      <c r="M462">
        <v>0</v>
      </c>
      <c r="N462">
        <v>1200</v>
      </c>
    </row>
    <row r="463" spans="1:14" x14ac:dyDescent="0.25">
      <c r="A463">
        <v>365.088573</v>
      </c>
      <c r="B463" s="1">
        <f>DATE(2011,5,1) + TIME(2,7,32)</f>
        <v>40664.088564814818</v>
      </c>
      <c r="C463">
        <v>80</v>
      </c>
      <c r="D463">
        <v>47.04202652</v>
      </c>
      <c r="E463">
        <v>50</v>
      </c>
      <c r="F463">
        <v>49.761310577000003</v>
      </c>
      <c r="G463">
        <v>1389.1282959</v>
      </c>
      <c r="H463">
        <v>1365.9555664</v>
      </c>
      <c r="I463">
        <v>1322.5537108999999</v>
      </c>
      <c r="J463">
        <v>1319.5057373</v>
      </c>
      <c r="K463">
        <v>1200</v>
      </c>
      <c r="L463">
        <v>0</v>
      </c>
      <c r="M463">
        <v>0</v>
      </c>
      <c r="N463">
        <v>1200</v>
      </c>
    </row>
    <row r="464" spans="1:14" x14ac:dyDescent="0.25">
      <c r="A464">
        <v>365.15669000000003</v>
      </c>
      <c r="B464" s="1">
        <f>DATE(2011,5,1) + TIME(3,45,38)</f>
        <v>40664.156689814816</v>
      </c>
      <c r="C464">
        <v>80</v>
      </c>
      <c r="D464">
        <v>47.952243805000002</v>
      </c>
      <c r="E464">
        <v>50</v>
      </c>
      <c r="F464">
        <v>49.737617493000002</v>
      </c>
      <c r="G464">
        <v>1389.6872559000001</v>
      </c>
      <c r="H464">
        <v>1366.8404541</v>
      </c>
      <c r="I464">
        <v>1323.3579102000001</v>
      </c>
      <c r="J464">
        <v>1320.3094481999999</v>
      </c>
      <c r="K464">
        <v>1200</v>
      </c>
      <c r="L464">
        <v>0</v>
      </c>
      <c r="M464">
        <v>0</v>
      </c>
      <c r="N464">
        <v>1200</v>
      </c>
    </row>
    <row r="465" spans="1:14" x14ac:dyDescent="0.25">
      <c r="A465">
        <v>365.22614600000003</v>
      </c>
      <c r="B465" s="1">
        <f>DATE(2011,5,1) + TIME(5,25,39)</f>
        <v>40664.226145833331</v>
      </c>
      <c r="C465">
        <v>80</v>
      </c>
      <c r="D465">
        <v>48.855804442999997</v>
      </c>
      <c r="E465">
        <v>50</v>
      </c>
      <c r="F465">
        <v>49.713661193999997</v>
      </c>
      <c r="G465">
        <v>1389.7161865</v>
      </c>
      <c r="H465">
        <v>1367.1813964999999</v>
      </c>
      <c r="I465">
        <v>1323.7609863</v>
      </c>
      <c r="J465">
        <v>1320.7119141000001</v>
      </c>
      <c r="K465">
        <v>1200</v>
      </c>
      <c r="L465">
        <v>0</v>
      </c>
      <c r="M465">
        <v>0</v>
      </c>
      <c r="N465">
        <v>1200</v>
      </c>
    </row>
    <row r="466" spans="1:14" x14ac:dyDescent="0.25">
      <c r="A466">
        <v>365.29694599999999</v>
      </c>
      <c r="B466" s="1">
        <f>DATE(2011,5,1) + TIME(7,7,36)</f>
        <v>40664.296944444446</v>
      </c>
      <c r="C466">
        <v>80</v>
      </c>
      <c r="D466">
        <v>49.751979828000003</v>
      </c>
      <c r="E466">
        <v>50</v>
      </c>
      <c r="F466">
        <v>49.689479828000003</v>
      </c>
      <c r="G466">
        <v>1389.5538329999999</v>
      </c>
      <c r="H466">
        <v>1367.3198242000001</v>
      </c>
      <c r="I466">
        <v>1323.9887695</v>
      </c>
      <c r="J466">
        <v>1320.9390868999999</v>
      </c>
      <c r="K466">
        <v>1200</v>
      </c>
      <c r="L466">
        <v>0</v>
      </c>
      <c r="M466">
        <v>0</v>
      </c>
      <c r="N466">
        <v>1200</v>
      </c>
    </row>
    <row r="467" spans="1:14" x14ac:dyDescent="0.25">
      <c r="A467">
        <v>365.36914999999999</v>
      </c>
      <c r="B467" s="1">
        <f>DATE(2011,5,1) + TIME(8,51,34)</f>
        <v>40664.369143518517</v>
      </c>
      <c r="C467">
        <v>80</v>
      </c>
      <c r="D467">
        <v>50.640407562</v>
      </c>
      <c r="E467">
        <v>50</v>
      </c>
      <c r="F467">
        <v>49.665061950999998</v>
      </c>
      <c r="G467">
        <v>1389.3041992000001</v>
      </c>
      <c r="H467">
        <v>1367.3598632999999</v>
      </c>
      <c r="I467">
        <v>1324.1241454999999</v>
      </c>
      <c r="J467">
        <v>1321.0738524999999</v>
      </c>
      <c r="K467">
        <v>1200</v>
      </c>
      <c r="L467">
        <v>0</v>
      </c>
      <c r="M467">
        <v>0</v>
      </c>
      <c r="N467">
        <v>1200</v>
      </c>
    </row>
    <row r="468" spans="1:14" x14ac:dyDescent="0.25">
      <c r="A468">
        <v>365.44282600000003</v>
      </c>
      <c r="B468" s="1">
        <f>DATE(2011,5,1) + TIME(10,37,40)</f>
        <v>40664.442824074074</v>
      </c>
      <c r="C468">
        <v>80</v>
      </c>
      <c r="D468">
        <v>51.521236420000001</v>
      </c>
      <c r="E468">
        <v>50</v>
      </c>
      <c r="F468">
        <v>49.640407562</v>
      </c>
      <c r="G468">
        <v>1389.0111084</v>
      </c>
      <c r="H468">
        <v>1367.3458252</v>
      </c>
      <c r="I468">
        <v>1324.2059326000001</v>
      </c>
      <c r="J468">
        <v>1321.1547852000001</v>
      </c>
      <c r="K468">
        <v>1200</v>
      </c>
      <c r="L468">
        <v>0</v>
      </c>
      <c r="M468">
        <v>0</v>
      </c>
      <c r="N468">
        <v>1200</v>
      </c>
    </row>
    <row r="469" spans="1:14" x14ac:dyDescent="0.25">
      <c r="A469">
        <v>365.51804700000002</v>
      </c>
      <c r="B469" s="1">
        <f>DATE(2011,5,1) + TIME(12,25,59)</f>
        <v>40664.518043981479</v>
      </c>
      <c r="C469">
        <v>80</v>
      </c>
      <c r="D469">
        <v>52.394550322999997</v>
      </c>
      <c r="E469">
        <v>50</v>
      </c>
      <c r="F469">
        <v>49.615497589</v>
      </c>
      <c r="G469">
        <v>1388.6971435999999</v>
      </c>
      <c r="H469">
        <v>1367.3009033000001</v>
      </c>
      <c r="I469">
        <v>1324.2554932</v>
      </c>
      <c r="J469">
        <v>1321.2036132999999</v>
      </c>
      <c r="K469">
        <v>1200</v>
      </c>
      <c r="L469">
        <v>0</v>
      </c>
      <c r="M469">
        <v>0</v>
      </c>
      <c r="N469">
        <v>1200</v>
      </c>
    </row>
    <row r="470" spans="1:14" x14ac:dyDescent="0.25">
      <c r="A470">
        <v>365.59489300000001</v>
      </c>
      <c r="B470" s="1">
        <f>DATE(2011,5,1) + TIME(14,16,38)</f>
        <v>40664.594884259262</v>
      </c>
      <c r="C470">
        <v>80</v>
      </c>
      <c r="D470">
        <v>53.260318755999997</v>
      </c>
      <c r="E470">
        <v>50</v>
      </c>
      <c r="F470">
        <v>49.590320587000001</v>
      </c>
      <c r="G470">
        <v>1388.3753661999999</v>
      </c>
      <c r="H470">
        <v>1367.2385254000001</v>
      </c>
      <c r="I470">
        <v>1324.2855225000001</v>
      </c>
      <c r="J470">
        <v>1321.2327881000001</v>
      </c>
      <c r="K470">
        <v>1200</v>
      </c>
      <c r="L470">
        <v>0</v>
      </c>
      <c r="M470">
        <v>0</v>
      </c>
      <c r="N470">
        <v>1200</v>
      </c>
    </row>
    <row r="471" spans="1:14" x14ac:dyDescent="0.25">
      <c r="A471">
        <v>365.67344800000001</v>
      </c>
      <c r="B471" s="1">
        <f>DATE(2011,5,1) + TIME(16,9,45)</f>
        <v>40664.673437500001</v>
      </c>
      <c r="C471">
        <v>80</v>
      </c>
      <c r="D471">
        <v>54.118492126</v>
      </c>
      <c r="E471">
        <v>50</v>
      </c>
      <c r="F471">
        <v>49.564861297999997</v>
      </c>
      <c r="G471">
        <v>1388.0533447</v>
      </c>
      <c r="H471">
        <v>1367.1665039</v>
      </c>
      <c r="I471">
        <v>1324.3037108999999</v>
      </c>
      <c r="J471">
        <v>1321.2501221</v>
      </c>
      <c r="K471">
        <v>1200</v>
      </c>
      <c r="L471">
        <v>0</v>
      </c>
      <c r="M471">
        <v>0</v>
      </c>
      <c r="N471">
        <v>1200</v>
      </c>
    </row>
    <row r="472" spans="1:14" x14ac:dyDescent="0.25">
      <c r="A472">
        <v>365.75380200000001</v>
      </c>
      <c r="B472" s="1">
        <f>DATE(2011,5,1) + TIME(18,5,28)</f>
        <v>40664.753796296296</v>
      </c>
      <c r="C472">
        <v>80</v>
      </c>
      <c r="D472">
        <v>54.969001769999998</v>
      </c>
      <c r="E472">
        <v>50</v>
      </c>
      <c r="F472">
        <v>49.539100646999998</v>
      </c>
      <c r="G472">
        <v>1387.7355957</v>
      </c>
      <c r="H472">
        <v>1367.0898437999999</v>
      </c>
      <c r="I472">
        <v>1324.3145752</v>
      </c>
      <c r="J472">
        <v>1321.2602539</v>
      </c>
      <c r="K472">
        <v>1200</v>
      </c>
      <c r="L472">
        <v>0</v>
      </c>
      <c r="M472">
        <v>0</v>
      </c>
      <c r="N472">
        <v>1200</v>
      </c>
    </row>
    <row r="473" spans="1:14" x14ac:dyDescent="0.25">
      <c r="A473">
        <v>365.83604700000001</v>
      </c>
      <c r="B473" s="1">
        <f>DATE(2011,5,1) + TIME(20,3,54)</f>
        <v>40664.836041666669</v>
      </c>
      <c r="C473">
        <v>80</v>
      </c>
      <c r="D473">
        <v>55.811733246000003</v>
      </c>
      <c r="E473">
        <v>50</v>
      </c>
      <c r="F473">
        <v>49.513023376</v>
      </c>
      <c r="G473">
        <v>1387.4243164</v>
      </c>
      <c r="H473">
        <v>1367.0112305</v>
      </c>
      <c r="I473">
        <v>1324.3211670000001</v>
      </c>
      <c r="J473">
        <v>1321.2659911999999</v>
      </c>
      <c r="K473">
        <v>1200</v>
      </c>
      <c r="L473">
        <v>0</v>
      </c>
      <c r="M473">
        <v>0</v>
      </c>
      <c r="N473">
        <v>1200</v>
      </c>
    </row>
    <row r="474" spans="1:14" x14ac:dyDescent="0.25">
      <c r="A474">
        <v>365.920276</v>
      </c>
      <c r="B474" s="1">
        <f>DATE(2011,5,1) + TIME(22,5,11)</f>
        <v>40664.920266203706</v>
      </c>
      <c r="C474">
        <v>80</v>
      </c>
      <c r="D474">
        <v>56.646495819000002</v>
      </c>
      <c r="E474">
        <v>50</v>
      </c>
      <c r="F474">
        <v>49.486614226999997</v>
      </c>
      <c r="G474">
        <v>1387.1209716999999</v>
      </c>
      <c r="H474">
        <v>1366.932251</v>
      </c>
      <c r="I474">
        <v>1324.3251952999999</v>
      </c>
      <c r="J474">
        <v>1321.269043</v>
      </c>
      <c r="K474">
        <v>1200</v>
      </c>
      <c r="L474">
        <v>0</v>
      </c>
      <c r="M474">
        <v>0</v>
      </c>
      <c r="N474">
        <v>1200</v>
      </c>
    </row>
    <row r="475" spans="1:14" x14ac:dyDescent="0.25">
      <c r="A475">
        <v>366.00661500000001</v>
      </c>
      <c r="B475" s="1">
        <f>DATE(2011,5,2) + TIME(0,9,31)</f>
        <v>40665.006608796299</v>
      </c>
      <c r="C475">
        <v>80</v>
      </c>
      <c r="D475">
        <v>57.473320006999998</v>
      </c>
      <c r="E475">
        <v>50</v>
      </c>
      <c r="F475">
        <v>49.459846497000001</v>
      </c>
      <c r="G475">
        <v>1386.8260498</v>
      </c>
      <c r="H475">
        <v>1366.8540039</v>
      </c>
      <c r="I475">
        <v>1324.3275146000001</v>
      </c>
      <c r="J475">
        <v>1321.2705077999999</v>
      </c>
      <c r="K475">
        <v>1200</v>
      </c>
      <c r="L475">
        <v>0</v>
      </c>
      <c r="M475">
        <v>0</v>
      </c>
      <c r="N475">
        <v>1200</v>
      </c>
    </row>
    <row r="476" spans="1:14" x14ac:dyDescent="0.25">
      <c r="A476">
        <v>366.09518500000001</v>
      </c>
      <c r="B476" s="1">
        <f>DATE(2011,5,2) + TIME(2,17,3)</f>
        <v>40665.095173611109</v>
      </c>
      <c r="C476">
        <v>80</v>
      </c>
      <c r="D476">
        <v>58.292087555000002</v>
      </c>
      <c r="E476">
        <v>50</v>
      </c>
      <c r="F476">
        <v>49.432693481000001</v>
      </c>
      <c r="G476">
        <v>1386.5396728999999</v>
      </c>
      <c r="H476">
        <v>1366.7767334</v>
      </c>
      <c r="I476">
        <v>1324.3288574000001</v>
      </c>
      <c r="J476">
        <v>1321.270874</v>
      </c>
      <c r="K476">
        <v>1200</v>
      </c>
      <c r="L476">
        <v>0</v>
      </c>
      <c r="M476">
        <v>0</v>
      </c>
      <c r="N476">
        <v>1200</v>
      </c>
    </row>
    <row r="477" spans="1:14" x14ac:dyDescent="0.25">
      <c r="A477">
        <v>366.18611399999998</v>
      </c>
      <c r="B477" s="1">
        <f>DATE(2011,5,2) + TIME(4,28,0)</f>
        <v>40665.186111111114</v>
      </c>
      <c r="C477">
        <v>80</v>
      </c>
      <c r="D477">
        <v>59.102653502999999</v>
      </c>
      <c r="E477">
        <v>50</v>
      </c>
      <c r="F477">
        <v>49.405136108000001</v>
      </c>
      <c r="G477">
        <v>1386.2618408000001</v>
      </c>
      <c r="H477">
        <v>1366.7006836</v>
      </c>
      <c r="I477">
        <v>1324.3295897999999</v>
      </c>
      <c r="J477">
        <v>1321.2706298999999</v>
      </c>
      <c r="K477">
        <v>1200</v>
      </c>
      <c r="L477">
        <v>0</v>
      </c>
      <c r="M477">
        <v>0</v>
      </c>
      <c r="N477">
        <v>1200</v>
      </c>
    </row>
    <row r="478" spans="1:14" x14ac:dyDescent="0.25">
      <c r="A478">
        <v>366.27954399999999</v>
      </c>
      <c r="B478" s="1">
        <f>DATE(2011,5,2) + TIME(6,42,32)</f>
        <v>40665.279537037037</v>
      </c>
      <c r="C478">
        <v>80</v>
      </c>
      <c r="D478">
        <v>59.904869079999997</v>
      </c>
      <c r="E478">
        <v>50</v>
      </c>
      <c r="F478">
        <v>49.377151488999999</v>
      </c>
      <c r="G478">
        <v>1385.9923096</v>
      </c>
      <c r="H478">
        <v>1366.6260986</v>
      </c>
      <c r="I478">
        <v>1324.3298339999999</v>
      </c>
      <c r="J478">
        <v>1321.2700195</v>
      </c>
      <c r="K478">
        <v>1200</v>
      </c>
      <c r="L478">
        <v>0</v>
      </c>
      <c r="M478">
        <v>0</v>
      </c>
      <c r="N478">
        <v>1200</v>
      </c>
    </row>
    <row r="479" spans="1:14" x14ac:dyDescent="0.25">
      <c r="A479">
        <v>366.37562700000001</v>
      </c>
      <c r="B479" s="1">
        <f>DATE(2011,5,2) + TIME(9,0,54)</f>
        <v>40665.375625000001</v>
      </c>
      <c r="C479">
        <v>80</v>
      </c>
      <c r="D479">
        <v>60.698043822999999</v>
      </c>
      <c r="E479">
        <v>50</v>
      </c>
      <c r="F479">
        <v>49.348701476999999</v>
      </c>
      <c r="G479">
        <v>1385.7307129000001</v>
      </c>
      <c r="H479">
        <v>1366.5526123</v>
      </c>
      <c r="I479">
        <v>1324.3298339999999</v>
      </c>
      <c r="J479">
        <v>1321.2689209</v>
      </c>
      <c r="K479">
        <v>1200</v>
      </c>
      <c r="L479">
        <v>0</v>
      </c>
      <c r="M479">
        <v>0</v>
      </c>
      <c r="N479">
        <v>1200</v>
      </c>
    </row>
    <row r="480" spans="1:14" x14ac:dyDescent="0.25">
      <c r="A480">
        <v>366.47452700000002</v>
      </c>
      <c r="B480" s="1">
        <f>DATE(2011,5,2) + TIME(11,23,19)</f>
        <v>40665.47452546296</v>
      </c>
      <c r="C480">
        <v>80</v>
      </c>
      <c r="D480">
        <v>61.482402802000003</v>
      </c>
      <c r="E480">
        <v>50</v>
      </c>
      <c r="F480">
        <v>49.319766997999999</v>
      </c>
      <c r="G480">
        <v>1385.4768065999999</v>
      </c>
      <c r="H480">
        <v>1366.4804687999999</v>
      </c>
      <c r="I480">
        <v>1324.3295897999999</v>
      </c>
      <c r="J480">
        <v>1321.2677002</v>
      </c>
      <c r="K480">
        <v>1200</v>
      </c>
      <c r="L480">
        <v>0</v>
      </c>
      <c r="M480">
        <v>0</v>
      </c>
      <c r="N480">
        <v>1200</v>
      </c>
    </row>
    <row r="481" spans="1:14" x14ac:dyDescent="0.25">
      <c r="A481">
        <v>366.57642499999997</v>
      </c>
      <c r="B481" s="1">
        <f>DATE(2011,5,2) + TIME(13,50,3)</f>
        <v>40665.576423611114</v>
      </c>
      <c r="C481">
        <v>80</v>
      </c>
      <c r="D481">
        <v>62.257801055999998</v>
      </c>
      <c r="E481">
        <v>50</v>
      </c>
      <c r="F481">
        <v>49.290306090999998</v>
      </c>
      <c r="G481">
        <v>1385.2302245999999</v>
      </c>
      <c r="H481">
        <v>1366.4093018000001</v>
      </c>
      <c r="I481">
        <v>1324.3292236</v>
      </c>
      <c r="J481">
        <v>1321.2661132999999</v>
      </c>
      <c r="K481">
        <v>1200</v>
      </c>
      <c r="L481">
        <v>0</v>
      </c>
      <c r="M481">
        <v>0</v>
      </c>
      <c r="N481">
        <v>1200</v>
      </c>
    </row>
    <row r="482" spans="1:14" x14ac:dyDescent="0.25">
      <c r="A482">
        <v>366.68151799999998</v>
      </c>
      <c r="B482" s="1">
        <f>DATE(2011,5,2) + TIME(16,21,23)</f>
        <v>40665.681516203702</v>
      </c>
      <c r="C482">
        <v>80</v>
      </c>
      <c r="D482">
        <v>63.024005889999998</v>
      </c>
      <c r="E482">
        <v>50</v>
      </c>
      <c r="F482">
        <v>49.260288238999998</v>
      </c>
      <c r="G482">
        <v>1384.9904785000001</v>
      </c>
      <c r="H482">
        <v>1366.3392334</v>
      </c>
      <c r="I482">
        <v>1324.3286132999999</v>
      </c>
      <c r="J482">
        <v>1321.2645264</v>
      </c>
      <c r="K482">
        <v>1200</v>
      </c>
      <c r="L482">
        <v>0</v>
      </c>
      <c r="M482">
        <v>0</v>
      </c>
      <c r="N482">
        <v>1200</v>
      </c>
    </row>
    <row r="483" spans="1:14" x14ac:dyDescent="0.25">
      <c r="A483">
        <v>366.79002100000002</v>
      </c>
      <c r="B483" s="1">
        <f>DATE(2011,5,2) + TIME(18,57,37)</f>
        <v>40665.790011574078</v>
      </c>
      <c r="C483">
        <v>80</v>
      </c>
      <c r="D483">
        <v>63.780750275000003</v>
      </c>
      <c r="E483">
        <v>50</v>
      </c>
      <c r="F483">
        <v>49.229675293</v>
      </c>
      <c r="G483">
        <v>1384.7573242000001</v>
      </c>
      <c r="H483">
        <v>1366.2698975000001</v>
      </c>
      <c r="I483">
        <v>1324.3278809000001</v>
      </c>
      <c r="J483">
        <v>1321.2625731999999</v>
      </c>
      <c r="K483">
        <v>1200</v>
      </c>
      <c r="L483">
        <v>0</v>
      </c>
      <c r="M483">
        <v>0</v>
      </c>
      <c r="N483">
        <v>1200</v>
      </c>
    </row>
    <row r="484" spans="1:14" x14ac:dyDescent="0.25">
      <c r="A484">
        <v>366.902221</v>
      </c>
      <c r="B484" s="1">
        <f>DATE(2011,5,2) + TIME(21,39,11)</f>
        <v>40665.90221064815</v>
      </c>
      <c r="C484">
        <v>80</v>
      </c>
      <c r="D484">
        <v>64.528099060000002</v>
      </c>
      <c r="E484">
        <v>50</v>
      </c>
      <c r="F484">
        <v>49.198410033999998</v>
      </c>
      <c r="G484">
        <v>1384.5303954999999</v>
      </c>
      <c r="H484">
        <v>1366.2010498</v>
      </c>
      <c r="I484">
        <v>1324.3269043</v>
      </c>
      <c r="J484">
        <v>1321.2606201000001</v>
      </c>
      <c r="K484">
        <v>1200</v>
      </c>
      <c r="L484">
        <v>0</v>
      </c>
      <c r="M484">
        <v>0</v>
      </c>
      <c r="N484">
        <v>1200</v>
      </c>
    </row>
    <row r="485" spans="1:14" x14ac:dyDescent="0.25">
      <c r="A485">
        <v>367.01833499999998</v>
      </c>
      <c r="B485" s="1">
        <f>DATE(2011,5,3) + TIME(0,26,24)</f>
        <v>40666.018333333333</v>
      </c>
      <c r="C485">
        <v>80</v>
      </c>
      <c r="D485">
        <v>65.265487671000002</v>
      </c>
      <c r="E485">
        <v>50</v>
      </c>
      <c r="F485">
        <v>49.166461945000002</v>
      </c>
      <c r="G485">
        <v>1384.3092041</v>
      </c>
      <c r="H485">
        <v>1366.1328125</v>
      </c>
      <c r="I485">
        <v>1324.3259277</v>
      </c>
      <c r="J485">
        <v>1321.2584228999999</v>
      </c>
      <c r="K485">
        <v>1200</v>
      </c>
      <c r="L485">
        <v>0</v>
      </c>
      <c r="M485">
        <v>0</v>
      </c>
      <c r="N485">
        <v>1200</v>
      </c>
    </row>
    <row r="486" spans="1:14" x14ac:dyDescent="0.25">
      <c r="A486">
        <v>367.13864899999999</v>
      </c>
      <c r="B486" s="1">
        <f>DATE(2011,5,3) + TIME(3,19,39)</f>
        <v>40666.138645833336</v>
      </c>
      <c r="C486">
        <v>80</v>
      </c>
      <c r="D486">
        <v>65.992645264000004</v>
      </c>
      <c r="E486">
        <v>50</v>
      </c>
      <c r="F486">
        <v>49.133773804</v>
      </c>
      <c r="G486">
        <v>1384.0936279</v>
      </c>
      <c r="H486">
        <v>1366.0649414</v>
      </c>
      <c r="I486">
        <v>1324.3248291</v>
      </c>
      <c r="J486">
        <v>1321.2561035000001</v>
      </c>
      <c r="K486">
        <v>1200</v>
      </c>
      <c r="L486">
        <v>0</v>
      </c>
      <c r="M486">
        <v>0</v>
      </c>
      <c r="N486">
        <v>1200</v>
      </c>
    </row>
    <row r="487" spans="1:14" x14ac:dyDescent="0.25">
      <c r="A487">
        <v>367.26348300000001</v>
      </c>
      <c r="B487" s="1">
        <f>DATE(2011,5,3) + TIME(6,19,24)</f>
        <v>40666.263472222221</v>
      </c>
      <c r="C487">
        <v>80</v>
      </c>
      <c r="D487">
        <v>66.709098815999994</v>
      </c>
      <c r="E487">
        <v>50</v>
      </c>
      <c r="F487">
        <v>49.100296020999998</v>
      </c>
      <c r="G487">
        <v>1383.8833007999999</v>
      </c>
      <c r="H487">
        <v>1365.9971923999999</v>
      </c>
      <c r="I487">
        <v>1324.3234863</v>
      </c>
      <c r="J487">
        <v>1321.2535399999999</v>
      </c>
      <c r="K487">
        <v>1200</v>
      </c>
      <c r="L487">
        <v>0</v>
      </c>
      <c r="M487">
        <v>0</v>
      </c>
      <c r="N487">
        <v>1200</v>
      </c>
    </row>
    <row r="488" spans="1:14" x14ac:dyDescent="0.25">
      <c r="A488">
        <v>367.393192</v>
      </c>
      <c r="B488" s="1">
        <f>DATE(2011,5,3) + TIME(9,26,11)</f>
        <v>40666.393182870372</v>
      </c>
      <c r="C488">
        <v>80</v>
      </c>
      <c r="D488">
        <v>67.414466857999997</v>
      </c>
      <c r="E488">
        <v>50</v>
      </c>
      <c r="F488">
        <v>49.065967559999997</v>
      </c>
      <c r="G488">
        <v>1383.6777344</v>
      </c>
      <c r="H488">
        <v>1365.9293213000001</v>
      </c>
      <c r="I488">
        <v>1324.3220214999999</v>
      </c>
      <c r="J488">
        <v>1321.2508545000001</v>
      </c>
      <c r="K488">
        <v>1200</v>
      </c>
      <c r="L488">
        <v>0</v>
      </c>
      <c r="M488">
        <v>0</v>
      </c>
      <c r="N488">
        <v>1200</v>
      </c>
    </row>
    <row r="489" spans="1:14" x14ac:dyDescent="0.25">
      <c r="A489">
        <v>367.52817299999998</v>
      </c>
      <c r="B489" s="1">
        <f>DATE(2011,5,3) + TIME(12,40,34)</f>
        <v>40666.528171296297</v>
      </c>
      <c r="C489">
        <v>80</v>
      </c>
      <c r="D489">
        <v>68.108345032000003</v>
      </c>
      <c r="E489">
        <v>50</v>
      </c>
      <c r="F489">
        <v>49.030715942</v>
      </c>
      <c r="G489">
        <v>1383.4769286999999</v>
      </c>
      <c r="H489">
        <v>1365.8614502</v>
      </c>
      <c r="I489">
        <v>1324.3205565999999</v>
      </c>
      <c r="J489">
        <v>1321.2479248</v>
      </c>
      <c r="K489">
        <v>1200</v>
      </c>
      <c r="L489">
        <v>0</v>
      </c>
      <c r="M489">
        <v>0</v>
      </c>
      <c r="N489">
        <v>1200</v>
      </c>
    </row>
    <row r="490" spans="1:14" x14ac:dyDescent="0.25">
      <c r="A490">
        <v>367.66887000000003</v>
      </c>
      <c r="B490" s="1">
        <f>DATE(2011,5,3) + TIME(16,3,10)</f>
        <v>40666.668865740743</v>
      </c>
      <c r="C490">
        <v>80</v>
      </c>
      <c r="D490">
        <v>68.790298461999996</v>
      </c>
      <c r="E490">
        <v>50</v>
      </c>
      <c r="F490">
        <v>48.994464874000002</v>
      </c>
      <c r="G490">
        <v>1383.2802733999999</v>
      </c>
      <c r="H490">
        <v>1365.7930908000001</v>
      </c>
      <c r="I490">
        <v>1324.3188477000001</v>
      </c>
      <c r="J490">
        <v>1321.2448730000001</v>
      </c>
      <c r="K490">
        <v>1200</v>
      </c>
      <c r="L490">
        <v>0</v>
      </c>
      <c r="M490">
        <v>0</v>
      </c>
      <c r="N490">
        <v>1200</v>
      </c>
    </row>
    <row r="491" spans="1:14" x14ac:dyDescent="0.25">
      <c r="A491">
        <v>367.81578500000001</v>
      </c>
      <c r="B491" s="1">
        <f>DATE(2011,5,3) + TIME(19,34,43)</f>
        <v>40666.815775462965</v>
      </c>
      <c r="C491">
        <v>80</v>
      </c>
      <c r="D491">
        <v>69.459846497000001</v>
      </c>
      <c r="E491">
        <v>50</v>
      </c>
      <c r="F491">
        <v>48.957134246999999</v>
      </c>
      <c r="G491">
        <v>1383.0875243999999</v>
      </c>
      <c r="H491">
        <v>1365.7242432</v>
      </c>
      <c r="I491">
        <v>1324.3170166</v>
      </c>
      <c r="J491">
        <v>1321.2416992000001</v>
      </c>
      <c r="K491">
        <v>1200</v>
      </c>
      <c r="L491">
        <v>0</v>
      </c>
      <c r="M491">
        <v>0</v>
      </c>
      <c r="N491">
        <v>1200</v>
      </c>
    </row>
    <row r="492" spans="1:14" x14ac:dyDescent="0.25">
      <c r="A492">
        <v>367.96948500000002</v>
      </c>
      <c r="B492" s="1">
        <f>DATE(2011,5,3) + TIME(23,16,3)</f>
        <v>40666.96947916667</v>
      </c>
      <c r="C492">
        <v>80</v>
      </c>
      <c r="D492">
        <v>70.116394043</v>
      </c>
      <c r="E492">
        <v>50</v>
      </c>
      <c r="F492">
        <v>48.918628693000002</v>
      </c>
      <c r="G492">
        <v>1382.8985596</v>
      </c>
      <c r="H492">
        <v>1365.6545410000001</v>
      </c>
      <c r="I492">
        <v>1324.3149414</v>
      </c>
      <c r="J492">
        <v>1321.2382812000001</v>
      </c>
      <c r="K492">
        <v>1200</v>
      </c>
      <c r="L492">
        <v>0</v>
      </c>
      <c r="M492">
        <v>0</v>
      </c>
      <c r="N492">
        <v>1200</v>
      </c>
    </row>
    <row r="493" spans="1:14" x14ac:dyDescent="0.25">
      <c r="A493">
        <v>368.13061499999998</v>
      </c>
      <c r="B493" s="1">
        <f>DATE(2011,5,4) + TIME(3,8,5)</f>
        <v>40667.130613425928</v>
      </c>
      <c r="C493">
        <v>80</v>
      </c>
      <c r="D493">
        <v>70.759094238000003</v>
      </c>
      <c r="E493">
        <v>50</v>
      </c>
      <c r="F493">
        <v>48.878829955999997</v>
      </c>
      <c r="G493">
        <v>1382.7127685999999</v>
      </c>
      <c r="H493">
        <v>1365.5838623</v>
      </c>
      <c r="I493">
        <v>1324.3128661999999</v>
      </c>
      <c r="J493">
        <v>1321.2346190999999</v>
      </c>
      <c r="K493">
        <v>1200</v>
      </c>
      <c r="L493">
        <v>0</v>
      </c>
      <c r="M493">
        <v>0</v>
      </c>
      <c r="N493">
        <v>1200</v>
      </c>
    </row>
    <row r="494" spans="1:14" x14ac:dyDescent="0.25">
      <c r="A494">
        <v>368.299983</v>
      </c>
      <c r="B494" s="1">
        <f>DATE(2011,5,4) + TIME(7,11,58)</f>
        <v>40667.299976851849</v>
      </c>
      <c r="C494">
        <v>80</v>
      </c>
      <c r="D494">
        <v>71.387969971000004</v>
      </c>
      <c r="E494">
        <v>50</v>
      </c>
      <c r="F494">
        <v>48.837612151999998</v>
      </c>
      <c r="G494">
        <v>1382.5299072</v>
      </c>
      <c r="H494">
        <v>1365.5120850000001</v>
      </c>
      <c r="I494">
        <v>1324.3105469</v>
      </c>
      <c r="J494">
        <v>1321.2307129000001</v>
      </c>
      <c r="K494">
        <v>1200</v>
      </c>
      <c r="L494">
        <v>0</v>
      </c>
      <c r="M494">
        <v>0</v>
      </c>
      <c r="N494">
        <v>1200</v>
      </c>
    </row>
    <row r="495" spans="1:14" x14ac:dyDescent="0.25">
      <c r="A495">
        <v>368.47844099999998</v>
      </c>
      <c r="B495" s="1">
        <f>DATE(2011,5,4) + TIME(11,28,57)</f>
        <v>40667.478437500002</v>
      </c>
      <c r="C495">
        <v>80</v>
      </c>
      <c r="D495">
        <v>72.002357482999997</v>
      </c>
      <c r="E495">
        <v>50</v>
      </c>
      <c r="F495">
        <v>48.794826508</v>
      </c>
      <c r="G495">
        <v>1382.3496094</v>
      </c>
      <c r="H495">
        <v>1365.4388428</v>
      </c>
      <c r="I495">
        <v>1324.3079834</v>
      </c>
      <c r="J495">
        <v>1321.2265625</v>
      </c>
      <c r="K495">
        <v>1200</v>
      </c>
      <c r="L495">
        <v>0</v>
      </c>
      <c r="M495">
        <v>0</v>
      </c>
      <c r="N495">
        <v>1200</v>
      </c>
    </row>
    <row r="496" spans="1:14" x14ac:dyDescent="0.25">
      <c r="A496">
        <v>368.66692799999998</v>
      </c>
      <c r="B496" s="1">
        <f>DATE(2011,5,4) + TIME(16,0,22)</f>
        <v>40667.666921296295</v>
      </c>
      <c r="C496">
        <v>80</v>
      </c>
      <c r="D496">
        <v>72.601409911999994</v>
      </c>
      <c r="E496">
        <v>50</v>
      </c>
      <c r="F496">
        <v>48.750324249000002</v>
      </c>
      <c r="G496">
        <v>1382.1716309000001</v>
      </c>
      <c r="H496">
        <v>1365.3638916</v>
      </c>
      <c r="I496">
        <v>1324.3052978999999</v>
      </c>
      <c r="J496">
        <v>1321.2222899999999</v>
      </c>
      <c r="K496">
        <v>1200</v>
      </c>
      <c r="L496">
        <v>0</v>
      </c>
      <c r="M496">
        <v>0</v>
      </c>
      <c r="N496">
        <v>1200</v>
      </c>
    </row>
    <row r="497" spans="1:14" x14ac:dyDescent="0.25">
      <c r="A497">
        <v>368.86659900000001</v>
      </c>
      <c r="B497" s="1">
        <f>DATE(2011,5,4) + TIME(20,47,54)</f>
        <v>40667.866597222222</v>
      </c>
      <c r="C497">
        <v>80</v>
      </c>
      <c r="D497">
        <v>73.184394835999996</v>
      </c>
      <c r="E497">
        <v>50</v>
      </c>
      <c r="F497">
        <v>48.703918457</v>
      </c>
      <c r="G497">
        <v>1381.9954834</v>
      </c>
      <c r="H497">
        <v>1365.2869873</v>
      </c>
      <c r="I497">
        <v>1324.3023682</v>
      </c>
      <c r="J497">
        <v>1321.2176514</v>
      </c>
      <c r="K497">
        <v>1200</v>
      </c>
      <c r="L497">
        <v>0</v>
      </c>
      <c r="M497">
        <v>0</v>
      </c>
      <c r="N497">
        <v>1200</v>
      </c>
    </row>
    <row r="498" spans="1:14" x14ac:dyDescent="0.25">
      <c r="A498">
        <v>369.07881600000002</v>
      </c>
      <c r="B498" s="1">
        <f>DATE(2011,5,5) + TIME(1,53,29)</f>
        <v>40668.07880787037</v>
      </c>
      <c r="C498">
        <v>80</v>
      </c>
      <c r="D498">
        <v>73.750556946000003</v>
      </c>
      <c r="E498">
        <v>50</v>
      </c>
      <c r="F498">
        <v>48.655387877999999</v>
      </c>
      <c r="G498">
        <v>1381.8209228999999</v>
      </c>
      <c r="H498">
        <v>1365.2078856999999</v>
      </c>
      <c r="I498">
        <v>1324.2993164</v>
      </c>
      <c r="J498">
        <v>1321.2126464999999</v>
      </c>
      <c r="K498">
        <v>1200</v>
      </c>
      <c r="L498">
        <v>0</v>
      </c>
      <c r="M498">
        <v>0</v>
      </c>
      <c r="N498">
        <v>1200</v>
      </c>
    </row>
    <row r="499" spans="1:14" x14ac:dyDescent="0.25">
      <c r="A499">
        <v>369.305181</v>
      </c>
      <c r="B499" s="1">
        <f>DATE(2011,5,5) + TIME(7,19,27)</f>
        <v>40668.305173611108</v>
      </c>
      <c r="C499">
        <v>80</v>
      </c>
      <c r="D499">
        <v>74.299034118999998</v>
      </c>
      <c r="E499">
        <v>50</v>
      </c>
      <c r="F499">
        <v>48.604480743000003</v>
      </c>
      <c r="G499">
        <v>1381.6473389</v>
      </c>
      <c r="H499">
        <v>1365.1259766000001</v>
      </c>
      <c r="I499">
        <v>1324.2958983999999</v>
      </c>
      <c r="J499">
        <v>1321.2073975000001</v>
      </c>
      <c r="K499">
        <v>1200</v>
      </c>
      <c r="L499">
        <v>0</v>
      </c>
      <c r="M499">
        <v>0</v>
      </c>
      <c r="N499">
        <v>1200</v>
      </c>
    </row>
    <row r="500" spans="1:14" x14ac:dyDescent="0.25">
      <c r="A500">
        <v>369.54759899999999</v>
      </c>
      <c r="B500" s="1">
        <f>DATE(2011,5,5) + TIME(13,8,32)</f>
        <v>40668.547592592593</v>
      </c>
      <c r="C500">
        <v>80</v>
      </c>
      <c r="D500">
        <v>74.828880310000002</v>
      </c>
      <c r="E500">
        <v>50</v>
      </c>
      <c r="F500">
        <v>48.550895691000001</v>
      </c>
      <c r="G500">
        <v>1381.4743652</v>
      </c>
      <c r="H500">
        <v>1365.0412598</v>
      </c>
      <c r="I500">
        <v>1324.2922363</v>
      </c>
      <c r="J500">
        <v>1321.2016602000001</v>
      </c>
      <c r="K500">
        <v>1200</v>
      </c>
      <c r="L500">
        <v>0</v>
      </c>
      <c r="M500">
        <v>0</v>
      </c>
      <c r="N500">
        <v>1200</v>
      </c>
    </row>
    <row r="501" spans="1:14" x14ac:dyDescent="0.25">
      <c r="A501">
        <v>369.80060099999997</v>
      </c>
      <c r="B501" s="1">
        <f>DATE(2011,5,5) + TIME(19,12,51)</f>
        <v>40668.80059027778</v>
      </c>
      <c r="C501">
        <v>80</v>
      </c>
      <c r="D501">
        <v>75.325202942000004</v>
      </c>
      <c r="E501">
        <v>50</v>
      </c>
      <c r="F501">
        <v>48.495819091999998</v>
      </c>
      <c r="G501">
        <v>1381.3057861</v>
      </c>
      <c r="H501">
        <v>1364.9543457</v>
      </c>
      <c r="I501">
        <v>1324.2880858999999</v>
      </c>
      <c r="J501">
        <v>1321.1955565999999</v>
      </c>
      <c r="K501">
        <v>1200</v>
      </c>
      <c r="L501">
        <v>0</v>
      </c>
      <c r="M501">
        <v>0</v>
      </c>
      <c r="N501">
        <v>1200</v>
      </c>
    </row>
    <row r="502" spans="1:14" x14ac:dyDescent="0.25">
      <c r="A502">
        <v>370.054599</v>
      </c>
      <c r="B502" s="1">
        <f>DATE(2011,5,6) + TIME(1,18,37)</f>
        <v>40669.054594907408</v>
      </c>
      <c r="C502">
        <v>80</v>
      </c>
      <c r="D502">
        <v>75.772232056000007</v>
      </c>
      <c r="E502">
        <v>50</v>
      </c>
      <c r="F502">
        <v>48.441181182999998</v>
      </c>
      <c r="G502">
        <v>1381.1468506000001</v>
      </c>
      <c r="H502">
        <v>1364.8679199000001</v>
      </c>
      <c r="I502">
        <v>1324.2838135</v>
      </c>
      <c r="J502">
        <v>1321.1890868999999</v>
      </c>
      <c r="K502">
        <v>1200</v>
      </c>
      <c r="L502">
        <v>0</v>
      </c>
      <c r="M502">
        <v>0</v>
      </c>
      <c r="N502">
        <v>1200</v>
      </c>
    </row>
    <row r="503" spans="1:14" x14ac:dyDescent="0.25">
      <c r="A503">
        <v>370.31064300000003</v>
      </c>
      <c r="B503" s="1">
        <f>DATE(2011,5,6) + TIME(7,27,19)</f>
        <v>40669.310636574075</v>
      </c>
      <c r="C503">
        <v>80</v>
      </c>
      <c r="D503">
        <v>76.176170349000003</v>
      </c>
      <c r="E503">
        <v>50</v>
      </c>
      <c r="F503">
        <v>48.386749268000003</v>
      </c>
      <c r="G503">
        <v>1380.9960937999999</v>
      </c>
      <c r="H503">
        <v>1364.7832031</v>
      </c>
      <c r="I503">
        <v>1324.2792969</v>
      </c>
      <c r="J503">
        <v>1321.1826172000001</v>
      </c>
      <c r="K503">
        <v>1200</v>
      </c>
      <c r="L503">
        <v>0</v>
      </c>
      <c r="M503">
        <v>0</v>
      </c>
      <c r="N503">
        <v>1200</v>
      </c>
    </row>
    <row r="504" spans="1:14" x14ac:dyDescent="0.25">
      <c r="A504">
        <v>370.56929300000002</v>
      </c>
      <c r="B504" s="1">
        <f>DATE(2011,5,6) + TIME(13,39,46)</f>
        <v>40669.569282407407</v>
      </c>
      <c r="C504">
        <v>80</v>
      </c>
      <c r="D504">
        <v>76.541481017999999</v>
      </c>
      <c r="E504">
        <v>50</v>
      </c>
      <c r="F504">
        <v>48.332389831999997</v>
      </c>
      <c r="G504">
        <v>1380.8527832</v>
      </c>
      <c r="H504">
        <v>1364.6999512</v>
      </c>
      <c r="I504">
        <v>1324.2747803</v>
      </c>
      <c r="J504">
        <v>1321.1760254000001</v>
      </c>
      <c r="K504">
        <v>1200</v>
      </c>
      <c r="L504">
        <v>0</v>
      </c>
      <c r="M504">
        <v>0</v>
      </c>
      <c r="N504">
        <v>1200</v>
      </c>
    </row>
    <row r="505" spans="1:14" x14ac:dyDescent="0.25">
      <c r="A505">
        <v>370.83112</v>
      </c>
      <c r="B505" s="1">
        <f>DATE(2011,5,6) + TIME(19,56,48)</f>
        <v>40669.831111111111</v>
      </c>
      <c r="C505">
        <v>80</v>
      </c>
      <c r="D505">
        <v>76.872055054</v>
      </c>
      <c r="E505">
        <v>50</v>
      </c>
      <c r="F505">
        <v>48.277984619000001</v>
      </c>
      <c r="G505">
        <v>1380.7156981999999</v>
      </c>
      <c r="H505">
        <v>1364.6179199000001</v>
      </c>
      <c r="I505">
        <v>1324.2700195</v>
      </c>
      <c r="J505">
        <v>1321.1691894999999</v>
      </c>
      <c r="K505">
        <v>1200</v>
      </c>
      <c r="L505">
        <v>0</v>
      </c>
      <c r="M505">
        <v>0</v>
      </c>
      <c r="N505">
        <v>1200</v>
      </c>
    </row>
    <row r="506" spans="1:14" x14ac:dyDescent="0.25">
      <c r="A506">
        <v>371.09669200000002</v>
      </c>
      <c r="B506" s="1">
        <f>DATE(2011,5,7) + TIME(2,19,14)</f>
        <v>40670.096689814818</v>
      </c>
      <c r="C506">
        <v>80</v>
      </c>
      <c r="D506">
        <v>77.171302795000003</v>
      </c>
      <c r="E506">
        <v>50</v>
      </c>
      <c r="F506">
        <v>48.223407745000003</v>
      </c>
      <c r="G506">
        <v>1380.5841064000001</v>
      </c>
      <c r="H506">
        <v>1364.5367432</v>
      </c>
      <c r="I506">
        <v>1324.2652588000001</v>
      </c>
      <c r="J506">
        <v>1321.1623535000001</v>
      </c>
      <c r="K506">
        <v>1200</v>
      </c>
      <c r="L506">
        <v>0</v>
      </c>
      <c r="M506">
        <v>0</v>
      </c>
      <c r="N506">
        <v>1200</v>
      </c>
    </row>
    <row r="507" spans="1:14" x14ac:dyDescent="0.25">
      <c r="A507">
        <v>371.36668100000003</v>
      </c>
      <c r="B507" s="1">
        <f>DATE(2011,5,7) + TIME(8,48,1)</f>
        <v>40670.366678240738</v>
      </c>
      <c r="C507">
        <v>80</v>
      </c>
      <c r="D507">
        <v>77.442291260000005</v>
      </c>
      <c r="E507">
        <v>50</v>
      </c>
      <c r="F507">
        <v>48.168525696000003</v>
      </c>
      <c r="G507">
        <v>1380.4573975000001</v>
      </c>
      <c r="H507">
        <v>1364.4564209</v>
      </c>
      <c r="I507">
        <v>1324.2602539</v>
      </c>
      <c r="J507">
        <v>1321.1552733999999</v>
      </c>
      <c r="K507">
        <v>1200</v>
      </c>
      <c r="L507">
        <v>0</v>
      </c>
      <c r="M507">
        <v>0</v>
      </c>
      <c r="N507">
        <v>1200</v>
      </c>
    </row>
    <row r="508" spans="1:14" x14ac:dyDescent="0.25">
      <c r="A508">
        <v>371.64160600000002</v>
      </c>
      <c r="B508" s="1">
        <f>DATE(2011,5,7) + TIME(15,23,54)</f>
        <v>40670.641597222224</v>
      </c>
      <c r="C508">
        <v>80</v>
      </c>
      <c r="D508">
        <v>77.687591553000004</v>
      </c>
      <c r="E508">
        <v>50</v>
      </c>
      <c r="F508">
        <v>48.113239288000003</v>
      </c>
      <c r="G508">
        <v>1380.3348389</v>
      </c>
      <c r="H508">
        <v>1364.3767089999999</v>
      </c>
      <c r="I508">
        <v>1324.255249</v>
      </c>
      <c r="J508">
        <v>1321.1480713000001</v>
      </c>
      <c r="K508">
        <v>1200</v>
      </c>
      <c r="L508">
        <v>0</v>
      </c>
      <c r="M508">
        <v>0</v>
      </c>
      <c r="N508">
        <v>1200</v>
      </c>
    </row>
    <row r="509" spans="1:14" x14ac:dyDescent="0.25">
      <c r="A509">
        <v>371.92206399999998</v>
      </c>
      <c r="B509" s="1">
        <f>DATE(2011,5,7) + TIME(22,7,46)</f>
        <v>40670.922060185185</v>
      </c>
      <c r="C509">
        <v>80</v>
      </c>
      <c r="D509">
        <v>77.909523010000001</v>
      </c>
      <c r="E509">
        <v>50</v>
      </c>
      <c r="F509">
        <v>48.057430267000001</v>
      </c>
      <c r="G509">
        <v>1380.2159423999999</v>
      </c>
      <c r="H509">
        <v>1364.2974853999999</v>
      </c>
      <c r="I509">
        <v>1324.25</v>
      </c>
      <c r="J509">
        <v>1321.140625</v>
      </c>
      <c r="K509">
        <v>1200</v>
      </c>
      <c r="L509">
        <v>0</v>
      </c>
      <c r="M509">
        <v>0</v>
      </c>
      <c r="N509">
        <v>1200</v>
      </c>
    </row>
    <row r="510" spans="1:14" x14ac:dyDescent="0.25">
      <c r="A510">
        <v>372.20870500000001</v>
      </c>
      <c r="B510" s="1">
        <f>DATE(2011,5,8) + TIME(5,0,32)</f>
        <v>40671.208703703705</v>
      </c>
      <c r="C510">
        <v>80</v>
      </c>
      <c r="D510">
        <v>78.110191345000004</v>
      </c>
      <c r="E510">
        <v>50</v>
      </c>
      <c r="F510">
        <v>48.000988006999997</v>
      </c>
      <c r="G510">
        <v>1380.1002197</v>
      </c>
      <c r="H510">
        <v>1364.2186279</v>
      </c>
      <c r="I510">
        <v>1324.2445068</v>
      </c>
      <c r="J510">
        <v>1321.1329346</v>
      </c>
      <c r="K510">
        <v>1200</v>
      </c>
      <c r="L510">
        <v>0</v>
      </c>
      <c r="M510">
        <v>0</v>
      </c>
      <c r="N510">
        <v>1200</v>
      </c>
    </row>
    <row r="511" spans="1:14" x14ac:dyDescent="0.25">
      <c r="A511">
        <v>372.50222500000001</v>
      </c>
      <c r="B511" s="1">
        <f>DATE(2011,5,8) + TIME(12,3,12)</f>
        <v>40671.502222222225</v>
      </c>
      <c r="C511">
        <v>80</v>
      </c>
      <c r="D511">
        <v>78.291488646999994</v>
      </c>
      <c r="E511">
        <v>50</v>
      </c>
      <c r="F511">
        <v>47.943790436</v>
      </c>
      <c r="G511">
        <v>1379.9873047000001</v>
      </c>
      <c r="H511">
        <v>1364.1401367000001</v>
      </c>
      <c r="I511">
        <v>1324.2388916</v>
      </c>
      <c r="J511">
        <v>1321.1251221</v>
      </c>
      <c r="K511">
        <v>1200</v>
      </c>
      <c r="L511">
        <v>0</v>
      </c>
      <c r="M511">
        <v>0</v>
      </c>
      <c r="N511">
        <v>1200</v>
      </c>
    </row>
    <row r="512" spans="1:14" x14ac:dyDescent="0.25">
      <c r="A512">
        <v>372.80336599999998</v>
      </c>
      <c r="B512" s="1">
        <f>DATE(2011,5,8) + TIME(19,16,50)</f>
        <v>40671.803356481483</v>
      </c>
      <c r="C512">
        <v>80</v>
      </c>
      <c r="D512">
        <v>78.455108643000003</v>
      </c>
      <c r="E512">
        <v>50</v>
      </c>
      <c r="F512">
        <v>47.885707855</v>
      </c>
      <c r="G512">
        <v>1379.8768310999999</v>
      </c>
      <c r="H512">
        <v>1364.0616454999999</v>
      </c>
      <c r="I512">
        <v>1324.2331543</v>
      </c>
      <c r="J512">
        <v>1321.1170654</v>
      </c>
      <c r="K512">
        <v>1200</v>
      </c>
      <c r="L512">
        <v>0</v>
      </c>
      <c r="M512">
        <v>0</v>
      </c>
      <c r="N512">
        <v>1200</v>
      </c>
    </row>
    <row r="513" spans="1:14" x14ac:dyDescent="0.25">
      <c r="A513">
        <v>373.11294500000002</v>
      </c>
      <c r="B513" s="1">
        <f>DATE(2011,5,9) + TIME(2,42,38)</f>
        <v>40672.112939814811</v>
      </c>
      <c r="C513">
        <v>80</v>
      </c>
      <c r="D513">
        <v>78.602577209000003</v>
      </c>
      <c r="E513">
        <v>50</v>
      </c>
      <c r="F513">
        <v>47.826606750000003</v>
      </c>
      <c r="G513">
        <v>1379.7683105000001</v>
      </c>
      <c r="H513">
        <v>1363.9832764</v>
      </c>
      <c r="I513">
        <v>1324.2270507999999</v>
      </c>
      <c r="J513">
        <v>1321.1086425999999</v>
      </c>
      <c r="K513">
        <v>1200</v>
      </c>
      <c r="L513">
        <v>0</v>
      </c>
      <c r="M513">
        <v>0</v>
      </c>
      <c r="N513">
        <v>1200</v>
      </c>
    </row>
    <row r="514" spans="1:14" x14ac:dyDescent="0.25">
      <c r="A514">
        <v>373.43185399999999</v>
      </c>
      <c r="B514" s="1">
        <f>DATE(2011,5,9) + TIME(10,21,52)</f>
        <v>40672.431851851848</v>
      </c>
      <c r="C514">
        <v>80</v>
      </c>
      <c r="D514">
        <v>78.735305785999998</v>
      </c>
      <c r="E514">
        <v>50</v>
      </c>
      <c r="F514">
        <v>47.766342162999997</v>
      </c>
      <c r="G514">
        <v>1379.6616211</v>
      </c>
      <c r="H514">
        <v>1363.9047852000001</v>
      </c>
      <c r="I514">
        <v>1324.2208252</v>
      </c>
      <c r="J514">
        <v>1321.0999756000001</v>
      </c>
      <c r="K514">
        <v>1200</v>
      </c>
      <c r="L514">
        <v>0</v>
      </c>
      <c r="M514">
        <v>0</v>
      </c>
      <c r="N514">
        <v>1200</v>
      </c>
    </row>
    <row r="515" spans="1:14" x14ac:dyDescent="0.25">
      <c r="A515">
        <v>373.76108299999999</v>
      </c>
      <c r="B515" s="1">
        <f>DATE(2011,5,9) + TIME(18,15,57)</f>
        <v>40672.761076388888</v>
      </c>
      <c r="C515">
        <v>80</v>
      </c>
      <c r="D515">
        <v>78.854545592999997</v>
      </c>
      <c r="E515">
        <v>50</v>
      </c>
      <c r="F515">
        <v>47.70476532</v>
      </c>
      <c r="G515">
        <v>1379.5561522999999</v>
      </c>
      <c r="H515">
        <v>1363.8261719</v>
      </c>
      <c r="I515">
        <v>1324.2143555</v>
      </c>
      <c r="J515">
        <v>1321.0909423999999</v>
      </c>
      <c r="K515">
        <v>1200</v>
      </c>
      <c r="L515">
        <v>0</v>
      </c>
      <c r="M515">
        <v>0</v>
      </c>
      <c r="N515">
        <v>1200</v>
      </c>
    </row>
    <row r="516" spans="1:14" x14ac:dyDescent="0.25">
      <c r="A516">
        <v>374.10168800000002</v>
      </c>
      <c r="B516" s="1">
        <f>DATE(2011,5,10) + TIME(2,26,25)</f>
        <v>40673.101678240739</v>
      </c>
      <c r="C516">
        <v>80</v>
      </c>
      <c r="D516">
        <v>78.961441039999997</v>
      </c>
      <c r="E516">
        <v>50</v>
      </c>
      <c r="F516">
        <v>47.641708373999997</v>
      </c>
      <c r="G516">
        <v>1379.4517822</v>
      </c>
      <c r="H516">
        <v>1363.7471923999999</v>
      </c>
      <c r="I516">
        <v>1324.2076416</v>
      </c>
      <c r="J516">
        <v>1321.081543</v>
      </c>
      <c r="K516">
        <v>1200</v>
      </c>
      <c r="L516">
        <v>0</v>
      </c>
      <c r="M516">
        <v>0</v>
      </c>
      <c r="N516">
        <v>1200</v>
      </c>
    </row>
    <row r="517" spans="1:14" x14ac:dyDescent="0.25">
      <c r="A517">
        <v>374.45370800000001</v>
      </c>
      <c r="B517" s="1">
        <f>DATE(2011,5,10) + TIME(10,53,20)</f>
        <v>40673.453703703701</v>
      </c>
      <c r="C517">
        <v>80</v>
      </c>
      <c r="D517">
        <v>79.056785583000007</v>
      </c>
      <c r="E517">
        <v>50</v>
      </c>
      <c r="F517">
        <v>47.577186584000003</v>
      </c>
      <c r="G517">
        <v>1379.3483887</v>
      </c>
      <c r="H517">
        <v>1363.6678466999999</v>
      </c>
      <c r="I517">
        <v>1324.2005615</v>
      </c>
      <c r="J517">
        <v>1321.0717772999999</v>
      </c>
      <c r="K517">
        <v>1200</v>
      </c>
      <c r="L517">
        <v>0</v>
      </c>
      <c r="M517">
        <v>0</v>
      </c>
      <c r="N517">
        <v>1200</v>
      </c>
    </row>
    <row r="518" spans="1:14" x14ac:dyDescent="0.25">
      <c r="A518">
        <v>374.81840699999998</v>
      </c>
      <c r="B518" s="1">
        <f>DATE(2011,5,10) + TIME(19,38,30)</f>
        <v>40673.818402777775</v>
      </c>
      <c r="C518">
        <v>80</v>
      </c>
      <c r="D518">
        <v>79.141632079999994</v>
      </c>
      <c r="E518">
        <v>50</v>
      </c>
      <c r="F518">
        <v>47.511005402000002</v>
      </c>
      <c r="G518">
        <v>1379.2457274999999</v>
      </c>
      <c r="H518">
        <v>1363.5881348</v>
      </c>
      <c r="I518">
        <v>1324.1931152</v>
      </c>
      <c r="J518">
        <v>1321.0616454999999</v>
      </c>
      <c r="K518">
        <v>1200</v>
      </c>
      <c r="L518">
        <v>0</v>
      </c>
      <c r="M518">
        <v>0</v>
      </c>
      <c r="N518">
        <v>1200</v>
      </c>
    </row>
    <row r="519" spans="1:14" x14ac:dyDescent="0.25">
      <c r="A519">
        <v>375.19714499999998</v>
      </c>
      <c r="B519" s="1">
        <f>DATE(2011,5,11) + TIME(4,43,53)</f>
        <v>40674.197141203702</v>
      </c>
      <c r="C519">
        <v>80</v>
      </c>
      <c r="D519">
        <v>79.216941833000007</v>
      </c>
      <c r="E519">
        <v>50</v>
      </c>
      <c r="F519">
        <v>47.442974091000004</v>
      </c>
      <c r="G519">
        <v>1379.1436768000001</v>
      </c>
      <c r="H519">
        <v>1363.5079346</v>
      </c>
      <c r="I519">
        <v>1324.1854248</v>
      </c>
      <c r="J519">
        <v>1321.0510254000001</v>
      </c>
      <c r="K519">
        <v>1200</v>
      </c>
      <c r="L519">
        <v>0</v>
      </c>
      <c r="M519">
        <v>0</v>
      </c>
      <c r="N519">
        <v>1200</v>
      </c>
    </row>
    <row r="520" spans="1:14" x14ac:dyDescent="0.25">
      <c r="A520">
        <v>375.59162800000001</v>
      </c>
      <c r="B520" s="1">
        <f>DATE(2011,5,11) + TIME(14,11,56)</f>
        <v>40674.591620370367</v>
      </c>
      <c r="C520">
        <v>80</v>
      </c>
      <c r="D520">
        <v>79.283607482999997</v>
      </c>
      <c r="E520">
        <v>50</v>
      </c>
      <c r="F520">
        <v>47.372837066999999</v>
      </c>
      <c r="G520">
        <v>1379.0418701000001</v>
      </c>
      <c r="H520">
        <v>1363.4272461</v>
      </c>
      <c r="I520">
        <v>1324.1773682</v>
      </c>
      <c r="J520">
        <v>1321.0399170000001</v>
      </c>
      <c r="K520">
        <v>1200</v>
      </c>
      <c r="L520">
        <v>0</v>
      </c>
      <c r="M520">
        <v>0</v>
      </c>
      <c r="N520">
        <v>1200</v>
      </c>
    </row>
    <row r="521" spans="1:14" x14ac:dyDescent="0.25">
      <c r="A521">
        <v>376.003624</v>
      </c>
      <c r="B521" s="1">
        <f>DATE(2011,5,12) + TIME(0,5,13)</f>
        <v>40675.003622685188</v>
      </c>
      <c r="C521">
        <v>80</v>
      </c>
      <c r="D521">
        <v>79.342437743999994</v>
      </c>
      <c r="E521">
        <v>50</v>
      </c>
      <c r="F521">
        <v>47.300354003999999</v>
      </c>
      <c r="G521">
        <v>1378.9399414</v>
      </c>
      <c r="H521">
        <v>1363.3458252</v>
      </c>
      <c r="I521">
        <v>1324.1688231999999</v>
      </c>
      <c r="J521">
        <v>1321.0283202999999</v>
      </c>
      <c r="K521">
        <v>1200</v>
      </c>
      <c r="L521">
        <v>0</v>
      </c>
      <c r="M521">
        <v>0</v>
      </c>
      <c r="N521">
        <v>1200</v>
      </c>
    </row>
    <row r="522" spans="1:14" x14ac:dyDescent="0.25">
      <c r="A522">
        <v>376.43449099999998</v>
      </c>
      <c r="B522" s="1">
        <f>DATE(2011,5,12) + TIME(10,25,40)</f>
        <v>40675.434490740743</v>
      </c>
      <c r="C522">
        <v>80</v>
      </c>
      <c r="D522">
        <v>79.394081115999995</v>
      </c>
      <c r="E522">
        <v>50</v>
      </c>
      <c r="F522">
        <v>47.225341796999999</v>
      </c>
      <c r="G522">
        <v>1378.8377685999999</v>
      </c>
      <c r="H522">
        <v>1363.2634277</v>
      </c>
      <c r="I522">
        <v>1324.1599120999999</v>
      </c>
      <c r="J522">
        <v>1321.0161132999999</v>
      </c>
      <c r="K522">
        <v>1200</v>
      </c>
      <c r="L522">
        <v>0</v>
      </c>
      <c r="M522">
        <v>0</v>
      </c>
      <c r="N522">
        <v>1200</v>
      </c>
    </row>
    <row r="523" spans="1:14" x14ac:dyDescent="0.25">
      <c r="A523">
        <v>376.866083</v>
      </c>
      <c r="B523" s="1">
        <f>DATE(2011,5,12) + TIME(20,47,9)</f>
        <v>40675.866076388891</v>
      </c>
      <c r="C523">
        <v>80</v>
      </c>
      <c r="D523">
        <v>79.437515258999994</v>
      </c>
      <c r="E523">
        <v>50</v>
      </c>
      <c r="F523">
        <v>47.150547027999998</v>
      </c>
      <c r="G523">
        <v>1378.7357178</v>
      </c>
      <c r="H523">
        <v>1363.1802978999999</v>
      </c>
      <c r="I523">
        <v>1324.1503906</v>
      </c>
      <c r="J523">
        <v>1321.0032959</v>
      </c>
      <c r="K523">
        <v>1200</v>
      </c>
      <c r="L523">
        <v>0</v>
      </c>
      <c r="M523">
        <v>0</v>
      </c>
      <c r="N523">
        <v>1200</v>
      </c>
    </row>
    <row r="524" spans="1:14" x14ac:dyDescent="0.25">
      <c r="A524">
        <v>377.29879099999999</v>
      </c>
      <c r="B524" s="1">
        <f>DATE(2011,5,13) + TIME(7,10,15)</f>
        <v>40676.298784722225</v>
      </c>
      <c r="C524">
        <v>80</v>
      </c>
      <c r="D524">
        <v>79.474090575999995</v>
      </c>
      <c r="E524">
        <v>50</v>
      </c>
      <c r="F524">
        <v>47.075923920000001</v>
      </c>
      <c r="G524">
        <v>1378.637207</v>
      </c>
      <c r="H524">
        <v>1363.0997314000001</v>
      </c>
      <c r="I524">
        <v>1324.1408690999999</v>
      </c>
      <c r="J524">
        <v>1320.9902344</v>
      </c>
      <c r="K524">
        <v>1200</v>
      </c>
      <c r="L524">
        <v>0</v>
      </c>
      <c r="M524">
        <v>0</v>
      </c>
      <c r="N524">
        <v>1200</v>
      </c>
    </row>
    <row r="525" spans="1:14" x14ac:dyDescent="0.25">
      <c r="A525">
        <v>377.73374000000001</v>
      </c>
      <c r="B525" s="1">
        <f>DATE(2011,5,13) + TIME(17,36,35)</f>
        <v>40676.733738425923</v>
      </c>
      <c r="C525">
        <v>80</v>
      </c>
      <c r="D525">
        <v>79.504981994999994</v>
      </c>
      <c r="E525">
        <v>50</v>
      </c>
      <c r="F525">
        <v>47.001316070999998</v>
      </c>
      <c r="G525">
        <v>1378.5419922000001</v>
      </c>
      <c r="H525">
        <v>1363.0214844</v>
      </c>
      <c r="I525">
        <v>1324.1311035000001</v>
      </c>
      <c r="J525">
        <v>1320.9770507999999</v>
      </c>
      <c r="K525">
        <v>1200</v>
      </c>
      <c r="L525">
        <v>0</v>
      </c>
      <c r="M525">
        <v>0</v>
      </c>
      <c r="N525">
        <v>1200</v>
      </c>
    </row>
    <row r="526" spans="1:14" x14ac:dyDescent="0.25">
      <c r="A526">
        <v>378.172009</v>
      </c>
      <c r="B526" s="1">
        <f>DATE(2011,5,14) + TIME(4,7,41)</f>
        <v>40677.172002314815</v>
      </c>
      <c r="C526">
        <v>80</v>
      </c>
      <c r="D526">
        <v>79.531112671000002</v>
      </c>
      <c r="E526">
        <v>50</v>
      </c>
      <c r="F526">
        <v>46.926574707</v>
      </c>
      <c r="G526">
        <v>1378.4495850000001</v>
      </c>
      <c r="H526">
        <v>1362.9451904</v>
      </c>
      <c r="I526">
        <v>1324.1213379000001</v>
      </c>
      <c r="J526">
        <v>1320.9637451000001</v>
      </c>
      <c r="K526">
        <v>1200</v>
      </c>
      <c r="L526">
        <v>0</v>
      </c>
      <c r="M526">
        <v>0</v>
      </c>
      <c r="N526">
        <v>1200</v>
      </c>
    </row>
    <row r="527" spans="1:14" x14ac:dyDescent="0.25">
      <c r="A527">
        <v>378.61482999999998</v>
      </c>
      <c r="B527" s="1">
        <f>DATE(2011,5,14) + TIME(14,45,21)</f>
        <v>40677.61482638889</v>
      </c>
      <c r="C527">
        <v>80</v>
      </c>
      <c r="D527">
        <v>79.553260803000001</v>
      </c>
      <c r="E527">
        <v>50</v>
      </c>
      <c r="F527">
        <v>46.851524353000002</v>
      </c>
      <c r="G527">
        <v>1378.3596190999999</v>
      </c>
      <c r="H527">
        <v>1362.8707274999999</v>
      </c>
      <c r="I527">
        <v>1324.1113281</v>
      </c>
      <c r="J527">
        <v>1320.9501952999999</v>
      </c>
      <c r="K527">
        <v>1200</v>
      </c>
      <c r="L527">
        <v>0</v>
      </c>
      <c r="M527">
        <v>0</v>
      </c>
      <c r="N527">
        <v>1200</v>
      </c>
    </row>
    <row r="528" spans="1:14" x14ac:dyDescent="0.25">
      <c r="A528">
        <v>379.063063</v>
      </c>
      <c r="B528" s="1">
        <f>DATE(2011,5,15) + TIME(1,30,48)</f>
        <v>40678.063055555554</v>
      </c>
      <c r="C528">
        <v>80</v>
      </c>
      <c r="D528">
        <v>79.572059631000002</v>
      </c>
      <c r="E528">
        <v>50</v>
      </c>
      <c r="F528">
        <v>46.776042938000003</v>
      </c>
      <c r="G528">
        <v>1378.2716064000001</v>
      </c>
      <c r="H528">
        <v>1362.7978516000001</v>
      </c>
      <c r="I528">
        <v>1324.1011963000001</v>
      </c>
      <c r="J528">
        <v>1320.9364014</v>
      </c>
      <c r="K528">
        <v>1200</v>
      </c>
      <c r="L528">
        <v>0</v>
      </c>
      <c r="M528">
        <v>0</v>
      </c>
      <c r="N528">
        <v>1200</v>
      </c>
    </row>
    <row r="529" spans="1:14" x14ac:dyDescent="0.25">
      <c r="A529">
        <v>379.51776100000001</v>
      </c>
      <c r="B529" s="1">
        <f>DATE(2011,5,15) + TIME(12,25,34)</f>
        <v>40678.517754629633</v>
      </c>
      <c r="C529">
        <v>80</v>
      </c>
      <c r="D529">
        <v>79.588027953999998</v>
      </c>
      <c r="E529">
        <v>50</v>
      </c>
      <c r="F529">
        <v>46.699981688999998</v>
      </c>
      <c r="G529">
        <v>1378.1853027</v>
      </c>
      <c r="H529">
        <v>1362.7261963000001</v>
      </c>
      <c r="I529">
        <v>1324.0908202999999</v>
      </c>
      <c r="J529">
        <v>1320.9223632999999</v>
      </c>
      <c r="K529">
        <v>1200</v>
      </c>
      <c r="L529">
        <v>0</v>
      </c>
      <c r="M529">
        <v>0</v>
      </c>
      <c r="N529">
        <v>1200</v>
      </c>
    </row>
    <row r="530" spans="1:14" x14ac:dyDescent="0.25">
      <c r="A530">
        <v>379.97999499999997</v>
      </c>
      <c r="B530" s="1">
        <f>DATE(2011,5,15) + TIME(23,31,11)</f>
        <v>40678.979988425926</v>
      </c>
      <c r="C530">
        <v>80</v>
      </c>
      <c r="D530">
        <v>79.601600646999998</v>
      </c>
      <c r="E530">
        <v>50</v>
      </c>
      <c r="F530">
        <v>46.623191833</v>
      </c>
      <c r="G530">
        <v>1378.1004639</v>
      </c>
      <c r="H530">
        <v>1362.6556396000001</v>
      </c>
      <c r="I530">
        <v>1324.0803223</v>
      </c>
      <c r="J530">
        <v>1320.9079589999999</v>
      </c>
      <c r="K530">
        <v>1200</v>
      </c>
      <c r="L530">
        <v>0</v>
      </c>
      <c r="M530">
        <v>0</v>
      </c>
      <c r="N530">
        <v>1200</v>
      </c>
    </row>
    <row r="531" spans="1:14" x14ac:dyDescent="0.25">
      <c r="A531">
        <v>380.45090399999998</v>
      </c>
      <c r="B531" s="1">
        <f>DATE(2011,5,16) + TIME(10,49,18)</f>
        <v>40679.450902777775</v>
      </c>
      <c r="C531">
        <v>80</v>
      </c>
      <c r="D531">
        <v>79.613143921000002</v>
      </c>
      <c r="E531">
        <v>50</v>
      </c>
      <c r="F531">
        <v>46.545520781999997</v>
      </c>
      <c r="G531">
        <v>1378.0169678</v>
      </c>
      <c r="H531">
        <v>1362.5860596</v>
      </c>
      <c r="I531">
        <v>1324.0694579999999</v>
      </c>
      <c r="J531">
        <v>1320.8931885</v>
      </c>
      <c r="K531">
        <v>1200</v>
      </c>
      <c r="L531">
        <v>0</v>
      </c>
      <c r="M531">
        <v>0</v>
      </c>
      <c r="N531">
        <v>1200</v>
      </c>
    </row>
    <row r="532" spans="1:14" x14ac:dyDescent="0.25">
      <c r="A532">
        <v>380.931692</v>
      </c>
      <c r="B532" s="1">
        <f>DATE(2011,5,16) + TIME(22,21,38)</f>
        <v>40679.931689814817</v>
      </c>
      <c r="C532">
        <v>80</v>
      </c>
      <c r="D532">
        <v>79.622970581000004</v>
      </c>
      <c r="E532">
        <v>50</v>
      </c>
      <c r="F532">
        <v>46.466804504000002</v>
      </c>
      <c r="G532">
        <v>1377.9343262</v>
      </c>
      <c r="H532">
        <v>1362.5172118999999</v>
      </c>
      <c r="I532">
        <v>1324.0584716999999</v>
      </c>
      <c r="J532">
        <v>1320.8780518000001</v>
      </c>
      <c r="K532">
        <v>1200</v>
      </c>
      <c r="L532">
        <v>0</v>
      </c>
      <c r="M532">
        <v>0</v>
      </c>
      <c r="N532">
        <v>1200</v>
      </c>
    </row>
    <row r="533" spans="1:14" x14ac:dyDescent="0.25">
      <c r="A533">
        <v>381.42364700000002</v>
      </c>
      <c r="B533" s="1">
        <f>DATE(2011,5,17) + TIME(10,10,3)</f>
        <v>40680.423645833333</v>
      </c>
      <c r="C533">
        <v>80</v>
      </c>
      <c r="D533">
        <v>79.631324767999999</v>
      </c>
      <c r="E533">
        <v>50</v>
      </c>
      <c r="F533">
        <v>46.386863708</v>
      </c>
      <c r="G533">
        <v>1377.8525391000001</v>
      </c>
      <c r="H533">
        <v>1362.4490966999999</v>
      </c>
      <c r="I533">
        <v>1324.0471190999999</v>
      </c>
      <c r="J533">
        <v>1320.8625488</v>
      </c>
      <c r="K533">
        <v>1200</v>
      </c>
      <c r="L533">
        <v>0</v>
      </c>
      <c r="M533">
        <v>0</v>
      </c>
      <c r="N533">
        <v>1200</v>
      </c>
    </row>
    <row r="534" spans="1:14" x14ac:dyDescent="0.25">
      <c r="A534">
        <v>381.92817100000002</v>
      </c>
      <c r="B534" s="1">
        <f>DATE(2011,5,17) + TIME(22,16,33)</f>
        <v>40680.928159722222</v>
      </c>
      <c r="C534">
        <v>80</v>
      </c>
      <c r="D534">
        <v>79.638435364000003</v>
      </c>
      <c r="E534">
        <v>50</v>
      </c>
      <c r="F534">
        <v>46.305519103999998</v>
      </c>
      <c r="G534">
        <v>1377.7712402</v>
      </c>
      <c r="H534">
        <v>1362.3813477000001</v>
      </c>
      <c r="I534">
        <v>1324.0354004000001</v>
      </c>
      <c r="J534">
        <v>1320.8465576000001</v>
      </c>
      <c r="K534">
        <v>1200</v>
      </c>
      <c r="L534">
        <v>0</v>
      </c>
      <c r="M534">
        <v>0</v>
      </c>
      <c r="N534">
        <v>1200</v>
      </c>
    </row>
    <row r="535" spans="1:14" x14ac:dyDescent="0.25">
      <c r="A535">
        <v>382.44680099999999</v>
      </c>
      <c r="B535" s="1">
        <f>DATE(2011,5,18) + TIME(10,43,23)</f>
        <v>40681.446793981479</v>
      </c>
      <c r="C535">
        <v>80</v>
      </c>
      <c r="D535">
        <v>79.644477843999994</v>
      </c>
      <c r="E535">
        <v>50</v>
      </c>
      <c r="F535">
        <v>46.222564697000003</v>
      </c>
      <c r="G535">
        <v>1377.6903076000001</v>
      </c>
      <c r="H535">
        <v>1362.3138428</v>
      </c>
      <c r="I535">
        <v>1324.0233154</v>
      </c>
      <c r="J535">
        <v>1320.8300781</v>
      </c>
      <c r="K535">
        <v>1200</v>
      </c>
      <c r="L535">
        <v>0</v>
      </c>
      <c r="M535">
        <v>0</v>
      </c>
      <c r="N535">
        <v>1200</v>
      </c>
    </row>
    <row r="536" spans="1:14" x14ac:dyDescent="0.25">
      <c r="A536">
        <v>382.98123600000002</v>
      </c>
      <c r="B536" s="1">
        <f>DATE(2011,5,18) + TIME(23,32,58)</f>
        <v>40681.981226851851</v>
      </c>
      <c r="C536">
        <v>80</v>
      </c>
      <c r="D536">
        <v>79.649627686000002</v>
      </c>
      <c r="E536">
        <v>50</v>
      </c>
      <c r="F536">
        <v>46.137786865000002</v>
      </c>
      <c r="G536">
        <v>1377.6094971</v>
      </c>
      <c r="H536">
        <v>1362.2464600000001</v>
      </c>
      <c r="I536">
        <v>1324.0108643000001</v>
      </c>
      <c r="J536">
        <v>1320.8129882999999</v>
      </c>
      <c r="K536">
        <v>1200</v>
      </c>
      <c r="L536">
        <v>0</v>
      </c>
      <c r="M536">
        <v>0</v>
      </c>
      <c r="N536">
        <v>1200</v>
      </c>
    </row>
    <row r="537" spans="1:14" x14ac:dyDescent="0.25">
      <c r="A537">
        <v>383.53369700000002</v>
      </c>
      <c r="B537" s="1">
        <f>DATE(2011,5,19) + TIME(12,48,31)</f>
        <v>40682.533692129633</v>
      </c>
      <c r="C537">
        <v>80</v>
      </c>
      <c r="D537">
        <v>79.654006957999997</v>
      </c>
      <c r="E537">
        <v>50</v>
      </c>
      <c r="F537">
        <v>46.050891876000001</v>
      </c>
      <c r="G537">
        <v>1377.5286865</v>
      </c>
      <c r="H537">
        <v>1362.1790771000001</v>
      </c>
      <c r="I537">
        <v>1323.9979248</v>
      </c>
      <c r="J537">
        <v>1320.7952881000001</v>
      </c>
      <c r="K537">
        <v>1200</v>
      </c>
      <c r="L537">
        <v>0</v>
      </c>
      <c r="M537">
        <v>0</v>
      </c>
      <c r="N537">
        <v>1200</v>
      </c>
    </row>
    <row r="538" spans="1:14" x14ac:dyDescent="0.25">
      <c r="A538">
        <v>384.10612200000003</v>
      </c>
      <c r="B538" s="1">
        <f>DATE(2011,5,20) + TIME(2,32,48)</f>
        <v>40683.106111111112</v>
      </c>
      <c r="C538">
        <v>80</v>
      </c>
      <c r="D538">
        <v>79.657730103000006</v>
      </c>
      <c r="E538">
        <v>50</v>
      </c>
      <c r="F538">
        <v>45.961643219000003</v>
      </c>
      <c r="G538">
        <v>1377.4473877</v>
      </c>
      <c r="H538">
        <v>1362.1115723</v>
      </c>
      <c r="I538">
        <v>1323.9844971</v>
      </c>
      <c r="J538">
        <v>1320.7768555</v>
      </c>
      <c r="K538">
        <v>1200</v>
      </c>
      <c r="L538">
        <v>0</v>
      </c>
      <c r="M538">
        <v>0</v>
      </c>
      <c r="N538">
        <v>1200</v>
      </c>
    </row>
    <row r="539" spans="1:14" x14ac:dyDescent="0.25">
      <c r="A539">
        <v>384.70090399999998</v>
      </c>
      <c r="B539" s="1">
        <f>DATE(2011,5,20) + TIME(16,49,18)</f>
        <v>40683.700902777775</v>
      </c>
      <c r="C539">
        <v>80</v>
      </c>
      <c r="D539">
        <v>79.660896300999994</v>
      </c>
      <c r="E539">
        <v>50</v>
      </c>
      <c r="F539">
        <v>45.869743346999996</v>
      </c>
      <c r="G539">
        <v>1377.3657227000001</v>
      </c>
      <c r="H539">
        <v>1362.0435791</v>
      </c>
      <c r="I539">
        <v>1323.9704589999999</v>
      </c>
      <c r="J539">
        <v>1320.7576904</v>
      </c>
      <c r="K539">
        <v>1200</v>
      </c>
      <c r="L539">
        <v>0</v>
      </c>
      <c r="M539">
        <v>0</v>
      </c>
      <c r="N539">
        <v>1200</v>
      </c>
    </row>
    <row r="540" spans="1:14" x14ac:dyDescent="0.25">
      <c r="A540">
        <v>385.32032600000002</v>
      </c>
      <c r="B540" s="1">
        <f>DATE(2011,5,21) + TIME(7,41,16)</f>
        <v>40684.320324074077</v>
      </c>
      <c r="C540">
        <v>80</v>
      </c>
      <c r="D540">
        <v>79.663589478000006</v>
      </c>
      <c r="E540">
        <v>50</v>
      </c>
      <c r="F540">
        <v>45.774913787999999</v>
      </c>
      <c r="G540">
        <v>1377.2832031</v>
      </c>
      <c r="H540">
        <v>1361.9749756000001</v>
      </c>
      <c r="I540">
        <v>1323.9558105000001</v>
      </c>
      <c r="J540">
        <v>1320.7376709</v>
      </c>
      <c r="K540">
        <v>1200</v>
      </c>
      <c r="L540">
        <v>0</v>
      </c>
      <c r="M540">
        <v>0</v>
      </c>
      <c r="N540">
        <v>1200</v>
      </c>
    </row>
    <row r="541" spans="1:14" x14ac:dyDescent="0.25">
      <c r="A541">
        <v>385.96381200000002</v>
      </c>
      <c r="B541" s="1">
        <f>DATE(2011,5,21) + TIME(23,7,53)</f>
        <v>40684.963807870372</v>
      </c>
      <c r="C541">
        <v>80</v>
      </c>
      <c r="D541">
        <v>79.665870666999993</v>
      </c>
      <c r="E541">
        <v>50</v>
      </c>
      <c r="F541">
        <v>45.677234650000003</v>
      </c>
      <c r="G541">
        <v>1377.1998291</v>
      </c>
      <c r="H541">
        <v>1361.9056396000001</v>
      </c>
      <c r="I541">
        <v>1323.9405518000001</v>
      </c>
      <c r="J541">
        <v>1320.7166748</v>
      </c>
      <c r="K541">
        <v>1200</v>
      </c>
      <c r="L541">
        <v>0</v>
      </c>
      <c r="M541">
        <v>0</v>
      </c>
      <c r="N541">
        <v>1200</v>
      </c>
    </row>
    <row r="542" spans="1:14" x14ac:dyDescent="0.25">
      <c r="A542">
        <v>386.61284799999999</v>
      </c>
      <c r="B542" s="1">
        <f>DATE(2011,5,22) + TIME(14,42,30)</f>
        <v>40685.612847222219</v>
      </c>
      <c r="C542">
        <v>80</v>
      </c>
      <c r="D542">
        <v>79.667755127000007</v>
      </c>
      <c r="E542">
        <v>50</v>
      </c>
      <c r="F542">
        <v>45.578998566000003</v>
      </c>
      <c r="G542">
        <v>1377.1156006000001</v>
      </c>
      <c r="H542">
        <v>1361.8358154</v>
      </c>
      <c r="I542">
        <v>1323.9244385</v>
      </c>
      <c r="J542">
        <v>1320.6947021000001</v>
      </c>
      <c r="K542">
        <v>1200</v>
      </c>
      <c r="L542">
        <v>0</v>
      </c>
      <c r="M542">
        <v>0</v>
      </c>
      <c r="N542">
        <v>1200</v>
      </c>
    </row>
    <row r="543" spans="1:14" x14ac:dyDescent="0.25">
      <c r="A543">
        <v>387.263058</v>
      </c>
      <c r="B543" s="1">
        <f>DATE(2011,5,23) + TIME(6,18,48)</f>
        <v>40686.263055555559</v>
      </c>
      <c r="C543">
        <v>80</v>
      </c>
      <c r="D543">
        <v>79.669311523000005</v>
      </c>
      <c r="E543">
        <v>50</v>
      </c>
      <c r="F543">
        <v>45.480808258000003</v>
      </c>
      <c r="G543">
        <v>1377.0332031</v>
      </c>
      <c r="H543">
        <v>1361.7674560999999</v>
      </c>
      <c r="I543">
        <v>1323.9080810999999</v>
      </c>
      <c r="J543">
        <v>1320.6724853999999</v>
      </c>
      <c r="K543">
        <v>1200</v>
      </c>
      <c r="L543">
        <v>0</v>
      </c>
      <c r="M543">
        <v>0</v>
      </c>
      <c r="N543">
        <v>1200</v>
      </c>
    </row>
    <row r="544" spans="1:14" x14ac:dyDescent="0.25">
      <c r="A544">
        <v>387.91615000000002</v>
      </c>
      <c r="B544" s="1">
        <f>DATE(2011,5,23) + TIME(21,59,15)</f>
        <v>40686.916145833333</v>
      </c>
      <c r="C544">
        <v>80</v>
      </c>
      <c r="D544">
        <v>79.670608521000005</v>
      </c>
      <c r="E544">
        <v>50</v>
      </c>
      <c r="F544">
        <v>45.382522582999997</v>
      </c>
      <c r="G544">
        <v>1376.9528809000001</v>
      </c>
      <c r="H544">
        <v>1361.7010498</v>
      </c>
      <c r="I544">
        <v>1323.8917236</v>
      </c>
      <c r="J544">
        <v>1320.6500243999999</v>
      </c>
      <c r="K544">
        <v>1200</v>
      </c>
      <c r="L544">
        <v>0</v>
      </c>
      <c r="M544">
        <v>0</v>
      </c>
      <c r="N544">
        <v>1200</v>
      </c>
    </row>
    <row r="545" spans="1:14" x14ac:dyDescent="0.25">
      <c r="A545">
        <v>388.57391999999999</v>
      </c>
      <c r="B545" s="1">
        <f>DATE(2011,5,24) + TIME(13,46,26)</f>
        <v>40687.573912037034</v>
      </c>
      <c r="C545">
        <v>80</v>
      </c>
      <c r="D545">
        <v>79.671699524000005</v>
      </c>
      <c r="E545">
        <v>50</v>
      </c>
      <c r="F545">
        <v>45.283973693999997</v>
      </c>
      <c r="G545">
        <v>1376.8745117000001</v>
      </c>
      <c r="H545">
        <v>1361.6361084</v>
      </c>
      <c r="I545">
        <v>1323.875</v>
      </c>
      <c r="J545">
        <v>1320.6271973</v>
      </c>
      <c r="K545">
        <v>1200</v>
      </c>
      <c r="L545">
        <v>0</v>
      </c>
      <c r="M545">
        <v>0</v>
      </c>
      <c r="N545">
        <v>1200</v>
      </c>
    </row>
    <row r="546" spans="1:14" x14ac:dyDescent="0.25">
      <c r="A546">
        <v>389.23800899999998</v>
      </c>
      <c r="B546" s="1">
        <f>DATE(2011,5,25) + TIME(5,42,43)</f>
        <v>40688.237997685188</v>
      </c>
      <c r="C546">
        <v>80</v>
      </c>
      <c r="D546">
        <v>79.672622681000007</v>
      </c>
      <c r="E546">
        <v>50</v>
      </c>
      <c r="F546">
        <v>45.184989928999997</v>
      </c>
      <c r="G546">
        <v>1376.7976074000001</v>
      </c>
      <c r="H546">
        <v>1361.5726318</v>
      </c>
      <c r="I546">
        <v>1323.8581543</v>
      </c>
      <c r="J546">
        <v>1320.604126</v>
      </c>
      <c r="K546">
        <v>1200</v>
      </c>
      <c r="L546">
        <v>0</v>
      </c>
      <c r="M546">
        <v>0</v>
      </c>
      <c r="N546">
        <v>1200</v>
      </c>
    </row>
    <row r="547" spans="1:14" x14ac:dyDescent="0.25">
      <c r="A547">
        <v>389.90989200000001</v>
      </c>
      <c r="B547" s="1">
        <f>DATE(2011,5,25) + TIME(21,50,14)</f>
        <v>40688.909884259258</v>
      </c>
      <c r="C547">
        <v>80</v>
      </c>
      <c r="D547">
        <v>79.673423767000003</v>
      </c>
      <c r="E547">
        <v>50</v>
      </c>
      <c r="F547">
        <v>45.085418701000002</v>
      </c>
      <c r="G547">
        <v>1376.7220459</v>
      </c>
      <c r="H547">
        <v>1361.5102539</v>
      </c>
      <c r="I547">
        <v>1323.8410644999999</v>
      </c>
      <c r="J547">
        <v>1320.5806885</v>
      </c>
      <c r="K547">
        <v>1200</v>
      </c>
      <c r="L547">
        <v>0</v>
      </c>
      <c r="M547">
        <v>0</v>
      </c>
      <c r="N547">
        <v>1200</v>
      </c>
    </row>
    <row r="548" spans="1:14" x14ac:dyDescent="0.25">
      <c r="A548">
        <v>390.59122100000002</v>
      </c>
      <c r="B548" s="1">
        <f>DATE(2011,5,26) + TIME(14,11,21)</f>
        <v>40689.591215277775</v>
      </c>
      <c r="C548">
        <v>80</v>
      </c>
      <c r="D548">
        <v>79.674118042000003</v>
      </c>
      <c r="E548">
        <v>50</v>
      </c>
      <c r="F548">
        <v>44.985076904000003</v>
      </c>
      <c r="G548">
        <v>1376.6475829999999</v>
      </c>
      <c r="H548">
        <v>1361.4488524999999</v>
      </c>
      <c r="I548">
        <v>1323.8237305</v>
      </c>
      <c r="J548">
        <v>1320.5567627</v>
      </c>
      <c r="K548">
        <v>1200</v>
      </c>
      <c r="L548">
        <v>0</v>
      </c>
      <c r="M548">
        <v>0</v>
      </c>
      <c r="N548">
        <v>1200</v>
      </c>
    </row>
    <row r="549" spans="1:14" x14ac:dyDescent="0.25">
      <c r="A549">
        <v>391.28369700000002</v>
      </c>
      <c r="B549" s="1">
        <f>DATE(2011,5,27) + TIME(6,48,31)</f>
        <v>40690.283692129633</v>
      </c>
      <c r="C549">
        <v>80</v>
      </c>
      <c r="D549">
        <v>79.674728393999999</v>
      </c>
      <c r="E549">
        <v>50</v>
      </c>
      <c r="F549">
        <v>44.883766174000002</v>
      </c>
      <c r="G549">
        <v>1376.5739745999999</v>
      </c>
      <c r="H549">
        <v>1361.3881836</v>
      </c>
      <c r="I549">
        <v>1323.8060303</v>
      </c>
      <c r="J549">
        <v>1320.5323486</v>
      </c>
      <c r="K549">
        <v>1200</v>
      </c>
      <c r="L549">
        <v>0</v>
      </c>
      <c r="M549">
        <v>0</v>
      </c>
      <c r="N549">
        <v>1200</v>
      </c>
    </row>
    <row r="550" spans="1:14" x14ac:dyDescent="0.25">
      <c r="A550">
        <v>391.98910799999999</v>
      </c>
      <c r="B550" s="1">
        <f>DATE(2011,5,27) + TIME(23,44,18)</f>
        <v>40690.98909722222</v>
      </c>
      <c r="C550">
        <v>80</v>
      </c>
      <c r="D550">
        <v>79.675277710000003</v>
      </c>
      <c r="E550">
        <v>50</v>
      </c>
      <c r="F550">
        <v>44.781284331999998</v>
      </c>
      <c r="G550">
        <v>1376.5009766000001</v>
      </c>
      <c r="H550">
        <v>1361.328125</v>
      </c>
      <c r="I550">
        <v>1323.7879639</v>
      </c>
      <c r="J550">
        <v>1320.5074463000001</v>
      </c>
      <c r="K550">
        <v>1200</v>
      </c>
      <c r="L550">
        <v>0</v>
      </c>
      <c r="M550">
        <v>0</v>
      </c>
      <c r="N550">
        <v>1200</v>
      </c>
    </row>
    <row r="551" spans="1:14" x14ac:dyDescent="0.25">
      <c r="A551">
        <v>392.709362</v>
      </c>
      <c r="B551" s="1">
        <f>DATE(2011,5,28) + TIME(17,1,28)</f>
        <v>40691.709351851852</v>
      </c>
      <c r="C551">
        <v>80</v>
      </c>
      <c r="D551">
        <v>79.675773621000005</v>
      </c>
      <c r="E551">
        <v>50</v>
      </c>
      <c r="F551">
        <v>44.677406310999999</v>
      </c>
      <c r="G551">
        <v>1376.4285889</v>
      </c>
      <c r="H551">
        <v>1361.2686768000001</v>
      </c>
      <c r="I551">
        <v>1323.7695312000001</v>
      </c>
      <c r="J551">
        <v>1320.4819336</v>
      </c>
      <c r="K551">
        <v>1200</v>
      </c>
      <c r="L551">
        <v>0</v>
      </c>
      <c r="M551">
        <v>0</v>
      </c>
      <c r="N551">
        <v>1200</v>
      </c>
    </row>
    <row r="552" spans="1:14" x14ac:dyDescent="0.25">
      <c r="A552">
        <v>393.44651599999997</v>
      </c>
      <c r="B552" s="1">
        <f>DATE(2011,5,29) + TIME(10,42,58)</f>
        <v>40692.446504629632</v>
      </c>
      <c r="C552">
        <v>80</v>
      </c>
      <c r="D552">
        <v>79.676231384000005</v>
      </c>
      <c r="E552">
        <v>50</v>
      </c>
      <c r="F552">
        <v>44.571891784999998</v>
      </c>
      <c r="G552">
        <v>1376.3563231999999</v>
      </c>
      <c r="H552">
        <v>1361.2093506000001</v>
      </c>
      <c r="I552">
        <v>1323.7506103999999</v>
      </c>
      <c r="J552">
        <v>1320.4558105000001</v>
      </c>
      <c r="K552">
        <v>1200</v>
      </c>
      <c r="L552">
        <v>0</v>
      </c>
      <c r="M552">
        <v>0</v>
      </c>
      <c r="N552">
        <v>1200</v>
      </c>
    </row>
    <row r="553" spans="1:14" x14ac:dyDescent="0.25">
      <c r="A553">
        <v>394.20280300000002</v>
      </c>
      <c r="B553" s="1">
        <f>DATE(2011,5,30) + TIME(4,52,2)</f>
        <v>40693.202800925923</v>
      </c>
      <c r="C553">
        <v>80</v>
      </c>
      <c r="D553">
        <v>79.676658630000006</v>
      </c>
      <c r="E553">
        <v>50</v>
      </c>
      <c r="F553">
        <v>44.464485168000003</v>
      </c>
      <c r="G553">
        <v>1376.2843018000001</v>
      </c>
      <c r="H553">
        <v>1361.1502685999999</v>
      </c>
      <c r="I553">
        <v>1323.7310791</v>
      </c>
      <c r="J553">
        <v>1320.4288329999999</v>
      </c>
      <c r="K553">
        <v>1200</v>
      </c>
      <c r="L553">
        <v>0</v>
      </c>
      <c r="M553">
        <v>0</v>
      </c>
      <c r="N553">
        <v>1200</v>
      </c>
    </row>
    <row r="554" spans="1:14" x14ac:dyDescent="0.25">
      <c r="A554">
        <v>394.98068499999999</v>
      </c>
      <c r="B554" s="1">
        <f>DATE(2011,5,30) + TIME(23,32,11)</f>
        <v>40693.980682870373</v>
      </c>
      <c r="C554">
        <v>80</v>
      </c>
      <c r="D554">
        <v>79.677062988000003</v>
      </c>
      <c r="E554">
        <v>50</v>
      </c>
      <c r="F554">
        <v>44.354896545000003</v>
      </c>
      <c r="G554">
        <v>1376.2121582</v>
      </c>
      <c r="H554">
        <v>1361.0911865</v>
      </c>
      <c r="I554">
        <v>1323.7110596</v>
      </c>
      <c r="J554">
        <v>1320.4011230000001</v>
      </c>
      <c r="K554">
        <v>1200</v>
      </c>
      <c r="L554">
        <v>0</v>
      </c>
      <c r="M554">
        <v>0</v>
      </c>
      <c r="N554">
        <v>1200</v>
      </c>
    </row>
    <row r="555" spans="1:14" x14ac:dyDescent="0.25">
      <c r="A555">
        <v>395.78306500000002</v>
      </c>
      <c r="B555" s="1">
        <f>DATE(2011,5,31) + TIME(18,47,36)</f>
        <v>40694.783055555556</v>
      </c>
      <c r="C555">
        <v>80</v>
      </c>
      <c r="D555">
        <v>79.677452087000006</v>
      </c>
      <c r="E555">
        <v>50</v>
      </c>
      <c r="F555">
        <v>44.242805480999998</v>
      </c>
      <c r="G555">
        <v>1376.1397704999999</v>
      </c>
      <c r="H555">
        <v>1361.0319824000001</v>
      </c>
      <c r="I555">
        <v>1323.6904297000001</v>
      </c>
      <c r="J555">
        <v>1320.3725586</v>
      </c>
      <c r="K555">
        <v>1200</v>
      </c>
      <c r="L555">
        <v>0</v>
      </c>
      <c r="M555">
        <v>0</v>
      </c>
      <c r="N555">
        <v>1200</v>
      </c>
    </row>
    <row r="556" spans="1:14" x14ac:dyDescent="0.25">
      <c r="A556">
        <v>396</v>
      </c>
      <c r="B556" s="1">
        <f>DATE(2011,6,1) + TIME(0,0,0)</f>
        <v>40695</v>
      </c>
      <c r="C556">
        <v>80</v>
      </c>
      <c r="D556">
        <v>79.677528381000002</v>
      </c>
      <c r="E556">
        <v>50</v>
      </c>
      <c r="F556">
        <v>44.206809997999997</v>
      </c>
      <c r="G556">
        <v>1376.0665283000001</v>
      </c>
      <c r="H556">
        <v>1360.9719238</v>
      </c>
      <c r="I556">
        <v>1323.6685791</v>
      </c>
      <c r="J556">
        <v>1320.3466797000001</v>
      </c>
      <c r="K556">
        <v>1200</v>
      </c>
      <c r="L556">
        <v>0</v>
      </c>
      <c r="M556">
        <v>0</v>
      </c>
      <c r="N556">
        <v>1200</v>
      </c>
    </row>
    <row r="557" spans="1:14" x14ac:dyDescent="0.25">
      <c r="A557">
        <v>396.83022899999997</v>
      </c>
      <c r="B557" s="1">
        <f>DATE(2011,6,1) + TIME(19,55,31)</f>
        <v>40695.83021990741</v>
      </c>
      <c r="C557">
        <v>80</v>
      </c>
      <c r="D557">
        <v>79.677909850999995</v>
      </c>
      <c r="E557">
        <v>50</v>
      </c>
      <c r="F557">
        <v>44.093170166</v>
      </c>
      <c r="G557">
        <v>1376.0473632999999</v>
      </c>
      <c r="H557">
        <v>1360.9562988</v>
      </c>
      <c r="I557">
        <v>1323.6627197</v>
      </c>
      <c r="J557">
        <v>1320.3339844</v>
      </c>
      <c r="K557">
        <v>1200</v>
      </c>
      <c r="L557">
        <v>0</v>
      </c>
      <c r="M557">
        <v>0</v>
      </c>
      <c r="N557">
        <v>1200</v>
      </c>
    </row>
    <row r="558" spans="1:14" x14ac:dyDescent="0.25">
      <c r="A558">
        <v>397.68285400000002</v>
      </c>
      <c r="B558" s="1">
        <f>DATE(2011,6,2) + TIME(16,23,18)</f>
        <v>40696.682847222219</v>
      </c>
      <c r="C558">
        <v>80</v>
      </c>
      <c r="D558">
        <v>79.678283691000004</v>
      </c>
      <c r="E558">
        <v>50</v>
      </c>
      <c r="F558">
        <v>43.976966857999997</v>
      </c>
      <c r="G558">
        <v>1375.9744873</v>
      </c>
      <c r="H558">
        <v>1360.8968506000001</v>
      </c>
      <c r="I558">
        <v>1323.6407471</v>
      </c>
      <c r="J558">
        <v>1320.3034668</v>
      </c>
      <c r="K558">
        <v>1200</v>
      </c>
      <c r="L558">
        <v>0</v>
      </c>
      <c r="M558">
        <v>0</v>
      </c>
      <c r="N558">
        <v>1200</v>
      </c>
    </row>
    <row r="559" spans="1:14" x14ac:dyDescent="0.25">
      <c r="A559">
        <v>398.54103700000002</v>
      </c>
      <c r="B559" s="1">
        <f>DATE(2011,6,3) + TIME(12,59,5)</f>
        <v>40697.541030092594</v>
      </c>
      <c r="C559">
        <v>80</v>
      </c>
      <c r="D559">
        <v>79.678634643999999</v>
      </c>
      <c r="E559">
        <v>50</v>
      </c>
      <c r="F559">
        <v>43.860015869000001</v>
      </c>
      <c r="G559">
        <v>1375.9013672000001</v>
      </c>
      <c r="H559">
        <v>1360.8371582</v>
      </c>
      <c r="I559">
        <v>1323.6179199000001</v>
      </c>
      <c r="J559">
        <v>1320.2718506000001</v>
      </c>
      <c r="K559">
        <v>1200</v>
      </c>
      <c r="L559">
        <v>0</v>
      </c>
      <c r="M559">
        <v>0</v>
      </c>
      <c r="N559">
        <v>1200</v>
      </c>
    </row>
    <row r="560" spans="1:14" x14ac:dyDescent="0.25">
      <c r="A560">
        <v>399.40695199999999</v>
      </c>
      <c r="B560" s="1">
        <f>DATE(2011,6,4) + TIME(9,46,0)</f>
        <v>40698.406944444447</v>
      </c>
      <c r="C560">
        <v>80</v>
      </c>
      <c r="D560">
        <v>79.678977966000005</v>
      </c>
      <c r="E560">
        <v>50</v>
      </c>
      <c r="F560">
        <v>43.742248535000002</v>
      </c>
      <c r="G560">
        <v>1375.8293457</v>
      </c>
      <c r="H560">
        <v>1360.7784423999999</v>
      </c>
      <c r="I560">
        <v>1323.5947266000001</v>
      </c>
      <c r="J560">
        <v>1320.2397461</v>
      </c>
      <c r="K560">
        <v>1200</v>
      </c>
      <c r="L560">
        <v>0</v>
      </c>
      <c r="M560">
        <v>0</v>
      </c>
      <c r="N560">
        <v>1200</v>
      </c>
    </row>
    <row r="561" spans="1:14" x14ac:dyDescent="0.25">
      <c r="A561">
        <v>400.27711900000003</v>
      </c>
      <c r="B561" s="1">
        <f>DATE(2011,6,5) + TIME(6,39,3)</f>
        <v>40699.277118055557</v>
      </c>
      <c r="C561">
        <v>80</v>
      </c>
      <c r="D561">
        <v>79.679321289000001</v>
      </c>
      <c r="E561">
        <v>50</v>
      </c>
      <c r="F561">
        <v>43.624137877999999</v>
      </c>
      <c r="G561">
        <v>1375.7585449000001</v>
      </c>
      <c r="H561">
        <v>1360.7207031</v>
      </c>
      <c r="I561">
        <v>1323.5712891000001</v>
      </c>
      <c r="J561">
        <v>1320.2072754000001</v>
      </c>
      <c r="K561">
        <v>1200</v>
      </c>
      <c r="L561">
        <v>0</v>
      </c>
      <c r="M561">
        <v>0</v>
      </c>
      <c r="N561">
        <v>1200</v>
      </c>
    </row>
    <row r="562" spans="1:14" x14ac:dyDescent="0.25">
      <c r="A562">
        <v>401.15412300000003</v>
      </c>
      <c r="B562" s="1">
        <f>DATE(2011,6,6) + TIME(3,41,56)</f>
        <v>40700.154120370367</v>
      </c>
      <c r="C562">
        <v>80</v>
      </c>
      <c r="D562">
        <v>79.679656981999997</v>
      </c>
      <c r="E562">
        <v>50</v>
      </c>
      <c r="F562">
        <v>43.505516051999997</v>
      </c>
      <c r="G562">
        <v>1375.6889647999999</v>
      </c>
      <c r="H562">
        <v>1360.6640625</v>
      </c>
      <c r="I562">
        <v>1323.5476074000001</v>
      </c>
      <c r="J562">
        <v>1320.1743164</v>
      </c>
      <c r="K562">
        <v>1200</v>
      </c>
      <c r="L562">
        <v>0</v>
      </c>
      <c r="M562">
        <v>0</v>
      </c>
      <c r="N562">
        <v>1200</v>
      </c>
    </row>
    <row r="563" spans="1:14" x14ac:dyDescent="0.25">
      <c r="A563">
        <v>402.03977300000003</v>
      </c>
      <c r="B563" s="1">
        <f>DATE(2011,6,7) + TIME(0,57,16)</f>
        <v>40701.039768518516</v>
      </c>
      <c r="C563">
        <v>80</v>
      </c>
      <c r="D563">
        <v>79.679985045999999</v>
      </c>
      <c r="E563">
        <v>50</v>
      </c>
      <c r="F563">
        <v>43.386264801000003</v>
      </c>
      <c r="G563">
        <v>1375.6204834</v>
      </c>
      <c r="H563">
        <v>1360.6083983999999</v>
      </c>
      <c r="I563">
        <v>1323.5238036999999</v>
      </c>
      <c r="J563">
        <v>1320.1409911999999</v>
      </c>
      <c r="K563">
        <v>1200</v>
      </c>
      <c r="L563">
        <v>0</v>
      </c>
      <c r="M563">
        <v>0</v>
      </c>
      <c r="N563">
        <v>1200</v>
      </c>
    </row>
    <row r="564" spans="1:14" x14ac:dyDescent="0.25">
      <c r="A564">
        <v>402.93625800000001</v>
      </c>
      <c r="B564" s="1">
        <f>DATE(2011,6,7) + TIME(22,28,12)</f>
        <v>40701.936249999999</v>
      </c>
      <c r="C564">
        <v>80</v>
      </c>
      <c r="D564">
        <v>79.680320739999999</v>
      </c>
      <c r="E564">
        <v>50</v>
      </c>
      <c r="F564">
        <v>43.266197204999997</v>
      </c>
      <c r="G564">
        <v>1375.5529785000001</v>
      </c>
      <c r="H564">
        <v>1360.5534668</v>
      </c>
      <c r="I564">
        <v>1323.4995117000001</v>
      </c>
      <c r="J564">
        <v>1320.1071777</v>
      </c>
      <c r="K564">
        <v>1200</v>
      </c>
      <c r="L564">
        <v>0</v>
      </c>
      <c r="M564">
        <v>0</v>
      </c>
      <c r="N564">
        <v>1200</v>
      </c>
    </row>
    <row r="565" spans="1:14" x14ac:dyDescent="0.25">
      <c r="A565">
        <v>403.84582799999998</v>
      </c>
      <c r="B565" s="1">
        <f>DATE(2011,6,8) + TIME(20,17,59)</f>
        <v>40702.845821759256</v>
      </c>
      <c r="C565">
        <v>80</v>
      </c>
      <c r="D565">
        <v>79.680656432999996</v>
      </c>
      <c r="E565">
        <v>50</v>
      </c>
      <c r="F565">
        <v>43.145111084</v>
      </c>
      <c r="G565">
        <v>1375.4860839999999</v>
      </c>
      <c r="H565">
        <v>1360.4990233999999</v>
      </c>
      <c r="I565">
        <v>1323.4749756000001</v>
      </c>
      <c r="J565">
        <v>1320.072876</v>
      </c>
      <c r="K565">
        <v>1200</v>
      </c>
      <c r="L565">
        <v>0</v>
      </c>
      <c r="M565">
        <v>0</v>
      </c>
      <c r="N565">
        <v>1200</v>
      </c>
    </row>
    <row r="566" spans="1:14" x14ac:dyDescent="0.25">
      <c r="A566">
        <v>404.77083599999997</v>
      </c>
      <c r="B566" s="1">
        <f>DATE(2011,6,9) + TIME(18,30,0)</f>
        <v>40703.770833333336</v>
      </c>
      <c r="C566">
        <v>80</v>
      </c>
      <c r="D566">
        <v>79.680999756000006</v>
      </c>
      <c r="E566">
        <v>50</v>
      </c>
      <c r="F566">
        <v>43.022777556999998</v>
      </c>
      <c r="G566">
        <v>1375.4196777</v>
      </c>
      <c r="H566">
        <v>1360.4451904</v>
      </c>
      <c r="I566">
        <v>1323.4499512</v>
      </c>
      <c r="J566">
        <v>1320.0379639</v>
      </c>
      <c r="K566">
        <v>1200</v>
      </c>
      <c r="L566">
        <v>0</v>
      </c>
      <c r="M566">
        <v>0</v>
      </c>
      <c r="N566">
        <v>1200</v>
      </c>
    </row>
    <row r="567" spans="1:14" x14ac:dyDescent="0.25">
      <c r="A567">
        <v>405.71379100000001</v>
      </c>
      <c r="B567" s="1">
        <f>DATE(2011,6,10) + TIME(17,7,51)</f>
        <v>40704.713784722226</v>
      </c>
      <c r="C567">
        <v>80</v>
      </c>
      <c r="D567">
        <v>79.681350707999997</v>
      </c>
      <c r="E567">
        <v>50</v>
      </c>
      <c r="F567">
        <v>42.898941039999997</v>
      </c>
      <c r="G567">
        <v>1375.3536377</v>
      </c>
      <c r="H567">
        <v>1360.3916016000001</v>
      </c>
      <c r="I567">
        <v>1323.4245605000001</v>
      </c>
      <c r="J567">
        <v>1320.0023193</v>
      </c>
      <c r="K567">
        <v>1200</v>
      </c>
      <c r="L567">
        <v>0</v>
      </c>
      <c r="M567">
        <v>0</v>
      </c>
      <c r="N567">
        <v>1200</v>
      </c>
    </row>
    <row r="568" spans="1:14" x14ac:dyDescent="0.25">
      <c r="A568">
        <v>406.67737599999998</v>
      </c>
      <c r="B568" s="1">
        <f>DATE(2011,6,11) + TIME(16,15,25)</f>
        <v>40705.677372685182</v>
      </c>
      <c r="C568">
        <v>80</v>
      </c>
      <c r="D568">
        <v>79.681709290000001</v>
      </c>
      <c r="E568">
        <v>50</v>
      </c>
      <c r="F568">
        <v>42.773326873999999</v>
      </c>
      <c r="G568">
        <v>1375.2878418</v>
      </c>
      <c r="H568">
        <v>1360.3381348</v>
      </c>
      <c r="I568">
        <v>1323.3986815999999</v>
      </c>
      <c r="J568">
        <v>1319.9658202999999</v>
      </c>
      <c r="K568">
        <v>1200</v>
      </c>
      <c r="L568">
        <v>0</v>
      </c>
      <c r="M568">
        <v>0</v>
      </c>
      <c r="N568">
        <v>1200</v>
      </c>
    </row>
    <row r="569" spans="1:14" x14ac:dyDescent="0.25">
      <c r="A569">
        <v>407.66448300000002</v>
      </c>
      <c r="B569" s="1">
        <f>DATE(2011,6,12) + TIME(15,56,51)</f>
        <v>40706.664479166669</v>
      </c>
      <c r="C569">
        <v>80</v>
      </c>
      <c r="D569">
        <v>79.682075499999996</v>
      </c>
      <c r="E569">
        <v>50</v>
      </c>
      <c r="F569">
        <v>42.645637512</v>
      </c>
      <c r="G569">
        <v>1375.2220459</v>
      </c>
      <c r="H569">
        <v>1360.284668</v>
      </c>
      <c r="I569">
        <v>1323.3720702999999</v>
      </c>
      <c r="J569">
        <v>1319.9284668</v>
      </c>
      <c r="K569">
        <v>1200</v>
      </c>
      <c r="L569">
        <v>0</v>
      </c>
      <c r="M569">
        <v>0</v>
      </c>
      <c r="N569">
        <v>1200</v>
      </c>
    </row>
    <row r="570" spans="1:14" x14ac:dyDescent="0.25">
      <c r="A570">
        <v>408.678293</v>
      </c>
      <c r="B570" s="1">
        <f>DATE(2011,6,13) + TIME(16,16,44)</f>
        <v>40707.678287037037</v>
      </c>
      <c r="C570">
        <v>80</v>
      </c>
      <c r="D570">
        <v>79.682456970000004</v>
      </c>
      <c r="E570">
        <v>50</v>
      </c>
      <c r="F570">
        <v>42.515541077000002</v>
      </c>
      <c r="G570">
        <v>1375.1560059000001</v>
      </c>
      <c r="H570">
        <v>1360.2312012</v>
      </c>
      <c r="I570">
        <v>1323.3448486</v>
      </c>
      <c r="J570">
        <v>1319.8901367000001</v>
      </c>
      <c r="K570">
        <v>1200</v>
      </c>
      <c r="L570">
        <v>0</v>
      </c>
      <c r="M570">
        <v>0</v>
      </c>
      <c r="N570">
        <v>1200</v>
      </c>
    </row>
    <row r="571" spans="1:14" x14ac:dyDescent="0.25">
      <c r="A571">
        <v>409.72236299999997</v>
      </c>
      <c r="B571" s="1">
        <f>DATE(2011,6,14) + TIME(17,20,12)</f>
        <v>40708.722361111111</v>
      </c>
      <c r="C571">
        <v>80</v>
      </c>
      <c r="D571">
        <v>79.682846068999993</v>
      </c>
      <c r="E571">
        <v>50</v>
      </c>
      <c r="F571">
        <v>42.382682799999998</v>
      </c>
      <c r="G571">
        <v>1375.0897216999999</v>
      </c>
      <c r="H571">
        <v>1360.1774902</v>
      </c>
      <c r="I571">
        <v>1323.3170166</v>
      </c>
      <c r="J571">
        <v>1319.8508300999999</v>
      </c>
      <c r="K571">
        <v>1200</v>
      </c>
      <c r="L571">
        <v>0</v>
      </c>
      <c r="M571">
        <v>0</v>
      </c>
      <c r="N571">
        <v>1200</v>
      </c>
    </row>
    <row r="572" spans="1:14" x14ac:dyDescent="0.25">
      <c r="A572">
        <v>410.80128000000002</v>
      </c>
      <c r="B572" s="1">
        <f>DATE(2011,6,15) + TIME(19,13,50)</f>
        <v>40709.80127314815</v>
      </c>
      <c r="C572">
        <v>80</v>
      </c>
      <c r="D572">
        <v>79.683250427000004</v>
      </c>
      <c r="E572">
        <v>50</v>
      </c>
      <c r="F572">
        <v>42.246597289999997</v>
      </c>
      <c r="G572">
        <v>1375.0228271000001</v>
      </c>
      <c r="H572">
        <v>1360.1232910000001</v>
      </c>
      <c r="I572">
        <v>1323.2882079999999</v>
      </c>
      <c r="J572">
        <v>1319.8101807</v>
      </c>
      <c r="K572">
        <v>1200</v>
      </c>
      <c r="L572">
        <v>0</v>
      </c>
      <c r="M572">
        <v>0</v>
      </c>
      <c r="N572">
        <v>1200</v>
      </c>
    </row>
    <row r="573" spans="1:14" x14ac:dyDescent="0.25">
      <c r="A573">
        <v>411.90586500000001</v>
      </c>
      <c r="B573" s="1">
        <f>DATE(2011,6,16) + TIME(21,44,26)</f>
        <v>40710.905856481484</v>
      </c>
      <c r="C573">
        <v>80</v>
      </c>
      <c r="D573">
        <v>79.683670043999996</v>
      </c>
      <c r="E573">
        <v>50</v>
      </c>
      <c r="F573">
        <v>42.108070374</v>
      </c>
      <c r="G573">
        <v>1374.9553223</v>
      </c>
      <c r="H573">
        <v>1360.0686035000001</v>
      </c>
      <c r="I573">
        <v>1323.2585449000001</v>
      </c>
      <c r="J573">
        <v>1319.7681885</v>
      </c>
      <c r="K573">
        <v>1200</v>
      </c>
      <c r="L573">
        <v>0</v>
      </c>
      <c r="M573">
        <v>0</v>
      </c>
      <c r="N573">
        <v>1200</v>
      </c>
    </row>
    <row r="574" spans="1:14" x14ac:dyDescent="0.25">
      <c r="A574">
        <v>413.01776699999999</v>
      </c>
      <c r="B574" s="1">
        <f>DATE(2011,6,18) + TIME(0,25,35)</f>
        <v>40712.017766203702</v>
      </c>
      <c r="C574">
        <v>80</v>
      </c>
      <c r="D574">
        <v>79.684089661000002</v>
      </c>
      <c r="E574">
        <v>50</v>
      </c>
      <c r="F574">
        <v>41.968803405999999</v>
      </c>
      <c r="G574">
        <v>1374.8875731999999</v>
      </c>
      <c r="H574">
        <v>1360.0137939000001</v>
      </c>
      <c r="I574">
        <v>1323.2280272999999</v>
      </c>
      <c r="J574">
        <v>1319.7250977000001</v>
      </c>
      <c r="K574">
        <v>1200</v>
      </c>
      <c r="L574">
        <v>0</v>
      </c>
      <c r="M574">
        <v>0</v>
      </c>
      <c r="N574">
        <v>1200</v>
      </c>
    </row>
    <row r="575" spans="1:14" x14ac:dyDescent="0.25">
      <c r="A575">
        <v>414.14004399999999</v>
      </c>
      <c r="B575" s="1">
        <f>DATE(2011,6,19) + TIME(3,21,39)</f>
        <v>40713.140034722222</v>
      </c>
      <c r="C575">
        <v>80</v>
      </c>
      <c r="D575">
        <v>79.684516907000003</v>
      </c>
      <c r="E575">
        <v>50</v>
      </c>
      <c r="F575">
        <v>41.828712463000002</v>
      </c>
      <c r="G575">
        <v>1374.8208007999999</v>
      </c>
      <c r="H575">
        <v>1359.9597168</v>
      </c>
      <c r="I575">
        <v>1323.1972656</v>
      </c>
      <c r="J575">
        <v>1319.6816406</v>
      </c>
      <c r="K575">
        <v>1200</v>
      </c>
      <c r="L575">
        <v>0</v>
      </c>
      <c r="M575">
        <v>0</v>
      </c>
      <c r="N575">
        <v>1200</v>
      </c>
    </row>
    <row r="576" spans="1:14" x14ac:dyDescent="0.25">
      <c r="A576">
        <v>415.27569199999999</v>
      </c>
      <c r="B576" s="1">
        <f>DATE(2011,6,20) + TIME(6,36,59)</f>
        <v>40714.275682870371</v>
      </c>
      <c r="C576">
        <v>80</v>
      </c>
      <c r="D576">
        <v>79.684951781999999</v>
      </c>
      <c r="E576">
        <v>50</v>
      </c>
      <c r="F576">
        <v>41.687664032000001</v>
      </c>
      <c r="G576">
        <v>1374.7550048999999</v>
      </c>
      <c r="H576">
        <v>1359.9063721</v>
      </c>
      <c r="I576">
        <v>1323.1662598</v>
      </c>
      <c r="J576">
        <v>1319.6376952999999</v>
      </c>
      <c r="K576">
        <v>1200</v>
      </c>
      <c r="L576">
        <v>0</v>
      </c>
      <c r="M576">
        <v>0</v>
      </c>
      <c r="N576">
        <v>1200</v>
      </c>
    </row>
    <row r="577" spans="1:14" x14ac:dyDescent="0.25">
      <c r="A577">
        <v>416.42780099999999</v>
      </c>
      <c r="B577" s="1">
        <f>DATE(2011,6,21) + TIME(10,16,2)</f>
        <v>40715.427800925929</v>
      </c>
      <c r="C577">
        <v>80</v>
      </c>
      <c r="D577">
        <v>79.685386657999999</v>
      </c>
      <c r="E577">
        <v>50</v>
      </c>
      <c r="F577">
        <v>41.545452118</v>
      </c>
      <c r="G577">
        <v>1374.6896973</v>
      </c>
      <c r="H577">
        <v>1359.8535156</v>
      </c>
      <c r="I577">
        <v>1323.1348877</v>
      </c>
      <c r="J577">
        <v>1319.5930175999999</v>
      </c>
      <c r="K577">
        <v>1200</v>
      </c>
      <c r="L577">
        <v>0</v>
      </c>
      <c r="M577">
        <v>0</v>
      </c>
      <c r="N577">
        <v>1200</v>
      </c>
    </row>
    <row r="578" spans="1:14" x14ac:dyDescent="0.25">
      <c r="A578">
        <v>417.59140000000002</v>
      </c>
      <c r="B578" s="1">
        <f>DATE(2011,6,22) + TIME(14,11,36)</f>
        <v>40716.59138888889</v>
      </c>
      <c r="C578">
        <v>80</v>
      </c>
      <c r="D578">
        <v>79.685829162999994</v>
      </c>
      <c r="E578">
        <v>50</v>
      </c>
      <c r="F578">
        <v>41.402549743999998</v>
      </c>
      <c r="G578">
        <v>1374.6247559000001</v>
      </c>
      <c r="H578">
        <v>1359.8010254000001</v>
      </c>
      <c r="I578">
        <v>1323.1031493999999</v>
      </c>
      <c r="J578">
        <v>1319.5477295000001</v>
      </c>
      <c r="K578">
        <v>1200</v>
      </c>
      <c r="L578">
        <v>0</v>
      </c>
      <c r="M578">
        <v>0</v>
      </c>
      <c r="N578">
        <v>1200</v>
      </c>
    </row>
    <row r="579" spans="1:14" x14ac:dyDescent="0.25">
      <c r="A579">
        <v>418.76895500000001</v>
      </c>
      <c r="B579" s="1">
        <f>DATE(2011,6,23) + TIME(18,27,17)</f>
        <v>40717.768946759257</v>
      </c>
      <c r="C579">
        <v>80</v>
      </c>
      <c r="D579">
        <v>79.686286925999994</v>
      </c>
      <c r="E579">
        <v>50</v>
      </c>
      <c r="F579">
        <v>41.258811950999998</v>
      </c>
      <c r="G579">
        <v>1374.5605469</v>
      </c>
      <c r="H579">
        <v>1359.7490233999999</v>
      </c>
      <c r="I579">
        <v>1323.0710449000001</v>
      </c>
      <c r="J579">
        <v>1319.5020752</v>
      </c>
      <c r="K579">
        <v>1200</v>
      </c>
      <c r="L579">
        <v>0</v>
      </c>
      <c r="M579">
        <v>0</v>
      </c>
      <c r="N579">
        <v>1200</v>
      </c>
    </row>
    <row r="580" spans="1:14" x14ac:dyDescent="0.25">
      <c r="A580">
        <v>419.96352400000001</v>
      </c>
      <c r="B580" s="1">
        <f>DATE(2011,6,24) + TIME(23,7,28)</f>
        <v>40718.963518518518</v>
      </c>
      <c r="C580">
        <v>80</v>
      </c>
      <c r="D580">
        <v>79.686744689999998</v>
      </c>
      <c r="E580">
        <v>50</v>
      </c>
      <c r="F580">
        <v>41.114025116000001</v>
      </c>
      <c r="G580">
        <v>1374.4969481999999</v>
      </c>
      <c r="H580">
        <v>1359.6975098</v>
      </c>
      <c r="I580">
        <v>1323.0386963000001</v>
      </c>
      <c r="J580">
        <v>1319.4556885</v>
      </c>
      <c r="K580">
        <v>1200</v>
      </c>
      <c r="L580">
        <v>0</v>
      </c>
      <c r="M580">
        <v>0</v>
      </c>
      <c r="N580">
        <v>1200</v>
      </c>
    </row>
    <row r="581" spans="1:14" x14ac:dyDescent="0.25">
      <c r="A581">
        <v>421.17830300000003</v>
      </c>
      <c r="B581" s="1">
        <f>DATE(2011,6,26) + TIME(4,16,45)</f>
        <v>40720.178298611114</v>
      </c>
      <c r="C581">
        <v>80</v>
      </c>
      <c r="D581">
        <v>79.687210082999997</v>
      </c>
      <c r="E581">
        <v>50</v>
      </c>
      <c r="F581">
        <v>40.967929839999996</v>
      </c>
      <c r="G581">
        <v>1374.4335937999999</v>
      </c>
      <c r="H581">
        <v>1359.6462402</v>
      </c>
      <c r="I581">
        <v>1323.0058594</v>
      </c>
      <c r="J581">
        <v>1319.4086914</v>
      </c>
      <c r="K581">
        <v>1200</v>
      </c>
      <c r="L581">
        <v>0</v>
      </c>
      <c r="M581">
        <v>0</v>
      </c>
      <c r="N581">
        <v>1200</v>
      </c>
    </row>
    <row r="582" spans="1:14" x14ac:dyDescent="0.25">
      <c r="A582">
        <v>422.416695</v>
      </c>
      <c r="B582" s="1">
        <f>DATE(2011,6,27) + TIME(10,0,2)</f>
        <v>40721.416689814818</v>
      </c>
      <c r="C582">
        <v>80</v>
      </c>
      <c r="D582">
        <v>79.687690735000004</v>
      </c>
      <c r="E582">
        <v>50</v>
      </c>
      <c r="F582">
        <v>40.820236205999997</v>
      </c>
      <c r="G582">
        <v>1374.3704834</v>
      </c>
      <c r="H582">
        <v>1359.5950928</v>
      </c>
      <c r="I582">
        <v>1322.9726562000001</v>
      </c>
      <c r="J582">
        <v>1319.3608397999999</v>
      </c>
      <c r="K582">
        <v>1200</v>
      </c>
      <c r="L582">
        <v>0</v>
      </c>
      <c r="M582">
        <v>0</v>
      </c>
      <c r="N582">
        <v>1200</v>
      </c>
    </row>
    <row r="583" spans="1:14" x14ac:dyDescent="0.25">
      <c r="A583">
        <v>423.68234699999999</v>
      </c>
      <c r="B583" s="1">
        <f>DATE(2011,6,28) + TIME(16,22,34)</f>
        <v>40722.682337962964</v>
      </c>
      <c r="C583">
        <v>80</v>
      </c>
      <c r="D583">
        <v>79.688186646000005</v>
      </c>
      <c r="E583">
        <v>50</v>
      </c>
      <c r="F583">
        <v>40.670631409000002</v>
      </c>
      <c r="G583">
        <v>1374.3074951000001</v>
      </c>
      <c r="H583">
        <v>1359.5440673999999</v>
      </c>
      <c r="I583">
        <v>1322.9388428</v>
      </c>
      <c r="J583">
        <v>1319.3121338000001</v>
      </c>
      <c r="K583">
        <v>1200</v>
      </c>
      <c r="L583">
        <v>0</v>
      </c>
      <c r="M583">
        <v>0</v>
      </c>
      <c r="N583">
        <v>1200</v>
      </c>
    </row>
    <row r="584" spans="1:14" x14ac:dyDescent="0.25">
      <c r="A584">
        <v>424.97922799999998</v>
      </c>
      <c r="B584" s="1">
        <f>DATE(2011,6,29) + TIME(23,30,5)</f>
        <v>40723.979224537034</v>
      </c>
      <c r="C584">
        <v>80</v>
      </c>
      <c r="D584">
        <v>79.688690186000002</v>
      </c>
      <c r="E584">
        <v>50</v>
      </c>
      <c r="F584">
        <v>40.518768311000002</v>
      </c>
      <c r="G584">
        <v>1374.2442627</v>
      </c>
      <c r="H584">
        <v>1359.4927978999999</v>
      </c>
      <c r="I584">
        <v>1322.9044189000001</v>
      </c>
      <c r="J584">
        <v>1319.2624512</v>
      </c>
      <c r="K584">
        <v>1200</v>
      </c>
      <c r="L584">
        <v>0</v>
      </c>
      <c r="M584">
        <v>0</v>
      </c>
      <c r="N584">
        <v>1200</v>
      </c>
    </row>
    <row r="585" spans="1:14" x14ac:dyDescent="0.25">
      <c r="A585">
        <v>426</v>
      </c>
      <c r="B585" s="1">
        <f>DATE(2011,7,1) + TIME(0,0,0)</f>
        <v>40725</v>
      </c>
      <c r="C585">
        <v>80</v>
      </c>
      <c r="D585">
        <v>79.689071655000006</v>
      </c>
      <c r="E585">
        <v>50</v>
      </c>
      <c r="F585">
        <v>40.390838623</v>
      </c>
      <c r="G585">
        <v>1374.1802978999999</v>
      </c>
      <c r="H585">
        <v>1359.4410399999999</v>
      </c>
      <c r="I585">
        <v>1322.8691406</v>
      </c>
      <c r="J585">
        <v>1319.2132568</v>
      </c>
      <c r="K585">
        <v>1200</v>
      </c>
      <c r="L585">
        <v>0</v>
      </c>
      <c r="M585">
        <v>0</v>
      </c>
      <c r="N585">
        <v>1200</v>
      </c>
    </row>
    <row r="586" spans="1:14" x14ac:dyDescent="0.25">
      <c r="A586">
        <v>427.33244100000002</v>
      </c>
      <c r="B586" s="1">
        <f>DATE(2011,7,2) + TIME(7,58,42)</f>
        <v>40726.332430555558</v>
      </c>
      <c r="C586">
        <v>80</v>
      </c>
      <c r="D586">
        <v>79.689598083000007</v>
      </c>
      <c r="E586">
        <v>50</v>
      </c>
      <c r="F586">
        <v>40.239459990999997</v>
      </c>
      <c r="G586">
        <v>1374.1314697</v>
      </c>
      <c r="H586">
        <v>1359.4013672000001</v>
      </c>
      <c r="I586">
        <v>1322.8409423999999</v>
      </c>
      <c r="J586">
        <v>1319.1704102000001</v>
      </c>
      <c r="K586">
        <v>1200</v>
      </c>
      <c r="L586">
        <v>0</v>
      </c>
      <c r="M586">
        <v>0</v>
      </c>
      <c r="N586">
        <v>1200</v>
      </c>
    </row>
    <row r="587" spans="1:14" x14ac:dyDescent="0.25">
      <c r="A587">
        <v>428.68636600000002</v>
      </c>
      <c r="B587" s="1">
        <f>DATE(2011,7,3) + TIME(16,28,22)</f>
        <v>40727.686365740738</v>
      </c>
      <c r="C587">
        <v>80</v>
      </c>
      <c r="D587">
        <v>79.690132141000007</v>
      </c>
      <c r="E587">
        <v>50</v>
      </c>
      <c r="F587">
        <v>40.085830688000001</v>
      </c>
      <c r="G587">
        <v>1374.0684814000001</v>
      </c>
      <c r="H587">
        <v>1359.3503418</v>
      </c>
      <c r="I587">
        <v>1322.8052978999999</v>
      </c>
      <c r="J587">
        <v>1319.1188964999999</v>
      </c>
      <c r="K587">
        <v>1200</v>
      </c>
      <c r="L587">
        <v>0</v>
      </c>
      <c r="M587">
        <v>0</v>
      </c>
      <c r="N587">
        <v>1200</v>
      </c>
    </row>
    <row r="588" spans="1:14" x14ac:dyDescent="0.25">
      <c r="A588">
        <v>430.052593</v>
      </c>
      <c r="B588" s="1">
        <f>DATE(2011,7,5) + TIME(1,15,44)</f>
        <v>40729.05259259259</v>
      </c>
      <c r="C588">
        <v>80</v>
      </c>
      <c r="D588">
        <v>79.690666199000006</v>
      </c>
      <c r="E588">
        <v>50</v>
      </c>
      <c r="F588">
        <v>39.931030272999998</v>
      </c>
      <c r="G588">
        <v>1374.0056152</v>
      </c>
      <c r="H588">
        <v>1359.2993164</v>
      </c>
      <c r="I588">
        <v>1322.7691649999999</v>
      </c>
      <c r="J588">
        <v>1319.0665283000001</v>
      </c>
      <c r="K588">
        <v>1200</v>
      </c>
      <c r="L588">
        <v>0</v>
      </c>
      <c r="M588">
        <v>0</v>
      </c>
      <c r="N588">
        <v>1200</v>
      </c>
    </row>
    <row r="589" spans="1:14" x14ac:dyDescent="0.25">
      <c r="A589">
        <v>431.43492800000001</v>
      </c>
      <c r="B589" s="1">
        <f>DATE(2011,7,6) + TIME(10,26,17)</f>
        <v>40730.434918981482</v>
      </c>
      <c r="C589">
        <v>80</v>
      </c>
      <c r="D589">
        <v>79.691207886000001</v>
      </c>
      <c r="E589">
        <v>50</v>
      </c>
      <c r="F589">
        <v>39.775146483999997</v>
      </c>
      <c r="G589">
        <v>1373.9432373</v>
      </c>
      <c r="H589">
        <v>1359.2487793</v>
      </c>
      <c r="I589">
        <v>1322.7327881000001</v>
      </c>
      <c r="J589">
        <v>1319.0135498</v>
      </c>
      <c r="K589">
        <v>1200</v>
      </c>
      <c r="L589">
        <v>0</v>
      </c>
      <c r="M589">
        <v>0</v>
      </c>
      <c r="N589">
        <v>1200</v>
      </c>
    </row>
    <row r="590" spans="1:14" x14ac:dyDescent="0.25">
      <c r="A590">
        <v>432.83719000000002</v>
      </c>
      <c r="B590" s="1">
        <f>DATE(2011,7,7) + TIME(20,5,33)</f>
        <v>40731.837187500001</v>
      </c>
      <c r="C590">
        <v>80</v>
      </c>
      <c r="D590">
        <v>79.691757202000005</v>
      </c>
      <c r="E590">
        <v>50</v>
      </c>
      <c r="F590">
        <v>39.618118285999998</v>
      </c>
      <c r="G590">
        <v>1373.8813477000001</v>
      </c>
      <c r="H590">
        <v>1359.1984863</v>
      </c>
      <c r="I590">
        <v>1322.6961670000001</v>
      </c>
      <c r="J590">
        <v>1318.9600829999999</v>
      </c>
      <c r="K590">
        <v>1200</v>
      </c>
      <c r="L590">
        <v>0</v>
      </c>
      <c r="M590">
        <v>0</v>
      </c>
      <c r="N590">
        <v>1200</v>
      </c>
    </row>
    <row r="591" spans="1:14" x14ac:dyDescent="0.25">
      <c r="A591">
        <v>434.26339100000001</v>
      </c>
      <c r="B591" s="1">
        <f>DATE(2011,7,9) + TIME(6,19,16)</f>
        <v>40733.263379629629</v>
      </c>
      <c r="C591">
        <v>80</v>
      </c>
      <c r="D591">
        <v>79.692321777000004</v>
      </c>
      <c r="E591">
        <v>50</v>
      </c>
      <c r="F591">
        <v>39.459781647</v>
      </c>
      <c r="G591">
        <v>1373.8197021000001</v>
      </c>
      <c r="H591">
        <v>1359.1484375</v>
      </c>
      <c r="I591">
        <v>1322.6591797000001</v>
      </c>
      <c r="J591">
        <v>1318.9058838000001</v>
      </c>
      <c r="K591">
        <v>1200</v>
      </c>
      <c r="L591">
        <v>0</v>
      </c>
      <c r="M591">
        <v>0</v>
      </c>
      <c r="N591">
        <v>1200</v>
      </c>
    </row>
    <row r="592" spans="1:14" x14ac:dyDescent="0.25">
      <c r="A592">
        <v>435.71775300000002</v>
      </c>
      <c r="B592" s="1">
        <f>DATE(2011,7,10) + TIME(17,13,33)</f>
        <v>40734.717743055553</v>
      </c>
      <c r="C592">
        <v>80</v>
      </c>
      <c r="D592">
        <v>79.692886353000006</v>
      </c>
      <c r="E592">
        <v>50</v>
      </c>
      <c r="F592">
        <v>39.299922942999999</v>
      </c>
      <c r="G592">
        <v>1373.7581786999999</v>
      </c>
      <c r="H592">
        <v>1359.0983887</v>
      </c>
      <c r="I592">
        <v>1322.6218262</v>
      </c>
      <c r="J592">
        <v>1318.8509521000001</v>
      </c>
      <c r="K592">
        <v>1200</v>
      </c>
      <c r="L592">
        <v>0</v>
      </c>
      <c r="M592">
        <v>0</v>
      </c>
      <c r="N592">
        <v>1200</v>
      </c>
    </row>
    <row r="593" spans="1:14" x14ac:dyDescent="0.25">
      <c r="A593">
        <v>437.19410399999998</v>
      </c>
      <c r="B593" s="1">
        <f>DATE(2011,7,12) + TIME(4,39,30)</f>
        <v>40736.194097222222</v>
      </c>
      <c r="C593">
        <v>80</v>
      </c>
      <c r="D593">
        <v>79.693466186999999</v>
      </c>
      <c r="E593">
        <v>50</v>
      </c>
      <c r="F593">
        <v>39.139026641999997</v>
      </c>
      <c r="G593">
        <v>1373.6965332</v>
      </c>
      <c r="H593">
        <v>1359.0482178</v>
      </c>
      <c r="I593">
        <v>1322.5839844</v>
      </c>
      <c r="J593">
        <v>1318.7952881000001</v>
      </c>
      <c r="K593">
        <v>1200</v>
      </c>
      <c r="L593">
        <v>0</v>
      </c>
      <c r="M593">
        <v>0</v>
      </c>
      <c r="N593">
        <v>1200</v>
      </c>
    </row>
    <row r="594" spans="1:14" x14ac:dyDescent="0.25">
      <c r="A594">
        <v>438.69455900000003</v>
      </c>
      <c r="B594" s="1">
        <f>DATE(2011,7,13) + TIME(16,40,9)</f>
        <v>40737.694548611114</v>
      </c>
      <c r="C594">
        <v>80</v>
      </c>
      <c r="D594">
        <v>79.694053650000001</v>
      </c>
      <c r="E594">
        <v>50</v>
      </c>
      <c r="F594">
        <v>38.977081298999998</v>
      </c>
      <c r="G594">
        <v>1373.6350098</v>
      </c>
      <c r="H594">
        <v>1358.9980469</v>
      </c>
      <c r="I594">
        <v>1322.5457764</v>
      </c>
      <c r="J594">
        <v>1318.7390137</v>
      </c>
      <c r="K594">
        <v>1200</v>
      </c>
      <c r="L594">
        <v>0</v>
      </c>
      <c r="M594">
        <v>0</v>
      </c>
      <c r="N594">
        <v>1200</v>
      </c>
    </row>
    <row r="595" spans="1:14" x14ac:dyDescent="0.25">
      <c r="A595">
        <v>440.22348</v>
      </c>
      <c r="B595" s="1">
        <f>DATE(2011,7,15) + TIME(5,21,48)</f>
        <v>40739.22347222222</v>
      </c>
      <c r="C595">
        <v>80</v>
      </c>
      <c r="D595">
        <v>79.694648743000002</v>
      </c>
      <c r="E595">
        <v>50</v>
      </c>
      <c r="F595">
        <v>38.813899994000003</v>
      </c>
      <c r="G595">
        <v>1373.5736084</v>
      </c>
      <c r="H595">
        <v>1358.9479980000001</v>
      </c>
      <c r="I595">
        <v>1322.5073242000001</v>
      </c>
      <c r="J595">
        <v>1318.6820068</v>
      </c>
      <c r="K595">
        <v>1200</v>
      </c>
      <c r="L595">
        <v>0</v>
      </c>
      <c r="M595">
        <v>0</v>
      </c>
      <c r="N595">
        <v>1200</v>
      </c>
    </row>
    <row r="596" spans="1:14" x14ac:dyDescent="0.25">
      <c r="A596">
        <v>441.785528</v>
      </c>
      <c r="B596" s="1">
        <f>DATE(2011,7,16) + TIME(18,51,9)</f>
        <v>40740.785520833335</v>
      </c>
      <c r="C596">
        <v>80</v>
      </c>
      <c r="D596">
        <v>79.695259093999994</v>
      </c>
      <c r="E596">
        <v>50</v>
      </c>
      <c r="F596">
        <v>38.649223327999998</v>
      </c>
      <c r="G596">
        <v>1373.5120850000001</v>
      </c>
      <c r="H596">
        <v>1358.8979492000001</v>
      </c>
      <c r="I596">
        <v>1322.4685059000001</v>
      </c>
      <c r="J596">
        <v>1318.6242675999999</v>
      </c>
      <c r="K596">
        <v>1200</v>
      </c>
      <c r="L596">
        <v>0</v>
      </c>
      <c r="M596">
        <v>0</v>
      </c>
      <c r="N596">
        <v>1200</v>
      </c>
    </row>
    <row r="597" spans="1:14" x14ac:dyDescent="0.25">
      <c r="A597">
        <v>443.385783</v>
      </c>
      <c r="B597" s="1">
        <f>DATE(2011,7,18) + TIME(9,15,31)</f>
        <v>40742.385775462964</v>
      </c>
      <c r="C597">
        <v>80</v>
      </c>
      <c r="D597">
        <v>79.695877074999999</v>
      </c>
      <c r="E597">
        <v>50</v>
      </c>
      <c r="F597">
        <v>38.482772826999998</v>
      </c>
      <c r="G597">
        <v>1373.4503173999999</v>
      </c>
      <c r="H597">
        <v>1358.8475341999999</v>
      </c>
      <c r="I597">
        <v>1322.4291992000001</v>
      </c>
      <c r="J597">
        <v>1318.5656738</v>
      </c>
      <c r="K597">
        <v>1200</v>
      </c>
      <c r="L597">
        <v>0</v>
      </c>
      <c r="M597">
        <v>0</v>
      </c>
      <c r="N597">
        <v>1200</v>
      </c>
    </row>
    <row r="598" spans="1:14" x14ac:dyDescent="0.25">
      <c r="A598">
        <v>445.02340600000002</v>
      </c>
      <c r="B598" s="1">
        <f>DATE(2011,7,20) + TIME(0,33,42)</f>
        <v>40744.023402777777</v>
      </c>
      <c r="C598">
        <v>80</v>
      </c>
      <c r="D598">
        <v>79.696517943999993</v>
      </c>
      <c r="E598">
        <v>50</v>
      </c>
      <c r="F598">
        <v>38.314632416000002</v>
      </c>
      <c r="G598">
        <v>1373.3880615</v>
      </c>
      <c r="H598">
        <v>1358.7966309000001</v>
      </c>
      <c r="I598">
        <v>1322.3894043</v>
      </c>
      <c r="J598">
        <v>1318.5061035000001</v>
      </c>
      <c r="K598">
        <v>1200</v>
      </c>
      <c r="L598">
        <v>0</v>
      </c>
      <c r="M598">
        <v>0</v>
      </c>
      <c r="N598">
        <v>1200</v>
      </c>
    </row>
    <row r="599" spans="1:14" x14ac:dyDescent="0.25">
      <c r="A599">
        <v>446.66971000000001</v>
      </c>
      <c r="B599" s="1">
        <f>DATE(2011,7,21) + TIME(16,4,22)</f>
        <v>40745.669699074075</v>
      </c>
      <c r="C599">
        <v>80</v>
      </c>
      <c r="D599">
        <v>79.697151184000006</v>
      </c>
      <c r="E599">
        <v>50</v>
      </c>
      <c r="F599">
        <v>38.146739959999998</v>
      </c>
      <c r="G599">
        <v>1373.3254394999999</v>
      </c>
      <c r="H599">
        <v>1358.7454834</v>
      </c>
      <c r="I599">
        <v>1322.348999</v>
      </c>
      <c r="J599">
        <v>1318.4456786999999</v>
      </c>
      <c r="K599">
        <v>1200</v>
      </c>
      <c r="L599">
        <v>0</v>
      </c>
      <c r="M599">
        <v>0</v>
      </c>
      <c r="N599">
        <v>1200</v>
      </c>
    </row>
    <row r="600" spans="1:14" x14ac:dyDescent="0.25">
      <c r="A600">
        <v>448.32932399999999</v>
      </c>
      <c r="B600" s="1">
        <f>DATE(2011,7,23) + TIME(7,54,13)</f>
        <v>40747.329317129632</v>
      </c>
      <c r="C600">
        <v>80</v>
      </c>
      <c r="D600">
        <v>79.697792053000001</v>
      </c>
      <c r="E600">
        <v>50</v>
      </c>
      <c r="F600">
        <v>37.979270935000002</v>
      </c>
      <c r="G600">
        <v>1373.2635498</v>
      </c>
      <c r="H600">
        <v>1358.6948242000001</v>
      </c>
      <c r="I600">
        <v>1322.3089600000001</v>
      </c>
      <c r="J600">
        <v>1318.3852539</v>
      </c>
      <c r="K600">
        <v>1200</v>
      </c>
      <c r="L600">
        <v>0</v>
      </c>
      <c r="M600">
        <v>0</v>
      </c>
      <c r="N600">
        <v>1200</v>
      </c>
    </row>
    <row r="601" spans="1:14" x14ac:dyDescent="0.25">
      <c r="A601">
        <v>450.00687399999998</v>
      </c>
      <c r="B601" s="1">
        <f>DATE(2011,7,25) + TIME(0,9,53)</f>
        <v>40749.006863425922</v>
      </c>
      <c r="C601">
        <v>80</v>
      </c>
      <c r="D601">
        <v>79.698432921999995</v>
      </c>
      <c r="E601">
        <v>50</v>
      </c>
      <c r="F601">
        <v>37.812225341999998</v>
      </c>
      <c r="G601">
        <v>1373.2021483999999</v>
      </c>
      <c r="H601">
        <v>1358.6445312000001</v>
      </c>
      <c r="I601">
        <v>1322.2689209</v>
      </c>
      <c r="J601">
        <v>1318.3248291</v>
      </c>
      <c r="K601">
        <v>1200</v>
      </c>
      <c r="L601">
        <v>0</v>
      </c>
      <c r="M601">
        <v>0</v>
      </c>
      <c r="N601">
        <v>1200</v>
      </c>
    </row>
    <row r="602" spans="1:14" x14ac:dyDescent="0.25">
      <c r="A602">
        <v>451.707112</v>
      </c>
      <c r="B602" s="1">
        <f>DATE(2011,7,26) + TIME(16,58,14)</f>
        <v>40750.707106481481</v>
      </c>
      <c r="C602">
        <v>80</v>
      </c>
      <c r="D602">
        <v>79.699089049999998</v>
      </c>
      <c r="E602">
        <v>50</v>
      </c>
      <c r="F602">
        <v>37.645500183000003</v>
      </c>
      <c r="G602">
        <v>1373.1411132999999</v>
      </c>
      <c r="H602">
        <v>1358.5943603999999</v>
      </c>
      <c r="I602">
        <v>1322.2290039</v>
      </c>
      <c r="J602">
        <v>1318.2642822</v>
      </c>
      <c r="K602">
        <v>1200</v>
      </c>
      <c r="L602">
        <v>0</v>
      </c>
      <c r="M602">
        <v>0</v>
      </c>
      <c r="N602">
        <v>1200</v>
      </c>
    </row>
    <row r="603" spans="1:14" x14ac:dyDescent="0.25">
      <c r="A603">
        <v>453.43496299999998</v>
      </c>
      <c r="B603" s="1">
        <f>DATE(2011,7,28) + TIME(10,26,20)</f>
        <v>40752.434953703705</v>
      </c>
      <c r="C603">
        <v>80</v>
      </c>
      <c r="D603">
        <v>79.699745178000001</v>
      </c>
      <c r="E603">
        <v>50</v>
      </c>
      <c r="F603">
        <v>37.478927612</v>
      </c>
      <c r="G603">
        <v>1373.0802002</v>
      </c>
      <c r="H603">
        <v>1358.5444336</v>
      </c>
      <c r="I603">
        <v>1322.1892089999999</v>
      </c>
      <c r="J603">
        <v>1318.2034911999999</v>
      </c>
      <c r="K603">
        <v>1200</v>
      </c>
      <c r="L603">
        <v>0</v>
      </c>
      <c r="M603">
        <v>0</v>
      </c>
      <c r="N603">
        <v>1200</v>
      </c>
    </row>
    <row r="604" spans="1:14" x14ac:dyDescent="0.25">
      <c r="A604">
        <v>455.195606</v>
      </c>
      <c r="B604" s="1">
        <f>DATE(2011,7,30) + TIME(4,41,40)</f>
        <v>40754.195601851854</v>
      </c>
      <c r="C604">
        <v>80</v>
      </c>
      <c r="D604">
        <v>79.700416564999998</v>
      </c>
      <c r="E604">
        <v>50</v>
      </c>
      <c r="F604">
        <v>37.312309265000003</v>
      </c>
      <c r="G604">
        <v>1373.0192870999999</v>
      </c>
      <c r="H604">
        <v>1358.4942627</v>
      </c>
      <c r="I604">
        <v>1322.1492920000001</v>
      </c>
      <c r="J604">
        <v>1318.1424560999999</v>
      </c>
      <c r="K604">
        <v>1200</v>
      </c>
      <c r="L604">
        <v>0</v>
      </c>
      <c r="M604">
        <v>0</v>
      </c>
      <c r="N604">
        <v>1200</v>
      </c>
    </row>
    <row r="605" spans="1:14" x14ac:dyDescent="0.25">
      <c r="A605">
        <v>457</v>
      </c>
      <c r="B605" s="1">
        <f>DATE(2011,8,1) + TIME(0,0,0)</f>
        <v>40756</v>
      </c>
      <c r="C605">
        <v>80</v>
      </c>
      <c r="D605">
        <v>79.701103209999999</v>
      </c>
      <c r="E605">
        <v>50</v>
      </c>
      <c r="F605">
        <v>37.145133971999996</v>
      </c>
      <c r="G605">
        <v>1372.9581298999999</v>
      </c>
      <c r="H605">
        <v>1358.4439697</v>
      </c>
      <c r="I605">
        <v>1322.109375</v>
      </c>
      <c r="J605">
        <v>1318.0809326000001</v>
      </c>
      <c r="K605">
        <v>1200</v>
      </c>
      <c r="L605">
        <v>0</v>
      </c>
      <c r="M605">
        <v>0</v>
      </c>
      <c r="N605">
        <v>1200</v>
      </c>
    </row>
    <row r="606" spans="1:14" x14ac:dyDescent="0.25">
      <c r="A606">
        <v>458.79900300000003</v>
      </c>
      <c r="B606" s="1">
        <f>DATE(2011,8,2) + TIME(19,10,33)</f>
        <v>40757.798993055556</v>
      </c>
      <c r="C606">
        <v>80</v>
      </c>
      <c r="D606">
        <v>79.701782226999995</v>
      </c>
      <c r="E606">
        <v>50</v>
      </c>
      <c r="F606">
        <v>36.98015213</v>
      </c>
      <c r="G606">
        <v>1372.8963623</v>
      </c>
      <c r="H606">
        <v>1358.3930664</v>
      </c>
      <c r="I606">
        <v>1322.0692139</v>
      </c>
      <c r="J606">
        <v>1318.0189209</v>
      </c>
      <c r="K606">
        <v>1200</v>
      </c>
      <c r="L606">
        <v>0</v>
      </c>
      <c r="M606">
        <v>0</v>
      </c>
      <c r="N606">
        <v>1200</v>
      </c>
    </row>
    <row r="607" spans="1:14" x14ac:dyDescent="0.25">
      <c r="A607">
        <v>460.67314699999997</v>
      </c>
      <c r="B607" s="1">
        <f>DATE(2011,8,4) + TIME(16,9,19)</f>
        <v>40759.673136574071</v>
      </c>
      <c r="C607">
        <v>80</v>
      </c>
      <c r="D607">
        <v>79.702491760000001</v>
      </c>
      <c r="E607">
        <v>50</v>
      </c>
      <c r="F607">
        <v>36.813743590999998</v>
      </c>
      <c r="G607">
        <v>1372.8358154</v>
      </c>
      <c r="H607">
        <v>1358.3430175999999</v>
      </c>
      <c r="I607">
        <v>1322.0297852000001</v>
      </c>
      <c r="J607">
        <v>1317.9575195</v>
      </c>
      <c r="K607">
        <v>1200</v>
      </c>
      <c r="L607">
        <v>0</v>
      </c>
      <c r="M607">
        <v>0</v>
      </c>
      <c r="N607">
        <v>1200</v>
      </c>
    </row>
    <row r="608" spans="1:14" x14ac:dyDescent="0.25">
      <c r="A608">
        <v>462.56422199999997</v>
      </c>
      <c r="B608" s="1">
        <f>DATE(2011,8,6) + TIME(13,32,28)</f>
        <v>40761.564212962963</v>
      </c>
      <c r="C608">
        <v>80</v>
      </c>
      <c r="D608">
        <v>79.703201293999996</v>
      </c>
      <c r="E608">
        <v>50</v>
      </c>
      <c r="F608">
        <v>36.648563385000003</v>
      </c>
      <c r="G608">
        <v>1372.7735596</v>
      </c>
      <c r="H608">
        <v>1358.291626</v>
      </c>
      <c r="I608">
        <v>1321.989624</v>
      </c>
      <c r="J608">
        <v>1317.8950195</v>
      </c>
      <c r="K608">
        <v>1200</v>
      </c>
      <c r="L608">
        <v>0</v>
      </c>
      <c r="M608">
        <v>0</v>
      </c>
      <c r="N608">
        <v>1200</v>
      </c>
    </row>
    <row r="609" spans="1:14" x14ac:dyDescent="0.25">
      <c r="A609">
        <v>464.47837399999997</v>
      </c>
      <c r="B609" s="1">
        <f>DATE(2011,8,8) + TIME(11,28,51)</f>
        <v>40763.478368055556</v>
      </c>
      <c r="C609">
        <v>80</v>
      </c>
      <c r="D609">
        <v>79.703910828000005</v>
      </c>
      <c r="E609">
        <v>50</v>
      </c>
      <c r="F609">
        <v>36.484912872000002</v>
      </c>
      <c r="G609">
        <v>1372.7117920000001</v>
      </c>
      <c r="H609">
        <v>1358.2403564000001</v>
      </c>
      <c r="I609">
        <v>1321.9499512</v>
      </c>
      <c r="J609">
        <v>1317.8327637</v>
      </c>
      <c r="K609">
        <v>1200</v>
      </c>
      <c r="L609">
        <v>0</v>
      </c>
      <c r="M609">
        <v>0</v>
      </c>
      <c r="N609">
        <v>1200</v>
      </c>
    </row>
    <row r="610" spans="1:14" x14ac:dyDescent="0.25">
      <c r="A610">
        <v>466.41254900000001</v>
      </c>
      <c r="B610" s="1">
        <f>DATE(2011,8,10) + TIME(9,54,4)</f>
        <v>40765.412546296298</v>
      </c>
      <c r="C610">
        <v>80</v>
      </c>
      <c r="D610">
        <v>79.704627990999995</v>
      </c>
      <c r="E610">
        <v>50</v>
      </c>
      <c r="F610">
        <v>36.323360442999999</v>
      </c>
      <c r="G610">
        <v>1372.6500243999999</v>
      </c>
      <c r="H610">
        <v>1358.1890868999999</v>
      </c>
      <c r="I610">
        <v>1321.9107666</v>
      </c>
      <c r="J610">
        <v>1317.7707519999999</v>
      </c>
      <c r="K610">
        <v>1200</v>
      </c>
      <c r="L610">
        <v>0</v>
      </c>
      <c r="M610">
        <v>0</v>
      </c>
      <c r="N610">
        <v>1200</v>
      </c>
    </row>
    <row r="611" spans="1:14" x14ac:dyDescent="0.25">
      <c r="A611">
        <v>468.36400300000003</v>
      </c>
      <c r="B611" s="1">
        <f>DATE(2011,8,12) + TIME(8,44,9)</f>
        <v>40767.363993055558</v>
      </c>
      <c r="C611">
        <v>80</v>
      </c>
      <c r="D611">
        <v>79.705352782999995</v>
      </c>
      <c r="E611">
        <v>50</v>
      </c>
      <c r="F611">
        <v>36.164485931000002</v>
      </c>
      <c r="G611">
        <v>1372.588501</v>
      </c>
      <c r="H611">
        <v>1358.1379394999999</v>
      </c>
      <c r="I611">
        <v>1321.8720702999999</v>
      </c>
      <c r="J611">
        <v>1317.7092285000001</v>
      </c>
      <c r="K611">
        <v>1200</v>
      </c>
      <c r="L611">
        <v>0</v>
      </c>
      <c r="M611">
        <v>0</v>
      </c>
      <c r="N611">
        <v>1200</v>
      </c>
    </row>
    <row r="612" spans="1:14" x14ac:dyDescent="0.25">
      <c r="A612">
        <v>470.33848699999999</v>
      </c>
      <c r="B612" s="1">
        <f>DATE(2011,8,14) + TIME(8,7,25)</f>
        <v>40769.338483796295</v>
      </c>
      <c r="C612">
        <v>80</v>
      </c>
      <c r="D612">
        <v>79.706077575999998</v>
      </c>
      <c r="E612">
        <v>50</v>
      </c>
      <c r="F612">
        <v>36.008449554000002</v>
      </c>
      <c r="G612">
        <v>1372.5272216999999</v>
      </c>
      <c r="H612">
        <v>1358.0870361</v>
      </c>
      <c r="I612">
        <v>1321.8339844</v>
      </c>
      <c r="J612">
        <v>1317.6484375</v>
      </c>
      <c r="K612">
        <v>1200</v>
      </c>
      <c r="L612">
        <v>0</v>
      </c>
      <c r="M612">
        <v>0</v>
      </c>
      <c r="N612">
        <v>1200</v>
      </c>
    </row>
    <row r="613" spans="1:14" x14ac:dyDescent="0.25">
      <c r="A613">
        <v>472.34187500000002</v>
      </c>
      <c r="B613" s="1">
        <f>DATE(2011,8,16) + TIME(8,12,18)</f>
        <v>40771.341874999998</v>
      </c>
      <c r="C613">
        <v>80</v>
      </c>
      <c r="D613">
        <v>79.706809997999997</v>
      </c>
      <c r="E613">
        <v>50</v>
      </c>
      <c r="F613">
        <v>35.855342864999997</v>
      </c>
      <c r="G613">
        <v>1372.4661865</v>
      </c>
      <c r="H613">
        <v>1358.0361327999999</v>
      </c>
      <c r="I613">
        <v>1321.7966309000001</v>
      </c>
      <c r="J613">
        <v>1317.5882568</v>
      </c>
      <c r="K613">
        <v>1200</v>
      </c>
      <c r="L613">
        <v>0</v>
      </c>
      <c r="M613">
        <v>0</v>
      </c>
      <c r="N613">
        <v>1200</v>
      </c>
    </row>
    <row r="614" spans="1:14" x14ac:dyDescent="0.25">
      <c r="A614">
        <v>474.38039900000001</v>
      </c>
      <c r="B614" s="1">
        <f>DATE(2011,8,18) + TIME(9,7,46)</f>
        <v>40773.380393518521</v>
      </c>
      <c r="C614">
        <v>80</v>
      </c>
      <c r="D614">
        <v>79.707550049000005</v>
      </c>
      <c r="E614">
        <v>50</v>
      </c>
      <c r="F614">
        <v>35.705223083</v>
      </c>
      <c r="G614">
        <v>1372.4050293</v>
      </c>
      <c r="H614">
        <v>1357.9849853999999</v>
      </c>
      <c r="I614">
        <v>1321.7600098</v>
      </c>
      <c r="J614">
        <v>1317.5285644999999</v>
      </c>
      <c r="K614">
        <v>1200</v>
      </c>
      <c r="L614">
        <v>0</v>
      </c>
      <c r="M614">
        <v>0</v>
      </c>
      <c r="N614">
        <v>1200</v>
      </c>
    </row>
    <row r="615" spans="1:14" x14ac:dyDescent="0.25">
      <c r="A615">
        <v>476.46064100000001</v>
      </c>
      <c r="B615" s="1">
        <f>DATE(2011,8,20) + TIME(11,3,19)</f>
        <v>40775.460636574076</v>
      </c>
      <c r="C615">
        <v>80</v>
      </c>
      <c r="D615">
        <v>79.708297728999995</v>
      </c>
      <c r="E615">
        <v>50</v>
      </c>
      <c r="F615">
        <v>35.558216094999999</v>
      </c>
      <c r="G615">
        <v>1372.3436279</v>
      </c>
      <c r="H615">
        <v>1357.9335937999999</v>
      </c>
      <c r="I615">
        <v>1321.7238769999999</v>
      </c>
      <c r="J615">
        <v>1317.4694824000001</v>
      </c>
      <c r="K615">
        <v>1200</v>
      </c>
      <c r="L615">
        <v>0</v>
      </c>
      <c r="M615">
        <v>0</v>
      </c>
      <c r="N615">
        <v>1200</v>
      </c>
    </row>
    <row r="616" spans="1:14" x14ac:dyDescent="0.25">
      <c r="A616">
        <v>478.58959700000003</v>
      </c>
      <c r="B616" s="1">
        <f>DATE(2011,8,22) + TIME(14,9,1)</f>
        <v>40777.589594907404</v>
      </c>
      <c r="C616">
        <v>80</v>
      </c>
      <c r="D616">
        <v>79.709068298000005</v>
      </c>
      <c r="E616">
        <v>50</v>
      </c>
      <c r="F616">
        <v>35.414482116999999</v>
      </c>
      <c r="G616">
        <v>1372.2817382999999</v>
      </c>
      <c r="H616">
        <v>1357.8817139</v>
      </c>
      <c r="I616">
        <v>1321.6884766000001</v>
      </c>
      <c r="J616">
        <v>1317.4108887</v>
      </c>
      <c r="K616">
        <v>1200</v>
      </c>
      <c r="L616">
        <v>0</v>
      </c>
      <c r="M616">
        <v>0</v>
      </c>
      <c r="N616">
        <v>1200</v>
      </c>
    </row>
    <row r="617" spans="1:14" x14ac:dyDescent="0.25">
      <c r="A617">
        <v>480.76199200000002</v>
      </c>
      <c r="B617" s="1">
        <f>DATE(2011,8,24) + TIME(18,17,16)</f>
        <v>40779.761990740742</v>
      </c>
      <c r="C617">
        <v>80</v>
      </c>
      <c r="D617">
        <v>79.709846497000001</v>
      </c>
      <c r="E617">
        <v>50</v>
      </c>
      <c r="F617">
        <v>35.274711609000001</v>
      </c>
      <c r="G617">
        <v>1372.2191161999999</v>
      </c>
      <c r="H617">
        <v>1357.8292236</v>
      </c>
      <c r="I617">
        <v>1321.6536865</v>
      </c>
      <c r="J617">
        <v>1317.3527832</v>
      </c>
      <c r="K617">
        <v>1200</v>
      </c>
      <c r="L617">
        <v>0</v>
      </c>
      <c r="M617">
        <v>0</v>
      </c>
      <c r="N617">
        <v>1200</v>
      </c>
    </row>
    <row r="618" spans="1:14" x14ac:dyDescent="0.25">
      <c r="A618">
        <v>482.95225900000003</v>
      </c>
      <c r="B618" s="1">
        <f>DATE(2011,8,26) + TIME(22,51,15)</f>
        <v>40781.952256944445</v>
      </c>
      <c r="C618">
        <v>80</v>
      </c>
      <c r="D618">
        <v>79.710624695000007</v>
      </c>
      <c r="E618">
        <v>50</v>
      </c>
      <c r="F618">
        <v>35.140483856000003</v>
      </c>
      <c r="G618">
        <v>1372.1561279</v>
      </c>
      <c r="H618">
        <v>1357.7761230000001</v>
      </c>
      <c r="I618">
        <v>1321.619751</v>
      </c>
      <c r="J618">
        <v>1317.2957764</v>
      </c>
      <c r="K618">
        <v>1200</v>
      </c>
      <c r="L618">
        <v>0</v>
      </c>
      <c r="M618">
        <v>0</v>
      </c>
      <c r="N618">
        <v>1200</v>
      </c>
    </row>
    <row r="619" spans="1:14" x14ac:dyDescent="0.25">
      <c r="A619">
        <v>485.16746499999999</v>
      </c>
      <c r="B619" s="1">
        <f>DATE(2011,8,29) + TIME(4,1,8)</f>
        <v>40784.167453703703</v>
      </c>
      <c r="C619">
        <v>80</v>
      </c>
      <c r="D619">
        <v>79.711402892999999</v>
      </c>
      <c r="E619">
        <v>50</v>
      </c>
      <c r="F619">
        <v>35.012500762999998</v>
      </c>
      <c r="G619">
        <v>1372.0933838000001</v>
      </c>
      <c r="H619">
        <v>1357.7231445</v>
      </c>
      <c r="I619">
        <v>1321.5870361</v>
      </c>
      <c r="J619">
        <v>1317.2401123</v>
      </c>
      <c r="K619">
        <v>1200</v>
      </c>
      <c r="L619">
        <v>0</v>
      </c>
      <c r="M619">
        <v>0</v>
      </c>
      <c r="N619">
        <v>1200</v>
      </c>
    </row>
    <row r="620" spans="1:14" x14ac:dyDescent="0.25">
      <c r="A620">
        <v>487.414648</v>
      </c>
      <c r="B620" s="1">
        <f>DATE(2011,8,31) + TIME(9,57,5)</f>
        <v>40786.414641203701</v>
      </c>
      <c r="C620">
        <v>80</v>
      </c>
      <c r="D620">
        <v>79.712188721000004</v>
      </c>
      <c r="E620">
        <v>50</v>
      </c>
      <c r="F620">
        <v>34.891357421999999</v>
      </c>
      <c r="G620">
        <v>1372.0306396000001</v>
      </c>
      <c r="H620">
        <v>1357.6701660000001</v>
      </c>
      <c r="I620">
        <v>1321.5557861</v>
      </c>
      <c r="J620">
        <v>1317.1861572</v>
      </c>
      <c r="K620">
        <v>1200</v>
      </c>
      <c r="L620">
        <v>0</v>
      </c>
      <c r="M620">
        <v>0</v>
      </c>
      <c r="N620">
        <v>1200</v>
      </c>
    </row>
    <row r="621" spans="1:14" x14ac:dyDescent="0.25">
      <c r="A621">
        <v>488</v>
      </c>
      <c r="B621" s="1">
        <f>DATE(2011,9,1) + TIME(0,0,0)</f>
        <v>40787</v>
      </c>
      <c r="C621">
        <v>80</v>
      </c>
      <c r="D621">
        <v>79.712364196999999</v>
      </c>
      <c r="E621">
        <v>50</v>
      </c>
      <c r="F621">
        <v>34.846939087000003</v>
      </c>
      <c r="G621">
        <v>1371.9675293</v>
      </c>
      <c r="H621">
        <v>1357.6166992000001</v>
      </c>
      <c r="I621">
        <v>1321.5279541</v>
      </c>
      <c r="J621">
        <v>1317.1428223</v>
      </c>
      <c r="K621">
        <v>1200</v>
      </c>
      <c r="L621">
        <v>0</v>
      </c>
      <c r="M621">
        <v>0</v>
      </c>
      <c r="N621">
        <v>1200</v>
      </c>
    </row>
    <row r="622" spans="1:14" x14ac:dyDescent="0.25">
      <c r="A622">
        <v>490.28656699999999</v>
      </c>
      <c r="B622" s="1">
        <f>DATE(2011,9,3) + TIME(6,52,39)</f>
        <v>40789.286562499998</v>
      </c>
      <c r="C622">
        <v>80</v>
      </c>
      <c r="D622">
        <v>79.713180542000003</v>
      </c>
      <c r="E622">
        <v>50</v>
      </c>
      <c r="F622">
        <v>34.742683411000002</v>
      </c>
      <c r="G622">
        <v>1371.9511719</v>
      </c>
      <c r="H622">
        <v>1357.6026611</v>
      </c>
      <c r="I622">
        <v>1321.5169678</v>
      </c>
      <c r="J622">
        <v>1317.1180420000001</v>
      </c>
      <c r="K622">
        <v>1200</v>
      </c>
      <c r="L622">
        <v>0</v>
      </c>
      <c r="M622">
        <v>0</v>
      </c>
      <c r="N622">
        <v>1200</v>
      </c>
    </row>
    <row r="623" spans="1:14" x14ac:dyDescent="0.25">
      <c r="A623">
        <v>492.61041799999998</v>
      </c>
      <c r="B623" s="1">
        <f>DATE(2011,9,5) + TIME(14,39,0)</f>
        <v>40791.61041666667</v>
      </c>
      <c r="C623">
        <v>80</v>
      </c>
      <c r="D623">
        <v>79.713989257999998</v>
      </c>
      <c r="E623">
        <v>50</v>
      </c>
      <c r="F623">
        <v>34.643787383999999</v>
      </c>
      <c r="G623">
        <v>1371.8884277</v>
      </c>
      <c r="H623">
        <v>1357.5494385</v>
      </c>
      <c r="I623">
        <v>1321.4899902</v>
      </c>
      <c r="J623">
        <v>1317.0698242000001</v>
      </c>
      <c r="K623">
        <v>1200</v>
      </c>
      <c r="L623">
        <v>0</v>
      </c>
      <c r="M623">
        <v>0</v>
      </c>
      <c r="N623">
        <v>1200</v>
      </c>
    </row>
    <row r="624" spans="1:14" x14ac:dyDescent="0.25">
      <c r="A624">
        <v>494.96753699999999</v>
      </c>
      <c r="B624" s="1">
        <f>DATE(2011,9,7) + TIME(23,13,15)</f>
        <v>40793.967534722222</v>
      </c>
      <c r="C624">
        <v>80</v>
      </c>
      <c r="D624">
        <v>79.714797974000007</v>
      </c>
      <c r="E624">
        <v>50</v>
      </c>
      <c r="F624">
        <v>34.552799225000001</v>
      </c>
      <c r="G624">
        <v>1371.8250731999999</v>
      </c>
      <c r="H624">
        <v>1357.4954834</v>
      </c>
      <c r="I624">
        <v>1321.4642334</v>
      </c>
      <c r="J624">
        <v>1317.0229492000001</v>
      </c>
      <c r="K624">
        <v>1200</v>
      </c>
      <c r="L624">
        <v>0</v>
      </c>
      <c r="M624">
        <v>0</v>
      </c>
      <c r="N624">
        <v>1200</v>
      </c>
    </row>
    <row r="625" spans="1:14" x14ac:dyDescent="0.25">
      <c r="A625">
        <v>497.36567700000001</v>
      </c>
      <c r="B625" s="1">
        <f>DATE(2011,9,10) + TIME(8,46,34)</f>
        <v>40796.365671296298</v>
      </c>
      <c r="C625">
        <v>80</v>
      </c>
      <c r="D625">
        <v>79.715621948000006</v>
      </c>
      <c r="E625">
        <v>50</v>
      </c>
      <c r="F625">
        <v>34.471485137999998</v>
      </c>
      <c r="G625">
        <v>1371.7615966999999</v>
      </c>
      <c r="H625">
        <v>1357.4411620999999</v>
      </c>
      <c r="I625">
        <v>1321.4400635</v>
      </c>
      <c r="J625">
        <v>1316.9781493999999</v>
      </c>
      <c r="K625">
        <v>1200</v>
      </c>
      <c r="L625">
        <v>0</v>
      </c>
      <c r="M625">
        <v>0</v>
      </c>
      <c r="N625">
        <v>1200</v>
      </c>
    </row>
    <row r="626" spans="1:14" x14ac:dyDescent="0.25">
      <c r="A626">
        <v>499.79946699999999</v>
      </c>
      <c r="B626" s="1">
        <f>DATE(2011,9,12) + TIME(19,11,13)</f>
        <v>40798.799456018518</v>
      </c>
      <c r="C626">
        <v>80</v>
      </c>
      <c r="D626">
        <v>79.716445922999995</v>
      </c>
      <c r="E626">
        <v>50</v>
      </c>
      <c r="F626">
        <v>34.401546478</v>
      </c>
      <c r="G626">
        <v>1371.6976318</v>
      </c>
      <c r="H626">
        <v>1357.3864745999999</v>
      </c>
      <c r="I626">
        <v>1321.4178466999999</v>
      </c>
      <c r="J626">
        <v>1316.9359131000001</v>
      </c>
      <c r="K626">
        <v>1200</v>
      </c>
      <c r="L626">
        <v>0</v>
      </c>
      <c r="M626">
        <v>0</v>
      </c>
      <c r="N626">
        <v>1200</v>
      </c>
    </row>
    <row r="627" spans="1:14" x14ac:dyDescent="0.25">
      <c r="A627">
        <v>502.249798</v>
      </c>
      <c r="B627" s="1">
        <f>DATE(2011,9,15) + TIME(5,59,42)</f>
        <v>40801.249791666669</v>
      </c>
      <c r="C627">
        <v>80</v>
      </c>
      <c r="D627">
        <v>79.717262267999999</v>
      </c>
      <c r="E627">
        <v>50</v>
      </c>
      <c r="F627">
        <v>34.344726561999998</v>
      </c>
      <c r="G627">
        <v>1371.6334228999999</v>
      </c>
      <c r="H627">
        <v>1357.3314209</v>
      </c>
      <c r="I627">
        <v>1321.3978271000001</v>
      </c>
      <c r="J627">
        <v>1316.8964844</v>
      </c>
      <c r="K627">
        <v>1200</v>
      </c>
      <c r="L627">
        <v>0</v>
      </c>
      <c r="M627">
        <v>0</v>
      </c>
      <c r="N627">
        <v>1200</v>
      </c>
    </row>
    <row r="628" spans="1:14" x14ac:dyDescent="0.25">
      <c r="A628">
        <v>504.72492599999998</v>
      </c>
      <c r="B628" s="1">
        <f>DATE(2011,9,17) + TIME(17,23,53)</f>
        <v>40803.724918981483</v>
      </c>
      <c r="C628">
        <v>80</v>
      </c>
      <c r="D628">
        <v>79.718086243000002</v>
      </c>
      <c r="E628">
        <v>50</v>
      </c>
      <c r="F628">
        <v>34.302284241000002</v>
      </c>
      <c r="G628">
        <v>1371.5695800999999</v>
      </c>
      <c r="H628">
        <v>1357.2764893000001</v>
      </c>
      <c r="I628">
        <v>1321.380249</v>
      </c>
      <c r="J628">
        <v>1316.8605957</v>
      </c>
      <c r="K628">
        <v>1200</v>
      </c>
      <c r="L628">
        <v>0</v>
      </c>
      <c r="M628">
        <v>0</v>
      </c>
      <c r="N628">
        <v>1200</v>
      </c>
    </row>
    <row r="629" spans="1:14" x14ac:dyDescent="0.25">
      <c r="A629">
        <v>507.233205</v>
      </c>
      <c r="B629" s="1">
        <f>DATE(2011,9,20) + TIME(5,35,48)</f>
        <v>40806.233194444445</v>
      </c>
      <c r="C629">
        <v>80</v>
      </c>
      <c r="D629">
        <v>79.718917847</v>
      </c>
      <c r="E629">
        <v>50</v>
      </c>
      <c r="F629">
        <v>34.275451660000002</v>
      </c>
      <c r="G629">
        <v>1371.5057373</v>
      </c>
      <c r="H629">
        <v>1357.2214355000001</v>
      </c>
      <c r="I629">
        <v>1321.3651123</v>
      </c>
      <c r="J629">
        <v>1316.8284911999999</v>
      </c>
      <c r="K629">
        <v>1200</v>
      </c>
      <c r="L629">
        <v>0</v>
      </c>
      <c r="M629">
        <v>0</v>
      </c>
      <c r="N629">
        <v>1200</v>
      </c>
    </row>
    <row r="630" spans="1:14" x14ac:dyDescent="0.25">
      <c r="A630">
        <v>509.78312599999998</v>
      </c>
      <c r="B630" s="1">
        <f>DATE(2011,9,22) + TIME(18,47,42)</f>
        <v>40808.783125000002</v>
      </c>
      <c r="C630">
        <v>80</v>
      </c>
      <c r="D630">
        <v>79.719757079999994</v>
      </c>
      <c r="E630">
        <v>50</v>
      </c>
      <c r="F630">
        <v>34.265563964999998</v>
      </c>
      <c r="G630">
        <v>1371.4417725000001</v>
      </c>
      <c r="H630">
        <v>1357.1660156</v>
      </c>
      <c r="I630">
        <v>1321.3527832</v>
      </c>
      <c r="J630">
        <v>1316.800293</v>
      </c>
      <c r="K630">
        <v>1200</v>
      </c>
      <c r="L630">
        <v>0</v>
      </c>
      <c r="M630">
        <v>0</v>
      </c>
      <c r="N630">
        <v>1200</v>
      </c>
    </row>
    <row r="631" spans="1:14" x14ac:dyDescent="0.25">
      <c r="A631">
        <v>512.38375299999996</v>
      </c>
      <c r="B631" s="1">
        <f>DATE(2011,9,25) + TIME(9,12,36)</f>
        <v>40811.383750000001</v>
      </c>
      <c r="C631">
        <v>80</v>
      </c>
      <c r="D631">
        <v>79.720603943</v>
      </c>
      <c r="E631">
        <v>50</v>
      </c>
      <c r="F631">
        <v>34.274147034000002</v>
      </c>
      <c r="G631">
        <v>1371.3773193</v>
      </c>
      <c r="H631">
        <v>1357.1102295000001</v>
      </c>
      <c r="I631">
        <v>1321.3432617000001</v>
      </c>
      <c r="J631">
        <v>1316.7761230000001</v>
      </c>
      <c r="K631">
        <v>1200</v>
      </c>
      <c r="L631">
        <v>0</v>
      </c>
      <c r="M631">
        <v>0</v>
      </c>
      <c r="N631">
        <v>1200</v>
      </c>
    </row>
    <row r="632" spans="1:14" x14ac:dyDescent="0.25">
      <c r="A632">
        <v>515.03644999999995</v>
      </c>
      <c r="B632" s="1">
        <f>DATE(2011,9,28) + TIME(0,52,29)</f>
        <v>40814.036446759259</v>
      </c>
      <c r="C632">
        <v>80</v>
      </c>
      <c r="D632">
        <v>79.721458435000002</v>
      </c>
      <c r="E632">
        <v>50</v>
      </c>
      <c r="F632">
        <v>34.302936553999999</v>
      </c>
      <c r="G632">
        <v>1371.3123779</v>
      </c>
      <c r="H632">
        <v>1357.0538329999999</v>
      </c>
      <c r="I632">
        <v>1321.3367920000001</v>
      </c>
      <c r="J632">
        <v>1316.7565918</v>
      </c>
      <c r="K632">
        <v>1200</v>
      </c>
      <c r="L632">
        <v>0</v>
      </c>
      <c r="M632">
        <v>0</v>
      </c>
      <c r="N632">
        <v>1200</v>
      </c>
    </row>
    <row r="633" spans="1:14" x14ac:dyDescent="0.25">
      <c r="A633">
        <v>517.71224800000005</v>
      </c>
      <c r="B633" s="1">
        <f>DATE(2011,9,30) + TIME(17,5,38)</f>
        <v>40816.712245370371</v>
      </c>
      <c r="C633">
        <v>80</v>
      </c>
      <c r="D633">
        <v>79.722320557000003</v>
      </c>
      <c r="E633">
        <v>50</v>
      </c>
      <c r="F633">
        <v>34.353511810000001</v>
      </c>
      <c r="G633">
        <v>1371.2469481999999</v>
      </c>
      <c r="H633">
        <v>1356.9968262</v>
      </c>
      <c r="I633">
        <v>1321.3336182</v>
      </c>
      <c r="J633">
        <v>1316.7420654</v>
      </c>
      <c r="K633">
        <v>1200</v>
      </c>
      <c r="L633">
        <v>0</v>
      </c>
      <c r="M633">
        <v>0</v>
      </c>
      <c r="N633">
        <v>1200</v>
      </c>
    </row>
    <row r="634" spans="1:14" x14ac:dyDescent="0.25">
      <c r="A634">
        <v>518</v>
      </c>
      <c r="B634" s="1">
        <f>DATE(2011,10,1) + TIME(0,0,0)</f>
        <v>40817</v>
      </c>
      <c r="C634">
        <v>80</v>
      </c>
      <c r="D634">
        <v>79.722389221</v>
      </c>
      <c r="E634">
        <v>50</v>
      </c>
      <c r="F634">
        <v>34.368083953999999</v>
      </c>
      <c r="G634">
        <v>1371.1838379000001</v>
      </c>
      <c r="H634">
        <v>1356.9420166</v>
      </c>
      <c r="I634">
        <v>1321.3424072</v>
      </c>
      <c r="J634">
        <v>1316.7385254000001</v>
      </c>
      <c r="K634">
        <v>1200</v>
      </c>
      <c r="L634">
        <v>0</v>
      </c>
      <c r="M634">
        <v>0</v>
      </c>
      <c r="N634">
        <v>1200</v>
      </c>
    </row>
    <row r="635" spans="1:14" x14ac:dyDescent="0.25">
      <c r="A635">
        <v>520.70847000000003</v>
      </c>
      <c r="B635" s="1">
        <f>DATE(2011,10,3) + TIME(17,0,11)</f>
        <v>40819.708460648151</v>
      </c>
      <c r="C635">
        <v>80</v>
      </c>
      <c r="D635">
        <v>79.723266601999995</v>
      </c>
      <c r="E635">
        <v>50</v>
      </c>
      <c r="F635">
        <v>34.440879821999999</v>
      </c>
      <c r="G635">
        <v>1371.1741943</v>
      </c>
      <c r="H635">
        <v>1356.9332274999999</v>
      </c>
      <c r="I635">
        <v>1321.3336182</v>
      </c>
      <c r="J635">
        <v>1316.7320557</v>
      </c>
      <c r="K635">
        <v>1200</v>
      </c>
      <c r="L635">
        <v>0</v>
      </c>
      <c r="M635">
        <v>0</v>
      </c>
      <c r="N635">
        <v>1200</v>
      </c>
    </row>
    <row r="636" spans="1:14" x14ac:dyDescent="0.25">
      <c r="A636">
        <v>523.45913800000005</v>
      </c>
      <c r="B636" s="1">
        <f>DATE(2011,10,6) + TIME(11,1,9)</f>
        <v>40822.459131944444</v>
      </c>
      <c r="C636">
        <v>80</v>
      </c>
      <c r="D636">
        <v>79.724136353000006</v>
      </c>
      <c r="E636">
        <v>50</v>
      </c>
      <c r="F636">
        <v>34.540229797000002</v>
      </c>
      <c r="G636">
        <v>1371.1092529</v>
      </c>
      <c r="H636">
        <v>1356.8763428</v>
      </c>
      <c r="I636">
        <v>1321.3382568</v>
      </c>
      <c r="J636">
        <v>1316.7294922000001</v>
      </c>
      <c r="K636">
        <v>1200</v>
      </c>
      <c r="L636">
        <v>0</v>
      </c>
      <c r="M636">
        <v>0</v>
      </c>
      <c r="N636">
        <v>1200</v>
      </c>
    </row>
    <row r="637" spans="1:14" x14ac:dyDescent="0.25">
      <c r="A637">
        <v>524.83614</v>
      </c>
      <c r="B637" s="1">
        <f>DATE(2011,10,7) + TIME(20,4,2)</f>
        <v>40823.836134259262</v>
      </c>
      <c r="C637">
        <v>80</v>
      </c>
      <c r="D637">
        <v>79.724533081000004</v>
      </c>
      <c r="E637">
        <v>50</v>
      </c>
      <c r="F637">
        <v>34.625289917000003</v>
      </c>
      <c r="G637">
        <v>1371.0435791</v>
      </c>
      <c r="H637">
        <v>1356.8187256000001</v>
      </c>
      <c r="I637">
        <v>1321.3497314000001</v>
      </c>
      <c r="J637">
        <v>1316.7335204999999</v>
      </c>
      <c r="K637">
        <v>1200</v>
      </c>
      <c r="L637">
        <v>0</v>
      </c>
      <c r="M637">
        <v>0</v>
      </c>
      <c r="N637">
        <v>1200</v>
      </c>
    </row>
    <row r="638" spans="1:14" x14ac:dyDescent="0.25">
      <c r="A638">
        <v>526.21314299999995</v>
      </c>
      <c r="B638" s="1">
        <f>DATE(2011,10,9) + TIME(5,6,55)</f>
        <v>40825.213136574072</v>
      </c>
      <c r="C638">
        <v>80</v>
      </c>
      <c r="D638">
        <v>79.724945067999997</v>
      </c>
      <c r="E638">
        <v>50</v>
      </c>
      <c r="F638">
        <v>34.711311340000002</v>
      </c>
      <c r="G638">
        <v>1371.0106201000001</v>
      </c>
      <c r="H638">
        <v>1356.7895507999999</v>
      </c>
      <c r="I638">
        <v>1321.3547363</v>
      </c>
      <c r="J638">
        <v>1316.7381591999999</v>
      </c>
      <c r="K638">
        <v>1200</v>
      </c>
      <c r="L638">
        <v>0</v>
      </c>
      <c r="M638">
        <v>0</v>
      </c>
      <c r="N638">
        <v>1200</v>
      </c>
    </row>
    <row r="639" spans="1:14" x14ac:dyDescent="0.25">
      <c r="A639">
        <v>527.59014500000001</v>
      </c>
      <c r="B639" s="1">
        <f>DATE(2011,10,10) + TIME(14,9,48)</f>
        <v>40826.590138888889</v>
      </c>
      <c r="C639">
        <v>80</v>
      </c>
      <c r="D639">
        <v>79.725364685000002</v>
      </c>
      <c r="E639">
        <v>50</v>
      </c>
      <c r="F639">
        <v>34.800205231</v>
      </c>
      <c r="G639">
        <v>1370.9782714999999</v>
      </c>
      <c r="H639">
        <v>1356.7611084</v>
      </c>
      <c r="I639">
        <v>1321.3613281</v>
      </c>
      <c r="J639">
        <v>1316.744751</v>
      </c>
      <c r="K639">
        <v>1200</v>
      </c>
      <c r="L639">
        <v>0</v>
      </c>
      <c r="M639">
        <v>0</v>
      </c>
      <c r="N639">
        <v>1200</v>
      </c>
    </row>
    <row r="640" spans="1:14" x14ac:dyDescent="0.25">
      <c r="A640">
        <v>528.96714699999995</v>
      </c>
      <c r="B640" s="1">
        <f>DATE(2011,10,11) + TIME(23,12,41)</f>
        <v>40827.967141203706</v>
      </c>
      <c r="C640">
        <v>80</v>
      </c>
      <c r="D640">
        <v>79.725784301999994</v>
      </c>
      <c r="E640">
        <v>50</v>
      </c>
      <c r="F640">
        <v>34.893199920999997</v>
      </c>
      <c r="G640">
        <v>1370.9461670000001</v>
      </c>
      <c r="H640">
        <v>1356.7327881000001</v>
      </c>
      <c r="I640">
        <v>1321.3691406</v>
      </c>
      <c r="J640">
        <v>1316.7530518000001</v>
      </c>
      <c r="K640">
        <v>1200</v>
      </c>
      <c r="L640">
        <v>0</v>
      </c>
      <c r="M640">
        <v>0</v>
      </c>
      <c r="N640">
        <v>1200</v>
      </c>
    </row>
    <row r="641" spans="1:14" x14ac:dyDescent="0.25">
      <c r="A641">
        <v>530.34415000000001</v>
      </c>
      <c r="B641" s="1">
        <f>DATE(2011,10,13) + TIME(8,15,34)</f>
        <v>40829.344143518516</v>
      </c>
      <c r="C641">
        <v>80</v>
      </c>
      <c r="D641">
        <v>79.726211547999995</v>
      </c>
      <c r="E641">
        <v>50</v>
      </c>
      <c r="F641">
        <v>34.991069793999998</v>
      </c>
      <c r="G641">
        <v>1370.9141846</v>
      </c>
      <c r="H641">
        <v>1356.7045897999999</v>
      </c>
      <c r="I641">
        <v>1321.3779297000001</v>
      </c>
      <c r="J641">
        <v>1316.7629394999999</v>
      </c>
      <c r="K641">
        <v>1200</v>
      </c>
      <c r="L641">
        <v>0</v>
      </c>
      <c r="M641">
        <v>0</v>
      </c>
      <c r="N641">
        <v>1200</v>
      </c>
    </row>
    <row r="642" spans="1:14" x14ac:dyDescent="0.25">
      <c r="A642">
        <v>531.72115199999996</v>
      </c>
      <c r="B642" s="1">
        <f>DATE(2011,10,14) + TIME(17,18,27)</f>
        <v>40830.721145833333</v>
      </c>
      <c r="C642">
        <v>80</v>
      </c>
      <c r="D642">
        <v>79.726631165000001</v>
      </c>
      <c r="E642">
        <v>50</v>
      </c>
      <c r="F642">
        <v>35.094303130999997</v>
      </c>
      <c r="G642">
        <v>1370.8825684000001</v>
      </c>
      <c r="H642">
        <v>1356.6765137</v>
      </c>
      <c r="I642">
        <v>1321.3878173999999</v>
      </c>
      <c r="J642">
        <v>1316.7744141000001</v>
      </c>
      <c r="K642">
        <v>1200</v>
      </c>
      <c r="L642">
        <v>0</v>
      </c>
      <c r="M642">
        <v>0</v>
      </c>
      <c r="N642">
        <v>1200</v>
      </c>
    </row>
    <row r="643" spans="1:14" x14ac:dyDescent="0.25">
      <c r="A643">
        <v>533.09815500000002</v>
      </c>
      <c r="B643" s="1">
        <f>DATE(2011,10,16) + TIME(2,21,20)</f>
        <v>40832.09814814815</v>
      </c>
      <c r="C643">
        <v>80</v>
      </c>
      <c r="D643">
        <v>79.727050781000003</v>
      </c>
      <c r="E643">
        <v>50</v>
      </c>
      <c r="F643">
        <v>35.203182220000002</v>
      </c>
      <c r="G643">
        <v>1370.8510742000001</v>
      </c>
      <c r="H643">
        <v>1356.6486815999999</v>
      </c>
      <c r="I643">
        <v>1321.3986815999999</v>
      </c>
      <c r="J643">
        <v>1316.7874756000001</v>
      </c>
      <c r="K643">
        <v>1200</v>
      </c>
      <c r="L643">
        <v>0</v>
      </c>
      <c r="M643">
        <v>0</v>
      </c>
      <c r="N643">
        <v>1200</v>
      </c>
    </row>
    <row r="644" spans="1:14" x14ac:dyDescent="0.25">
      <c r="A644">
        <v>534.47515699999997</v>
      </c>
      <c r="B644" s="1">
        <f>DATE(2011,10,17) + TIME(11,24,13)</f>
        <v>40833.47515046296</v>
      </c>
      <c r="C644">
        <v>80</v>
      </c>
      <c r="D644">
        <v>79.727470397999994</v>
      </c>
      <c r="E644">
        <v>50</v>
      </c>
      <c r="F644">
        <v>35.317863463999998</v>
      </c>
      <c r="G644">
        <v>1370.8198242000001</v>
      </c>
      <c r="H644">
        <v>1356.6209716999999</v>
      </c>
      <c r="I644">
        <v>1321.4105225000001</v>
      </c>
      <c r="J644">
        <v>1316.8022461</v>
      </c>
      <c r="K644">
        <v>1200</v>
      </c>
      <c r="L644">
        <v>0</v>
      </c>
      <c r="M644">
        <v>0</v>
      </c>
      <c r="N644">
        <v>1200</v>
      </c>
    </row>
    <row r="645" spans="1:14" x14ac:dyDescent="0.25">
      <c r="A645">
        <v>535.85215900000003</v>
      </c>
      <c r="B645" s="1">
        <f>DATE(2011,10,18) + TIME(20,27,6)</f>
        <v>40834.852152777778</v>
      </c>
      <c r="C645">
        <v>80</v>
      </c>
      <c r="D645">
        <v>79.727890015</v>
      </c>
      <c r="E645">
        <v>50</v>
      </c>
      <c r="F645">
        <v>35.438415526999997</v>
      </c>
      <c r="G645">
        <v>1370.7886963000001</v>
      </c>
      <c r="H645">
        <v>1356.5935059000001</v>
      </c>
      <c r="I645">
        <v>1321.4232178</v>
      </c>
      <c r="J645">
        <v>1316.8184814000001</v>
      </c>
      <c r="K645">
        <v>1200</v>
      </c>
      <c r="L645">
        <v>0</v>
      </c>
      <c r="M645">
        <v>0</v>
      </c>
      <c r="N645">
        <v>1200</v>
      </c>
    </row>
    <row r="646" spans="1:14" x14ac:dyDescent="0.25">
      <c r="A646">
        <v>537.22916199999997</v>
      </c>
      <c r="B646" s="1">
        <f>DATE(2011,10,20) + TIME(5,29,59)</f>
        <v>40836.229155092595</v>
      </c>
      <c r="C646">
        <v>80</v>
      </c>
      <c r="D646">
        <v>79.728309631000002</v>
      </c>
      <c r="E646">
        <v>50</v>
      </c>
      <c r="F646">
        <v>35.564861297999997</v>
      </c>
      <c r="G646">
        <v>1370.7579346</v>
      </c>
      <c r="H646">
        <v>1356.5661620999999</v>
      </c>
      <c r="I646">
        <v>1321.4368896000001</v>
      </c>
      <c r="J646">
        <v>1316.8363036999999</v>
      </c>
      <c r="K646">
        <v>1200</v>
      </c>
      <c r="L646">
        <v>0</v>
      </c>
      <c r="M646">
        <v>0</v>
      </c>
      <c r="N646">
        <v>1200</v>
      </c>
    </row>
    <row r="647" spans="1:14" x14ac:dyDescent="0.25">
      <c r="A647">
        <v>538.60616400000004</v>
      </c>
      <c r="B647" s="1">
        <f>DATE(2011,10,21) + TIME(14,32,52)</f>
        <v>40837.606157407405</v>
      </c>
      <c r="C647">
        <v>80</v>
      </c>
      <c r="D647">
        <v>79.728721618999998</v>
      </c>
      <c r="E647">
        <v>50</v>
      </c>
      <c r="F647">
        <v>35.697174072000003</v>
      </c>
      <c r="G647">
        <v>1370.7272949000001</v>
      </c>
      <c r="H647">
        <v>1356.5390625</v>
      </c>
      <c r="I647">
        <v>1321.4514160000001</v>
      </c>
      <c r="J647">
        <v>1316.8555908000001</v>
      </c>
      <c r="K647">
        <v>1200</v>
      </c>
      <c r="L647">
        <v>0</v>
      </c>
      <c r="M647">
        <v>0</v>
      </c>
      <c r="N647">
        <v>1200</v>
      </c>
    </row>
    <row r="648" spans="1:14" x14ac:dyDescent="0.25">
      <c r="A648">
        <v>541.36016900000004</v>
      </c>
      <c r="B648" s="1">
        <f>DATE(2011,10,24) + TIME(8,38,38)</f>
        <v>40840.360162037039</v>
      </c>
      <c r="C648">
        <v>80</v>
      </c>
      <c r="D648">
        <v>79.729583739999995</v>
      </c>
      <c r="E648">
        <v>50</v>
      </c>
      <c r="F648">
        <v>35.900718689000001</v>
      </c>
      <c r="G648">
        <v>1370.6971435999999</v>
      </c>
      <c r="H648">
        <v>1356.512207</v>
      </c>
      <c r="I648">
        <v>1321.4638672000001</v>
      </c>
      <c r="J648">
        <v>1316.878418</v>
      </c>
      <c r="K648">
        <v>1200</v>
      </c>
      <c r="L648">
        <v>0</v>
      </c>
      <c r="M648">
        <v>0</v>
      </c>
      <c r="N648">
        <v>1200</v>
      </c>
    </row>
    <row r="649" spans="1:14" x14ac:dyDescent="0.25">
      <c r="A649">
        <v>544.12817299999995</v>
      </c>
      <c r="B649" s="1">
        <f>DATE(2011,10,27) + TIME(3,4,34)</f>
        <v>40843.128171296295</v>
      </c>
      <c r="C649">
        <v>80</v>
      </c>
      <c r="D649">
        <v>79.730422974000007</v>
      </c>
      <c r="E649">
        <v>50</v>
      </c>
      <c r="F649">
        <v>36.159667968999997</v>
      </c>
      <c r="G649">
        <v>1370.637207</v>
      </c>
      <c r="H649">
        <v>1356.4591064000001</v>
      </c>
      <c r="I649">
        <v>1321.4954834</v>
      </c>
      <c r="J649">
        <v>1316.9185791</v>
      </c>
      <c r="K649">
        <v>1200</v>
      </c>
      <c r="L649">
        <v>0</v>
      </c>
      <c r="M649">
        <v>0</v>
      </c>
      <c r="N649">
        <v>1200</v>
      </c>
    </row>
    <row r="650" spans="1:14" x14ac:dyDescent="0.25">
      <c r="A650">
        <v>547.02732100000003</v>
      </c>
      <c r="B650" s="1">
        <f>DATE(2011,10,30) + TIME(0,39,20)</f>
        <v>40846.027314814812</v>
      </c>
      <c r="C650">
        <v>80</v>
      </c>
      <c r="D650">
        <v>79.731277465999995</v>
      </c>
      <c r="E650">
        <v>50</v>
      </c>
      <c r="F650">
        <v>36.462909697999997</v>
      </c>
      <c r="G650">
        <v>1370.5777588000001</v>
      </c>
      <c r="H650">
        <v>1356.4063721</v>
      </c>
      <c r="I650">
        <v>1321.5303954999999</v>
      </c>
      <c r="J650">
        <v>1316.9667969</v>
      </c>
      <c r="K650">
        <v>1200</v>
      </c>
      <c r="L650">
        <v>0</v>
      </c>
      <c r="M650">
        <v>0</v>
      </c>
      <c r="N650">
        <v>1200</v>
      </c>
    </row>
    <row r="651" spans="1:14" x14ac:dyDescent="0.25">
      <c r="A651">
        <v>549</v>
      </c>
      <c r="B651" s="1">
        <f>DATE(2011,11,1) + TIME(0,0,0)</f>
        <v>40848</v>
      </c>
      <c r="C651">
        <v>80</v>
      </c>
      <c r="D651">
        <v>79.731834411999998</v>
      </c>
      <c r="E651">
        <v>50</v>
      </c>
      <c r="F651">
        <v>36.740829468000001</v>
      </c>
      <c r="G651">
        <v>1370.5166016000001</v>
      </c>
      <c r="H651">
        <v>1356.3520507999999</v>
      </c>
      <c r="I651">
        <v>1321.5731201000001</v>
      </c>
      <c r="J651">
        <v>1317.0212402</v>
      </c>
      <c r="K651">
        <v>1200</v>
      </c>
      <c r="L651">
        <v>0</v>
      </c>
      <c r="M651">
        <v>0</v>
      </c>
      <c r="N651">
        <v>1200</v>
      </c>
    </row>
    <row r="652" spans="1:14" x14ac:dyDescent="0.25">
      <c r="A652">
        <v>549.000001</v>
      </c>
      <c r="B652" s="1">
        <f>DATE(2011,11,1) + TIME(0,0,0)</f>
        <v>40848</v>
      </c>
      <c r="C652">
        <v>80</v>
      </c>
      <c r="D652">
        <v>79.731796265</v>
      </c>
      <c r="E652">
        <v>50</v>
      </c>
      <c r="F652">
        <v>36.740867614999999</v>
      </c>
      <c r="G652">
        <v>1356.0633545000001</v>
      </c>
      <c r="H652">
        <v>1343.4934082</v>
      </c>
      <c r="I652">
        <v>1326.1711425999999</v>
      </c>
      <c r="J652">
        <v>1321.8698730000001</v>
      </c>
      <c r="K652">
        <v>0</v>
      </c>
      <c r="L652">
        <v>1200</v>
      </c>
      <c r="M652">
        <v>1200</v>
      </c>
      <c r="N652">
        <v>0</v>
      </c>
    </row>
    <row r="653" spans="1:14" x14ac:dyDescent="0.25">
      <c r="A653">
        <v>549.00000399999999</v>
      </c>
      <c r="B653" s="1">
        <f>DATE(2011,11,1) + TIME(0,0,0)</f>
        <v>40848</v>
      </c>
      <c r="C653">
        <v>80</v>
      </c>
      <c r="D653">
        <v>79.731681824000006</v>
      </c>
      <c r="E653">
        <v>50</v>
      </c>
      <c r="F653">
        <v>36.740982056</v>
      </c>
      <c r="G653">
        <v>1355.2629394999999</v>
      </c>
      <c r="H653">
        <v>1342.6912841999999</v>
      </c>
      <c r="I653">
        <v>1326.9613036999999</v>
      </c>
      <c r="J653">
        <v>1322.6883545000001</v>
      </c>
      <c r="K653">
        <v>0</v>
      </c>
      <c r="L653">
        <v>1200</v>
      </c>
      <c r="M653">
        <v>1200</v>
      </c>
      <c r="N653">
        <v>0</v>
      </c>
    </row>
    <row r="654" spans="1:14" x14ac:dyDescent="0.25">
      <c r="A654">
        <v>549.00001299999997</v>
      </c>
      <c r="B654" s="1">
        <f>DATE(2011,11,1) + TIME(0,0,1)</f>
        <v>40848.000011574077</v>
      </c>
      <c r="C654">
        <v>80</v>
      </c>
      <c r="D654">
        <v>79.731399535999998</v>
      </c>
      <c r="E654">
        <v>50</v>
      </c>
      <c r="F654">
        <v>36.741260529000002</v>
      </c>
      <c r="G654">
        <v>1353.2977295000001</v>
      </c>
      <c r="H654">
        <v>1340.7231445</v>
      </c>
      <c r="I654">
        <v>1328.8813477000001</v>
      </c>
      <c r="J654">
        <v>1324.6579589999999</v>
      </c>
      <c r="K654">
        <v>0</v>
      </c>
      <c r="L654">
        <v>1200</v>
      </c>
      <c r="M654">
        <v>1200</v>
      </c>
      <c r="N654">
        <v>0</v>
      </c>
    </row>
    <row r="655" spans="1:14" x14ac:dyDescent="0.25">
      <c r="A655">
        <v>549.00004000000001</v>
      </c>
      <c r="B655" s="1">
        <f>DATE(2011,11,1) + TIME(0,0,3)</f>
        <v>40848.000034722223</v>
      </c>
      <c r="C655">
        <v>80</v>
      </c>
      <c r="D655">
        <v>79.730850219999994</v>
      </c>
      <c r="E655">
        <v>50</v>
      </c>
      <c r="F655">
        <v>36.741832733000003</v>
      </c>
      <c r="G655">
        <v>1349.4459228999999</v>
      </c>
      <c r="H655">
        <v>1336.8693848</v>
      </c>
      <c r="I655">
        <v>1332.4619141000001</v>
      </c>
      <c r="J655">
        <v>1328.2735596</v>
      </c>
      <c r="K655">
        <v>0</v>
      </c>
      <c r="L655">
        <v>1200</v>
      </c>
      <c r="M655">
        <v>1200</v>
      </c>
      <c r="N655">
        <v>0</v>
      </c>
    </row>
    <row r="656" spans="1:14" x14ac:dyDescent="0.25">
      <c r="A656">
        <v>549.00012100000004</v>
      </c>
      <c r="B656" s="1">
        <f>DATE(2011,11,1) + TIME(0,0,10)</f>
        <v>40848.000115740739</v>
      </c>
      <c r="C656">
        <v>80</v>
      </c>
      <c r="D656">
        <v>79.730026245000005</v>
      </c>
      <c r="E656">
        <v>50</v>
      </c>
      <c r="F656">
        <v>36.742763519</v>
      </c>
      <c r="G656">
        <v>1343.7532959</v>
      </c>
      <c r="H656">
        <v>1331.1856689000001</v>
      </c>
      <c r="I656">
        <v>1336.9786377</v>
      </c>
      <c r="J656">
        <v>1332.7659911999999</v>
      </c>
      <c r="K656">
        <v>0</v>
      </c>
      <c r="L656">
        <v>1200</v>
      </c>
      <c r="M656">
        <v>1200</v>
      </c>
      <c r="N656">
        <v>0</v>
      </c>
    </row>
    <row r="657" spans="1:14" x14ac:dyDescent="0.25">
      <c r="A657">
        <v>549.00036399999999</v>
      </c>
      <c r="B657" s="1">
        <f>DATE(2011,11,1) + TIME(0,0,31)</f>
        <v>40848.000358796293</v>
      </c>
      <c r="C657">
        <v>80</v>
      </c>
      <c r="D657">
        <v>79.729011536000002</v>
      </c>
      <c r="E657">
        <v>50</v>
      </c>
      <c r="F657">
        <v>36.744483948000003</v>
      </c>
      <c r="G657">
        <v>1337.0378418</v>
      </c>
      <c r="H657">
        <v>1324.4880370999999</v>
      </c>
      <c r="I657">
        <v>1341.3022461</v>
      </c>
      <c r="J657">
        <v>1337.0678711</v>
      </c>
      <c r="K657">
        <v>0</v>
      </c>
      <c r="L657">
        <v>1200</v>
      </c>
      <c r="M657">
        <v>1200</v>
      </c>
      <c r="N657">
        <v>0</v>
      </c>
    </row>
    <row r="658" spans="1:14" x14ac:dyDescent="0.25">
      <c r="A658">
        <v>549.00109299999997</v>
      </c>
      <c r="B658" s="1">
        <f>DATE(2011,11,1) + TIME(0,1,34)</f>
        <v>40848.001087962963</v>
      </c>
      <c r="C658">
        <v>80</v>
      </c>
      <c r="D658">
        <v>79.727806091000005</v>
      </c>
      <c r="E658">
        <v>50</v>
      </c>
      <c r="F658">
        <v>36.748580933</v>
      </c>
      <c r="G658">
        <v>1330.0504149999999</v>
      </c>
      <c r="H658">
        <v>1317.4893798999999</v>
      </c>
      <c r="I658">
        <v>1345.1188964999999</v>
      </c>
      <c r="J658">
        <v>1340.8724365</v>
      </c>
      <c r="K658">
        <v>0</v>
      </c>
      <c r="L658">
        <v>1200</v>
      </c>
      <c r="M658">
        <v>1200</v>
      </c>
      <c r="N658">
        <v>0</v>
      </c>
    </row>
    <row r="659" spans="1:14" x14ac:dyDescent="0.25">
      <c r="A659">
        <v>549.00328000000002</v>
      </c>
      <c r="B659" s="1">
        <f>DATE(2011,11,1) + TIME(0,4,43)</f>
        <v>40848.003275462965</v>
      </c>
      <c r="C659">
        <v>80</v>
      </c>
      <c r="D659">
        <v>79.726242064999994</v>
      </c>
      <c r="E659">
        <v>50</v>
      </c>
      <c r="F659">
        <v>36.759895325000002</v>
      </c>
      <c r="G659">
        <v>1323.6671143000001</v>
      </c>
      <c r="H659">
        <v>1310.9832764</v>
      </c>
      <c r="I659">
        <v>1347.7810059000001</v>
      </c>
      <c r="J659">
        <v>1343.510376</v>
      </c>
      <c r="K659">
        <v>0</v>
      </c>
      <c r="L659">
        <v>1200</v>
      </c>
      <c r="M659">
        <v>1200</v>
      </c>
      <c r="N659">
        <v>0</v>
      </c>
    </row>
    <row r="660" spans="1:14" x14ac:dyDescent="0.25">
      <c r="A660">
        <v>549.00984100000005</v>
      </c>
      <c r="B660" s="1">
        <f>DATE(2011,11,1) + TIME(0,14,10)</f>
        <v>40848.009837962964</v>
      </c>
      <c r="C660">
        <v>80</v>
      </c>
      <c r="D660">
        <v>79.723541260000005</v>
      </c>
      <c r="E660">
        <v>50</v>
      </c>
      <c r="F660">
        <v>36.793033600000001</v>
      </c>
      <c r="G660">
        <v>1318.7443848</v>
      </c>
      <c r="H660">
        <v>1305.9158935999999</v>
      </c>
      <c r="I660">
        <v>1348.2110596</v>
      </c>
      <c r="J660">
        <v>1343.9216309000001</v>
      </c>
      <c r="K660">
        <v>0</v>
      </c>
      <c r="L660">
        <v>1200</v>
      </c>
      <c r="M660">
        <v>1200</v>
      </c>
      <c r="N660">
        <v>0</v>
      </c>
    </row>
    <row r="661" spans="1:14" x14ac:dyDescent="0.25">
      <c r="A661">
        <v>549.02952400000004</v>
      </c>
      <c r="B661" s="1">
        <f>DATE(2011,11,1) + TIME(0,42,30)</f>
        <v>40848.029513888891</v>
      </c>
      <c r="C661">
        <v>80</v>
      </c>
      <c r="D661">
        <v>79.717063904</v>
      </c>
      <c r="E661">
        <v>50</v>
      </c>
      <c r="F661">
        <v>36.891620635999999</v>
      </c>
      <c r="G661">
        <v>1315.4342041</v>
      </c>
      <c r="H661">
        <v>1302.5457764</v>
      </c>
      <c r="I661">
        <v>1346.9875488</v>
      </c>
      <c r="J661">
        <v>1342.6966553</v>
      </c>
      <c r="K661">
        <v>0</v>
      </c>
      <c r="L661">
        <v>1200</v>
      </c>
      <c r="M661">
        <v>1200</v>
      </c>
      <c r="N661">
        <v>0</v>
      </c>
    </row>
    <row r="662" spans="1:14" x14ac:dyDescent="0.25">
      <c r="A662">
        <v>549.088573</v>
      </c>
      <c r="B662" s="1">
        <f>DATE(2011,11,1) + TIME(2,7,32)</f>
        <v>40848.088564814818</v>
      </c>
      <c r="C662">
        <v>80</v>
      </c>
      <c r="D662">
        <v>79.699020386000001</v>
      </c>
      <c r="E662">
        <v>50</v>
      </c>
      <c r="F662">
        <v>37.181209564</v>
      </c>
      <c r="G662">
        <v>1313.4229736</v>
      </c>
      <c r="H662">
        <v>1300.5205077999999</v>
      </c>
      <c r="I662">
        <v>1345.5161132999999</v>
      </c>
      <c r="J662">
        <v>1341.2457274999999</v>
      </c>
      <c r="K662">
        <v>0</v>
      </c>
      <c r="L662">
        <v>1200</v>
      </c>
      <c r="M662">
        <v>1200</v>
      </c>
      <c r="N662">
        <v>0</v>
      </c>
    </row>
    <row r="663" spans="1:14" x14ac:dyDescent="0.25">
      <c r="A663">
        <v>549.21985600000005</v>
      </c>
      <c r="B663" s="1">
        <f>DATE(2011,11,1) + TIME(5,16,35)</f>
        <v>40848.219849537039</v>
      </c>
      <c r="C663">
        <v>80</v>
      </c>
      <c r="D663">
        <v>79.660606384000005</v>
      </c>
      <c r="E663">
        <v>50</v>
      </c>
      <c r="F663">
        <v>37.794486999999997</v>
      </c>
      <c r="G663">
        <v>1312.4071045000001</v>
      </c>
      <c r="H663">
        <v>1299.5007324000001</v>
      </c>
      <c r="I663">
        <v>1344.5216064000001</v>
      </c>
      <c r="J663">
        <v>1340.2974853999999</v>
      </c>
      <c r="K663">
        <v>0</v>
      </c>
      <c r="L663">
        <v>1200</v>
      </c>
      <c r="M663">
        <v>1200</v>
      </c>
      <c r="N663">
        <v>0</v>
      </c>
    </row>
    <row r="664" spans="1:14" x14ac:dyDescent="0.25">
      <c r="A664">
        <v>549.35594900000001</v>
      </c>
      <c r="B664" s="1">
        <f>DATE(2011,11,1) + TIME(8,32,34)</f>
        <v>40848.355949074074</v>
      </c>
      <c r="C664">
        <v>80</v>
      </c>
      <c r="D664">
        <v>79.621269225999995</v>
      </c>
      <c r="E664">
        <v>50</v>
      </c>
      <c r="F664">
        <v>38.399837494000003</v>
      </c>
      <c r="G664">
        <v>1312.0389404</v>
      </c>
      <c r="H664">
        <v>1299.1304932</v>
      </c>
      <c r="I664">
        <v>1344.1038818</v>
      </c>
      <c r="J664">
        <v>1339.9176024999999</v>
      </c>
      <c r="K664">
        <v>0</v>
      </c>
      <c r="L664">
        <v>1200</v>
      </c>
      <c r="M664">
        <v>1200</v>
      </c>
      <c r="N664">
        <v>0</v>
      </c>
    </row>
    <row r="665" spans="1:14" x14ac:dyDescent="0.25">
      <c r="A665">
        <v>549.49752000000001</v>
      </c>
      <c r="B665" s="1">
        <f>DATE(2011,11,1) + TIME(11,56,25)</f>
        <v>40848.497511574074</v>
      </c>
      <c r="C665">
        <v>80</v>
      </c>
      <c r="D665">
        <v>79.580802917</v>
      </c>
      <c r="E665">
        <v>50</v>
      </c>
      <c r="F665">
        <v>38.998100280999999</v>
      </c>
      <c r="G665">
        <v>1311.8830565999999</v>
      </c>
      <c r="H665">
        <v>1298.9727783000001</v>
      </c>
      <c r="I665">
        <v>1343.8851318</v>
      </c>
      <c r="J665">
        <v>1339.7351074000001</v>
      </c>
      <c r="K665">
        <v>0</v>
      </c>
      <c r="L665">
        <v>1200</v>
      </c>
      <c r="M665">
        <v>1200</v>
      </c>
      <c r="N665">
        <v>0</v>
      </c>
    </row>
    <row r="666" spans="1:14" x14ac:dyDescent="0.25">
      <c r="A666">
        <v>549.64508799999999</v>
      </c>
      <c r="B666" s="1">
        <f>DATE(2011,11,1) + TIME(15,28,55)</f>
        <v>40848.64508101852</v>
      </c>
      <c r="C666">
        <v>80</v>
      </c>
      <c r="D666">
        <v>79.539070128999995</v>
      </c>
      <c r="E666">
        <v>50</v>
      </c>
      <c r="F666">
        <v>39.589141845999997</v>
      </c>
      <c r="G666">
        <v>1311.8137207</v>
      </c>
      <c r="H666">
        <v>1298.9017334</v>
      </c>
      <c r="I666">
        <v>1343.7517089999999</v>
      </c>
      <c r="J666">
        <v>1339.6364745999999</v>
      </c>
      <c r="K666">
        <v>0</v>
      </c>
      <c r="L666">
        <v>1200</v>
      </c>
      <c r="M666">
        <v>1200</v>
      </c>
      <c r="N666">
        <v>0</v>
      </c>
    </row>
    <row r="667" spans="1:14" x14ac:dyDescent="0.25">
      <c r="A667">
        <v>549.79924400000004</v>
      </c>
      <c r="B667" s="1">
        <f>DATE(2011,11,1) + TIME(19,10,54)</f>
        <v>40848.79923611111</v>
      </c>
      <c r="C667">
        <v>80</v>
      </c>
      <c r="D667">
        <v>79.495956421000002</v>
      </c>
      <c r="E667">
        <v>50</v>
      </c>
      <c r="F667">
        <v>40.172832489000001</v>
      </c>
      <c r="G667">
        <v>1311.7818603999999</v>
      </c>
      <c r="H667">
        <v>1298.8679199000001</v>
      </c>
      <c r="I667">
        <v>1343.6574707</v>
      </c>
      <c r="J667">
        <v>1339.5755615</v>
      </c>
      <c r="K667">
        <v>0</v>
      </c>
      <c r="L667">
        <v>1200</v>
      </c>
      <c r="M667">
        <v>1200</v>
      </c>
      <c r="N667">
        <v>0</v>
      </c>
    </row>
    <row r="668" spans="1:14" x14ac:dyDescent="0.25">
      <c r="A668">
        <v>549.96065299999998</v>
      </c>
      <c r="B668" s="1">
        <f>DATE(2011,11,1) + TIME(23,3,20)</f>
        <v>40848.960648148146</v>
      </c>
      <c r="C668">
        <v>80</v>
      </c>
      <c r="D668">
        <v>79.451309203999998</v>
      </c>
      <c r="E668">
        <v>50</v>
      </c>
      <c r="F668">
        <v>40.749004364000001</v>
      </c>
      <c r="G668">
        <v>1311.7659911999999</v>
      </c>
      <c r="H668">
        <v>1298.8500977000001</v>
      </c>
      <c r="I668">
        <v>1343.5819091999999</v>
      </c>
      <c r="J668">
        <v>1339.5318603999999</v>
      </c>
      <c r="K668">
        <v>0</v>
      </c>
      <c r="L668">
        <v>1200</v>
      </c>
      <c r="M668">
        <v>1200</v>
      </c>
      <c r="N668">
        <v>0</v>
      </c>
    </row>
    <row r="669" spans="1:14" x14ac:dyDescent="0.25">
      <c r="A669">
        <v>550.13005699999997</v>
      </c>
      <c r="B669" s="1">
        <f>DATE(2011,11,2) + TIME(3,7,16)</f>
        <v>40849.130046296297</v>
      </c>
      <c r="C669">
        <v>80</v>
      </c>
      <c r="D669">
        <v>79.404975891000007</v>
      </c>
      <c r="E669">
        <v>50</v>
      </c>
      <c r="F669">
        <v>41.317203522</v>
      </c>
      <c r="G669">
        <v>1311.7568358999999</v>
      </c>
      <c r="H669">
        <v>1298.8389893000001</v>
      </c>
      <c r="I669">
        <v>1343.5159911999999</v>
      </c>
      <c r="J669">
        <v>1339.496582</v>
      </c>
      <c r="K669">
        <v>0</v>
      </c>
      <c r="L669">
        <v>1200</v>
      </c>
      <c r="M669">
        <v>1200</v>
      </c>
      <c r="N669">
        <v>0</v>
      </c>
    </row>
    <row r="670" spans="1:14" x14ac:dyDescent="0.25">
      <c r="A670">
        <v>550.30837499999996</v>
      </c>
      <c r="B670" s="1">
        <f>DATE(2011,11,2) + TIME(7,24,3)</f>
        <v>40849.308368055557</v>
      </c>
      <c r="C670">
        <v>80</v>
      </c>
      <c r="D670">
        <v>79.356781006000006</v>
      </c>
      <c r="E670">
        <v>50</v>
      </c>
      <c r="F670">
        <v>41.877204894999998</v>
      </c>
      <c r="G670">
        <v>1311.7503661999999</v>
      </c>
      <c r="H670">
        <v>1298.8302002</v>
      </c>
      <c r="I670">
        <v>1343.4558105000001</v>
      </c>
      <c r="J670">
        <v>1339.4656981999999</v>
      </c>
      <c r="K670">
        <v>0</v>
      </c>
      <c r="L670">
        <v>1200</v>
      </c>
      <c r="M670">
        <v>1200</v>
      </c>
      <c r="N670">
        <v>0</v>
      </c>
    </row>
    <row r="671" spans="1:14" x14ac:dyDescent="0.25">
      <c r="A671">
        <v>550.49663899999996</v>
      </c>
      <c r="B671" s="1">
        <f>DATE(2011,11,2) + TIME(11,55,9)</f>
        <v>40849.496631944443</v>
      </c>
      <c r="C671">
        <v>80</v>
      </c>
      <c r="D671">
        <v>79.306510924999998</v>
      </c>
      <c r="E671">
        <v>50</v>
      </c>
      <c r="F671">
        <v>42.428615569999998</v>
      </c>
      <c r="G671">
        <v>1311.7445068</v>
      </c>
      <c r="H671">
        <v>1298.8221435999999</v>
      </c>
      <c r="I671">
        <v>1343.3992920000001</v>
      </c>
      <c r="J671">
        <v>1339.4371338000001</v>
      </c>
      <c r="K671">
        <v>0</v>
      </c>
      <c r="L671">
        <v>1200</v>
      </c>
      <c r="M671">
        <v>1200</v>
      </c>
      <c r="N671">
        <v>0</v>
      </c>
    </row>
    <row r="672" spans="1:14" x14ac:dyDescent="0.25">
      <c r="A672">
        <v>550.69606299999998</v>
      </c>
      <c r="B672" s="1">
        <f>DATE(2011,11,2) + TIME(16,42,19)</f>
        <v>40849.696053240739</v>
      </c>
      <c r="C672">
        <v>80</v>
      </c>
      <c r="D672">
        <v>79.253921508999994</v>
      </c>
      <c r="E672">
        <v>50</v>
      </c>
      <c r="F672">
        <v>42.970973968999999</v>
      </c>
      <c r="G672">
        <v>1311.7388916</v>
      </c>
      <c r="H672">
        <v>1298.8140868999999</v>
      </c>
      <c r="I672">
        <v>1343.3457031</v>
      </c>
      <c r="J672">
        <v>1339.4104004000001</v>
      </c>
      <c r="K672">
        <v>0</v>
      </c>
      <c r="L672">
        <v>1200</v>
      </c>
      <c r="M672">
        <v>1200</v>
      </c>
      <c r="N672">
        <v>0</v>
      </c>
    </row>
    <row r="673" spans="1:14" x14ac:dyDescent="0.25">
      <c r="A673">
        <v>550.90807700000005</v>
      </c>
      <c r="B673" s="1">
        <f>DATE(2011,11,2) + TIME(21,47,37)</f>
        <v>40849.908067129632</v>
      </c>
      <c r="C673">
        <v>80</v>
      </c>
      <c r="D673">
        <v>79.198738098000007</v>
      </c>
      <c r="E673">
        <v>50</v>
      </c>
      <c r="F673">
        <v>43.503734588999997</v>
      </c>
      <c r="G673">
        <v>1311.7329102000001</v>
      </c>
      <c r="H673">
        <v>1298.8055420000001</v>
      </c>
      <c r="I673">
        <v>1343.2945557</v>
      </c>
      <c r="J673">
        <v>1339.3850098</v>
      </c>
      <c r="K673">
        <v>0</v>
      </c>
      <c r="L673">
        <v>1200</v>
      </c>
      <c r="M673">
        <v>1200</v>
      </c>
      <c r="N673">
        <v>0</v>
      </c>
    </row>
    <row r="674" spans="1:14" x14ac:dyDescent="0.25">
      <c r="A674">
        <v>551.13439300000005</v>
      </c>
      <c r="B674" s="1">
        <f>DATE(2011,11,3) + TIME(3,13,31)</f>
        <v>40850.134386574071</v>
      </c>
      <c r="C674">
        <v>80</v>
      </c>
      <c r="D674">
        <v>79.140632628999995</v>
      </c>
      <c r="E674">
        <v>50</v>
      </c>
      <c r="F674">
        <v>44.026260376000003</v>
      </c>
      <c r="G674">
        <v>1311.7265625</v>
      </c>
      <c r="H674">
        <v>1298.7965088000001</v>
      </c>
      <c r="I674">
        <v>1343.2457274999999</v>
      </c>
      <c r="J674">
        <v>1339.3607178</v>
      </c>
      <c r="K674">
        <v>0</v>
      </c>
      <c r="L674">
        <v>1200</v>
      </c>
      <c r="M674">
        <v>1200</v>
      </c>
      <c r="N674">
        <v>0</v>
      </c>
    </row>
    <row r="675" spans="1:14" x14ac:dyDescent="0.25">
      <c r="A675">
        <v>551.377071</v>
      </c>
      <c r="B675" s="1">
        <f>DATE(2011,11,3) + TIME(9,2,58)</f>
        <v>40850.377060185187</v>
      </c>
      <c r="C675">
        <v>80</v>
      </c>
      <c r="D675">
        <v>79.079216002999999</v>
      </c>
      <c r="E675">
        <v>50</v>
      </c>
      <c r="F675">
        <v>44.537799835000001</v>
      </c>
      <c r="G675">
        <v>1311.7197266000001</v>
      </c>
      <c r="H675">
        <v>1298.7868652</v>
      </c>
      <c r="I675">
        <v>1343.1989745999999</v>
      </c>
      <c r="J675">
        <v>1339.3372803</v>
      </c>
      <c r="K675">
        <v>0</v>
      </c>
      <c r="L675">
        <v>1200</v>
      </c>
      <c r="M675">
        <v>1200</v>
      </c>
      <c r="N675">
        <v>0</v>
      </c>
    </row>
    <row r="676" spans="1:14" x14ac:dyDescent="0.25">
      <c r="A676">
        <v>551.63862800000004</v>
      </c>
      <c r="B676" s="1">
        <f>DATE(2011,11,3) + TIME(15,19,37)</f>
        <v>40850.638622685183</v>
      </c>
      <c r="C676">
        <v>80</v>
      </c>
      <c r="D676">
        <v>79.014015197999996</v>
      </c>
      <c r="E676">
        <v>50</v>
      </c>
      <c r="F676">
        <v>45.037502289000003</v>
      </c>
      <c r="G676">
        <v>1311.7122803</v>
      </c>
      <c r="H676">
        <v>1298.7763672000001</v>
      </c>
      <c r="I676">
        <v>1343.1540527</v>
      </c>
      <c r="J676">
        <v>1339.3146973</v>
      </c>
      <c r="K676">
        <v>0</v>
      </c>
      <c r="L676">
        <v>1200</v>
      </c>
      <c r="M676">
        <v>1200</v>
      </c>
      <c r="N676">
        <v>0</v>
      </c>
    </row>
    <row r="677" spans="1:14" x14ac:dyDescent="0.25">
      <c r="A677">
        <v>551.92217600000004</v>
      </c>
      <c r="B677" s="1">
        <f>DATE(2011,11,3) + TIME(22,7,56)</f>
        <v>40850.922175925924</v>
      </c>
      <c r="C677">
        <v>80</v>
      </c>
      <c r="D677">
        <v>78.944450377999999</v>
      </c>
      <c r="E677">
        <v>50</v>
      </c>
      <c r="F677">
        <v>45.524356842000003</v>
      </c>
      <c r="G677">
        <v>1311.7042236</v>
      </c>
      <c r="H677">
        <v>1298.7648925999999</v>
      </c>
      <c r="I677">
        <v>1343.1109618999999</v>
      </c>
      <c r="J677">
        <v>1339.2927245999999</v>
      </c>
      <c r="K677">
        <v>0</v>
      </c>
      <c r="L677">
        <v>1200</v>
      </c>
      <c r="M677">
        <v>1200</v>
      </c>
      <c r="N677">
        <v>0</v>
      </c>
    </row>
    <row r="678" spans="1:14" x14ac:dyDescent="0.25">
      <c r="A678">
        <v>552.23162600000001</v>
      </c>
      <c r="B678" s="1">
        <f>DATE(2011,11,4) + TIME(5,33,32)</f>
        <v>40851.231620370374</v>
      </c>
      <c r="C678">
        <v>80</v>
      </c>
      <c r="D678">
        <v>78.869827271000005</v>
      </c>
      <c r="E678">
        <v>50</v>
      </c>
      <c r="F678">
        <v>45.997203827</v>
      </c>
      <c r="G678">
        <v>1311.6953125</v>
      </c>
      <c r="H678">
        <v>1298.7525635</v>
      </c>
      <c r="I678">
        <v>1343.0693358999999</v>
      </c>
      <c r="J678">
        <v>1339.2711182</v>
      </c>
      <c r="K678">
        <v>0</v>
      </c>
      <c r="L678">
        <v>1200</v>
      </c>
      <c r="M678">
        <v>1200</v>
      </c>
      <c r="N678">
        <v>0</v>
      </c>
    </row>
    <row r="679" spans="1:14" x14ac:dyDescent="0.25">
      <c r="A679">
        <v>552.57193400000006</v>
      </c>
      <c r="B679" s="1">
        <f>DATE(2011,11,4) + TIME(13,43,35)</f>
        <v>40851.571932870371</v>
      </c>
      <c r="C679">
        <v>80</v>
      </c>
      <c r="D679">
        <v>78.789268493999998</v>
      </c>
      <c r="E679">
        <v>50</v>
      </c>
      <c r="F679">
        <v>46.454650878999999</v>
      </c>
      <c r="G679">
        <v>1311.6854248</v>
      </c>
      <c r="H679">
        <v>1298.7388916</v>
      </c>
      <c r="I679">
        <v>1343.0290527</v>
      </c>
      <c r="J679">
        <v>1339.2498779</v>
      </c>
      <c r="K679">
        <v>0</v>
      </c>
      <c r="L679">
        <v>1200</v>
      </c>
      <c r="M679">
        <v>1200</v>
      </c>
      <c r="N679">
        <v>0</v>
      </c>
    </row>
    <row r="680" spans="1:14" x14ac:dyDescent="0.25">
      <c r="A680">
        <v>552.94958399999996</v>
      </c>
      <c r="B680" s="1">
        <f>DATE(2011,11,4) + TIME(22,47,24)</f>
        <v>40851.949583333335</v>
      </c>
      <c r="C680">
        <v>80</v>
      </c>
      <c r="D680">
        <v>78.701660156000003</v>
      </c>
      <c r="E680">
        <v>50</v>
      </c>
      <c r="F680">
        <v>46.895114898999999</v>
      </c>
      <c r="G680">
        <v>1311.6745605000001</v>
      </c>
      <c r="H680">
        <v>1298.7238769999999</v>
      </c>
      <c r="I680">
        <v>1342.9901123</v>
      </c>
      <c r="J680">
        <v>1339.2286377</v>
      </c>
      <c r="K680">
        <v>0</v>
      </c>
      <c r="L680">
        <v>1200</v>
      </c>
      <c r="M680">
        <v>1200</v>
      </c>
      <c r="N680">
        <v>0</v>
      </c>
    </row>
    <row r="681" spans="1:14" x14ac:dyDescent="0.25">
      <c r="A681">
        <v>553.37329699999998</v>
      </c>
      <c r="B681" s="1">
        <f>DATE(2011,11,5) + TIME(8,57,32)</f>
        <v>40852.373287037037</v>
      </c>
      <c r="C681">
        <v>80</v>
      </c>
      <c r="D681">
        <v>78.605522156000006</v>
      </c>
      <c r="E681">
        <v>50</v>
      </c>
      <c r="F681">
        <v>47.316795349000003</v>
      </c>
      <c r="G681">
        <v>1311.6624756000001</v>
      </c>
      <c r="H681">
        <v>1298.7071533000001</v>
      </c>
      <c r="I681">
        <v>1342.9520264</v>
      </c>
      <c r="J681">
        <v>1339.2073975000001</v>
      </c>
      <c r="K681">
        <v>0</v>
      </c>
      <c r="L681">
        <v>1200</v>
      </c>
      <c r="M681">
        <v>1200</v>
      </c>
      <c r="N681">
        <v>0</v>
      </c>
    </row>
    <row r="682" spans="1:14" x14ac:dyDescent="0.25">
      <c r="A682">
        <v>553.85498399999994</v>
      </c>
      <c r="B682" s="1">
        <f>DATE(2011,11,5) + TIME(20,31,10)</f>
        <v>40852.85497685185</v>
      </c>
      <c r="C682">
        <v>80</v>
      </c>
      <c r="D682">
        <v>78.498939514</v>
      </c>
      <c r="E682">
        <v>50</v>
      </c>
      <c r="F682">
        <v>47.717510222999998</v>
      </c>
      <c r="G682">
        <v>1311.6486815999999</v>
      </c>
      <c r="H682">
        <v>1298.6884766000001</v>
      </c>
      <c r="I682">
        <v>1342.9146728999999</v>
      </c>
      <c r="J682">
        <v>1339.1856689000001</v>
      </c>
      <c r="K682">
        <v>0</v>
      </c>
      <c r="L682">
        <v>1200</v>
      </c>
      <c r="M682">
        <v>1200</v>
      </c>
      <c r="N682">
        <v>0</v>
      </c>
    </row>
    <row r="683" spans="1:14" x14ac:dyDescent="0.25">
      <c r="A683">
        <v>554.41153899999995</v>
      </c>
      <c r="B683" s="1">
        <f>DATE(2011,11,6) + TIME(9,52,36)</f>
        <v>40853.411527777775</v>
      </c>
      <c r="C683">
        <v>80</v>
      </c>
      <c r="D683">
        <v>78.379249572999996</v>
      </c>
      <c r="E683">
        <v>50</v>
      </c>
      <c r="F683">
        <v>48.094680785999998</v>
      </c>
      <c r="G683">
        <v>1311.6329346</v>
      </c>
      <c r="H683">
        <v>1298.6671143000001</v>
      </c>
      <c r="I683">
        <v>1342.8778076000001</v>
      </c>
      <c r="J683">
        <v>1339.1630858999999</v>
      </c>
      <c r="K683">
        <v>0</v>
      </c>
      <c r="L683">
        <v>1200</v>
      </c>
      <c r="M683">
        <v>1200</v>
      </c>
      <c r="N683">
        <v>0</v>
      </c>
    </row>
    <row r="684" spans="1:14" x14ac:dyDescent="0.25">
      <c r="A684">
        <v>555.06790699999999</v>
      </c>
      <c r="B684" s="1">
        <f>DATE(2011,11,7) + TIME(1,37,47)</f>
        <v>40854.06790509259</v>
      </c>
      <c r="C684">
        <v>80</v>
      </c>
      <c r="D684">
        <v>78.242752074999999</v>
      </c>
      <c r="E684">
        <v>50</v>
      </c>
      <c r="F684">
        <v>48.445217133</v>
      </c>
      <c r="G684">
        <v>1311.614624</v>
      </c>
      <c r="H684">
        <v>1298.6423339999999</v>
      </c>
      <c r="I684">
        <v>1342.8410644999999</v>
      </c>
      <c r="J684">
        <v>1339.1394043</v>
      </c>
      <c r="K684">
        <v>0</v>
      </c>
      <c r="L684">
        <v>1200</v>
      </c>
      <c r="M684">
        <v>1200</v>
      </c>
      <c r="N684">
        <v>0</v>
      </c>
    </row>
    <row r="685" spans="1:14" x14ac:dyDescent="0.25">
      <c r="A685">
        <v>555.83338800000001</v>
      </c>
      <c r="B685" s="1">
        <f>DATE(2011,11,7) + TIME(20,0,4)</f>
        <v>40854.833379629628</v>
      </c>
      <c r="C685">
        <v>80</v>
      </c>
      <c r="D685">
        <v>78.088546753000003</v>
      </c>
      <c r="E685">
        <v>50</v>
      </c>
      <c r="F685">
        <v>48.756389618</v>
      </c>
      <c r="G685">
        <v>1311.5927733999999</v>
      </c>
      <c r="H685">
        <v>1298.6131591999999</v>
      </c>
      <c r="I685">
        <v>1342.8052978999999</v>
      </c>
      <c r="J685">
        <v>1339.1148682</v>
      </c>
      <c r="K685">
        <v>0</v>
      </c>
      <c r="L685">
        <v>1200</v>
      </c>
      <c r="M685">
        <v>1200</v>
      </c>
      <c r="N685">
        <v>0</v>
      </c>
    </row>
    <row r="686" spans="1:14" x14ac:dyDescent="0.25">
      <c r="A686">
        <v>556.60607400000004</v>
      </c>
      <c r="B686" s="1">
        <f>DATE(2011,11,8) + TIME(14,32,44)</f>
        <v>40855.606064814812</v>
      </c>
      <c r="C686">
        <v>80</v>
      </c>
      <c r="D686">
        <v>77.932540893999999</v>
      </c>
      <c r="E686">
        <v>50</v>
      </c>
      <c r="F686">
        <v>48.995063782000003</v>
      </c>
      <c r="G686">
        <v>1311.5660399999999</v>
      </c>
      <c r="H686">
        <v>1298.5797118999999</v>
      </c>
      <c r="I686">
        <v>1342.7746582</v>
      </c>
      <c r="J686">
        <v>1339.0916748</v>
      </c>
      <c r="K686">
        <v>0</v>
      </c>
      <c r="L686">
        <v>1200</v>
      </c>
      <c r="M686">
        <v>1200</v>
      </c>
      <c r="N686">
        <v>0</v>
      </c>
    </row>
    <row r="687" spans="1:14" x14ac:dyDescent="0.25">
      <c r="A687">
        <v>557.40238299999999</v>
      </c>
      <c r="B687" s="1">
        <f>DATE(2011,11,9) + TIME(9,39,25)</f>
        <v>40856.402372685188</v>
      </c>
      <c r="C687">
        <v>80</v>
      </c>
      <c r="D687">
        <v>77.772926330999994</v>
      </c>
      <c r="E687">
        <v>50</v>
      </c>
      <c r="F687">
        <v>49.180717467999997</v>
      </c>
      <c r="G687">
        <v>1311.5389404</v>
      </c>
      <c r="H687">
        <v>1298.5454102000001</v>
      </c>
      <c r="I687">
        <v>1342.7460937999999</v>
      </c>
      <c r="J687">
        <v>1339.0689697</v>
      </c>
      <c r="K687">
        <v>0</v>
      </c>
      <c r="L687">
        <v>1200</v>
      </c>
      <c r="M687">
        <v>1200</v>
      </c>
      <c r="N687">
        <v>0</v>
      </c>
    </row>
    <row r="688" spans="1:14" x14ac:dyDescent="0.25">
      <c r="A688">
        <v>558.22942899999998</v>
      </c>
      <c r="B688" s="1">
        <f>DATE(2011,11,10) + TIME(5,30,22)</f>
        <v>40857.229421296295</v>
      </c>
      <c r="C688">
        <v>80</v>
      </c>
      <c r="D688">
        <v>77.609077454000001</v>
      </c>
      <c r="E688">
        <v>50</v>
      </c>
      <c r="F688">
        <v>49.325077057000001</v>
      </c>
      <c r="G688">
        <v>1311.5108643000001</v>
      </c>
      <c r="H688">
        <v>1298.5096435999999</v>
      </c>
      <c r="I688">
        <v>1342.7191161999999</v>
      </c>
      <c r="J688">
        <v>1339.0465088000001</v>
      </c>
      <c r="K688">
        <v>0</v>
      </c>
      <c r="L688">
        <v>1200</v>
      </c>
      <c r="M688">
        <v>1200</v>
      </c>
      <c r="N688">
        <v>0</v>
      </c>
    </row>
    <row r="689" spans="1:14" x14ac:dyDescent="0.25">
      <c r="A689">
        <v>559.095415</v>
      </c>
      <c r="B689" s="1">
        <f>DATE(2011,11,11) + TIME(2,17,23)</f>
        <v>40858.095405092594</v>
      </c>
      <c r="C689">
        <v>80</v>
      </c>
      <c r="D689">
        <v>77.440162658999995</v>
      </c>
      <c r="E689">
        <v>50</v>
      </c>
      <c r="F689">
        <v>49.437164307000003</v>
      </c>
      <c r="G689">
        <v>1311.4814452999999</v>
      </c>
      <c r="H689">
        <v>1298.4722899999999</v>
      </c>
      <c r="I689">
        <v>1342.6932373</v>
      </c>
      <c r="J689">
        <v>1339.0242920000001</v>
      </c>
      <c r="K689">
        <v>0</v>
      </c>
      <c r="L689">
        <v>1200</v>
      </c>
      <c r="M689">
        <v>1200</v>
      </c>
      <c r="N689">
        <v>0</v>
      </c>
    </row>
    <row r="690" spans="1:14" x14ac:dyDescent="0.25">
      <c r="A690">
        <v>560.00937699999997</v>
      </c>
      <c r="B690" s="1">
        <f>DATE(2011,11,12) + TIME(0,13,30)</f>
        <v>40859.009375000001</v>
      </c>
      <c r="C690">
        <v>80</v>
      </c>
      <c r="D690">
        <v>77.265213012999993</v>
      </c>
      <c r="E690">
        <v>50</v>
      </c>
      <c r="F690">
        <v>49.523925781000003</v>
      </c>
      <c r="G690">
        <v>1311.4505615</v>
      </c>
      <c r="H690">
        <v>1298.4327393000001</v>
      </c>
      <c r="I690">
        <v>1342.668457</v>
      </c>
      <c r="J690">
        <v>1339.0021973</v>
      </c>
      <c r="K690">
        <v>0</v>
      </c>
      <c r="L690">
        <v>1200</v>
      </c>
      <c r="M690">
        <v>1200</v>
      </c>
      <c r="N690">
        <v>0</v>
      </c>
    </row>
    <row r="691" spans="1:14" x14ac:dyDescent="0.25">
      <c r="A691">
        <v>560.98177399999997</v>
      </c>
      <c r="B691" s="1">
        <f>DATE(2011,11,12) + TIME(23,33,45)</f>
        <v>40859.981770833336</v>
      </c>
      <c r="C691">
        <v>80</v>
      </c>
      <c r="D691">
        <v>77.083068847999996</v>
      </c>
      <c r="E691">
        <v>50</v>
      </c>
      <c r="F691">
        <v>49.590805054</v>
      </c>
      <c r="G691">
        <v>1311.4176024999999</v>
      </c>
      <c r="H691">
        <v>1298.3907471</v>
      </c>
      <c r="I691">
        <v>1342.6441649999999</v>
      </c>
      <c r="J691">
        <v>1338.9802245999999</v>
      </c>
      <c r="K691">
        <v>0</v>
      </c>
      <c r="L691">
        <v>1200</v>
      </c>
      <c r="M691">
        <v>1200</v>
      </c>
      <c r="N691">
        <v>0</v>
      </c>
    </row>
    <row r="692" spans="1:14" x14ac:dyDescent="0.25">
      <c r="A692">
        <v>562.02514499999995</v>
      </c>
      <c r="B692" s="1">
        <f>DATE(2011,11,14) + TIME(0,36,12)</f>
        <v>40861.025138888886</v>
      </c>
      <c r="C692">
        <v>80</v>
      </c>
      <c r="D692">
        <v>76.892349242999998</v>
      </c>
      <c r="E692">
        <v>50</v>
      </c>
      <c r="F692">
        <v>49.642112732000001</v>
      </c>
      <c r="G692">
        <v>1311.3823242000001</v>
      </c>
      <c r="H692">
        <v>1298.3454589999999</v>
      </c>
      <c r="I692">
        <v>1342.6203613</v>
      </c>
      <c r="J692">
        <v>1338.9580077999999</v>
      </c>
      <c r="K692">
        <v>0</v>
      </c>
      <c r="L692">
        <v>1200</v>
      </c>
      <c r="M692">
        <v>1200</v>
      </c>
      <c r="N692">
        <v>0</v>
      </c>
    </row>
    <row r="693" spans="1:14" x14ac:dyDescent="0.25">
      <c r="A693">
        <v>563.13568299999997</v>
      </c>
      <c r="B693" s="1">
        <f>DATE(2011,11,15) + TIME(3,15,22)</f>
        <v>40862.135671296295</v>
      </c>
      <c r="C693">
        <v>80</v>
      </c>
      <c r="D693">
        <v>76.693794249999996</v>
      </c>
      <c r="E693">
        <v>50</v>
      </c>
      <c r="F693">
        <v>49.680812836000001</v>
      </c>
      <c r="G693">
        <v>1311.3438721</v>
      </c>
      <c r="H693">
        <v>1298.2966309000001</v>
      </c>
      <c r="I693">
        <v>1342.5966797000001</v>
      </c>
      <c r="J693">
        <v>1338.9356689000001</v>
      </c>
      <c r="K693">
        <v>0</v>
      </c>
      <c r="L693">
        <v>1200</v>
      </c>
      <c r="M693">
        <v>1200</v>
      </c>
      <c r="N693">
        <v>0</v>
      </c>
    </row>
    <row r="694" spans="1:14" x14ac:dyDescent="0.25">
      <c r="A694">
        <v>564.31601000000001</v>
      </c>
      <c r="B694" s="1">
        <f>DATE(2011,11,16) + TIME(7,35,3)</f>
        <v>40863.316006944442</v>
      </c>
      <c r="C694">
        <v>80</v>
      </c>
      <c r="D694">
        <v>76.487426757999998</v>
      </c>
      <c r="E694">
        <v>50</v>
      </c>
      <c r="F694">
        <v>49.709793091000002</v>
      </c>
      <c r="G694">
        <v>1311.3026123</v>
      </c>
      <c r="H694">
        <v>1298.2441406</v>
      </c>
      <c r="I694">
        <v>1342.5733643000001</v>
      </c>
      <c r="J694">
        <v>1338.9134521000001</v>
      </c>
      <c r="K694">
        <v>0</v>
      </c>
      <c r="L694">
        <v>1200</v>
      </c>
      <c r="M694">
        <v>1200</v>
      </c>
      <c r="N694">
        <v>0</v>
      </c>
    </row>
    <row r="695" spans="1:14" x14ac:dyDescent="0.25">
      <c r="A695">
        <v>565.57887900000003</v>
      </c>
      <c r="B695" s="1">
        <f>DATE(2011,11,17) + TIME(13,53,35)</f>
        <v>40864.578877314816</v>
      </c>
      <c r="C695">
        <v>80</v>
      </c>
      <c r="D695">
        <v>76.272117614999999</v>
      </c>
      <c r="E695">
        <v>50</v>
      </c>
      <c r="F695">
        <v>49.731567382999998</v>
      </c>
      <c r="G695">
        <v>1311.2583007999999</v>
      </c>
      <c r="H695">
        <v>1298.1875</v>
      </c>
      <c r="I695">
        <v>1342.5504149999999</v>
      </c>
      <c r="J695">
        <v>1338.8912353999999</v>
      </c>
      <c r="K695">
        <v>0</v>
      </c>
      <c r="L695">
        <v>1200</v>
      </c>
      <c r="M695">
        <v>1200</v>
      </c>
      <c r="N695">
        <v>0</v>
      </c>
    </row>
    <row r="696" spans="1:14" x14ac:dyDescent="0.25">
      <c r="A696">
        <v>566.93912599999999</v>
      </c>
      <c r="B696" s="1">
        <f>DATE(2011,11,18) + TIME(22,32,20)</f>
        <v>40865.939120370371</v>
      </c>
      <c r="C696">
        <v>80</v>
      </c>
      <c r="D696">
        <v>76.046554564999994</v>
      </c>
      <c r="E696">
        <v>50</v>
      </c>
      <c r="F696">
        <v>49.748027802000003</v>
      </c>
      <c r="G696">
        <v>1311.2103271000001</v>
      </c>
      <c r="H696">
        <v>1298.1262207</v>
      </c>
      <c r="I696">
        <v>1342.5277100000001</v>
      </c>
      <c r="J696">
        <v>1338.8688964999999</v>
      </c>
      <c r="K696">
        <v>0</v>
      </c>
      <c r="L696">
        <v>1200</v>
      </c>
      <c r="M696">
        <v>1200</v>
      </c>
      <c r="N696">
        <v>0</v>
      </c>
    </row>
    <row r="697" spans="1:14" x14ac:dyDescent="0.25">
      <c r="A697">
        <v>568.41520500000001</v>
      </c>
      <c r="B697" s="1">
        <f>DATE(2011,11,20) + TIME(9,57,53)</f>
        <v>40867.415196759262</v>
      </c>
      <c r="C697">
        <v>80</v>
      </c>
      <c r="D697">
        <v>75.809104919000006</v>
      </c>
      <c r="E697">
        <v>50</v>
      </c>
      <c r="F697">
        <v>49.760612488</v>
      </c>
      <c r="G697">
        <v>1311.1580810999999</v>
      </c>
      <c r="H697">
        <v>1298.0592041</v>
      </c>
      <c r="I697">
        <v>1342.5050048999999</v>
      </c>
      <c r="J697">
        <v>1338.8466797000001</v>
      </c>
      <c r="K697">
        <v>0</v>
      </c>
      <c r="L697">
        <v>1200</v>
      </c>
      <c r="M697">
        <v>1200</v>
      </c>
      <c r="N697">
        <v>0</v>
      </c>
    </row>
    <row r="698" spans="1:14" x14ac:dyDescent="0.25">
      <c r="A698">
        <v>570.03050800000005</v>
      </c>
      <c r="B698" s="1">
        <f>DATE(2011,11,22) + TIME(0,43,55)</f>
        <v>40869.030497685184</v>
      </c>
      <c r="C698">
        <v>80</v>
      </c>
      <c r="D698">
        <v>75.557716369999994</v>
      </c>
      <c r="E698">
        <v>50</v>
      </c>
      <c r="F698">
        <v>49.770404816000003</v>
      </c>
      <c r="G698">
        <v>1311.1003418</v>
      </c>
      <c r="H698">
        <v>1297.9852295000001</v>
      </c>
      <c r="I698">
        <v>1342.4821777</v>
      </c>
      <c r="J698">
        <v>1338.8240966999999</v>
      </c>
      <c r="K698">
        <v>0</v>
      </c>
      <c r="L698">
        <v>1200</v>
      </c>
      <c r="M698">
        <v>1200</v>
      </c>
      <c r="N698">
        <v>0</v>
      </c>
    </row>
    <row r="699" spans="1:14" x14ac:dyDescent="0.25">
      <c r="A699">
        <v>571.68789400000003</v>
      </c>
      <c r="B699" s="1">
        <f>DATE(2011,11,23) + TIME(16,30,34)</f>
        <v>40870.687893518516</v>
      </c>
      <c r="C699">
        <v>80</v>
      </c>
      <c r="D699">
        <v>75.301704407000003</v>
      </c>
      <c r="E699">
        <v>50</v>
      </c>
      <c r="F699">
        <v>49.777767181000002</v>
      </c>
      <c r="G699">
        <v>1311.0357666</v>
      </c>
      <c r="H699">
        <v>1297.9033202999999</v>
      </c>
      <c r="I699">
        <v>1342.4591064000001</v>
      </c>
      <c r="J699">
        <v>1338.8011475000001</v>
      </c>
      <c r="K699">
        <v>0</v>
      </c>
      <c r="L699">
        <v>1200</v>
      </c>
      <c r="M699">
        <v>1200</v>
      </c>
      <c r="N699">
        <v>0</v>
      </c>
    </row>
    <row r="700" spans="1:14" x14ac:dyDescent="0.25">
      <c r="A700">
        <v>573.40613099999996</v>
      </c>
      <c r="B700" s="1">
        <f>DATE(2011,11,25) + TIME(9,44,49)</f>
        <v>40872.406122685185</v>
      </c>
      <c r="C700">
        <v>80</v>
      </c>
      <c r="D700">
        <v>75.041358947999996</v>
      </c>
      <c r="E700">
        <v>50</v>
      </c>
      <c r="F700">
        <v>49.783523559999999</v>
      </c>
      <c r="G700">
        <v>1310.9685059000001</v>
      </c>
      <c r="H700">
        <v>1297.8170166</v>
      </c>
      <c r="I700">
        <v>1342.4372559000001</v>
      </c>
      <c r="J700">
        <v>1338.7792969</v>
      </c>
      <c r="K700">
        <v>0</v>
      </c>
      <c r="L700">
        <v>1200</v>
      </c>
      <c r="M700">
        <v>1200</v>
      </c>
      <c r="N700">
        <v>0</v>
      </c>
    </row>
    <row r="701" spans="1:14" x14ac:dyDescent="0.25">
      <c r="A701">
        <v>575.20885999999996</v>
      </c>
      <c r="B701" s="1">
        <f>DATE(2011,11,27) + TIME(5,0,45)</f>
        <v>40874.208854166667</v>
      </c>
      <c r="C701">
        <v>80</v>
      </c>
      <c r="D701">
        <v>74.775337218999994</v>
      </c>
      <c r="E701">
        <v>50</v>
      </c>
      <c r="F701">
        <v>49.788200377999999</v>
      </c>
      <c r="G701">
        <v>1310.8973389</v>
      </c>
      <c r="H701">
        <v>1297.7252197</v>
      </c>
      <c r="I701">
        <v>1342.4163818</v>
      </c>
      <c r="J701">
        <v>1338.7583007999999</v>
      </c>
      <c r="K701">
        <v>0</v>
      </c>
      <c r="L701">
        <v>1200</v>
      </c>
      <c r="M701">
        <v>1200</v>
      </c>
      <c r="N701">
        <v>0</v>
      </c>
    </row>
    <row r="702" spans="1:14" x14ac:dyDescent="0.25">
      <c r="A702">
        <v>577.122343</v>
      </c>
      <c r="B702" s="1">
        <f>DATE(2011,11,29) + TIME(2,56,10)</f>
        <v>40876.122337962966</v>
      </c>
      <c r="C702">
        <v>80</v>
      </c>
      <c r="D702">
        <v>74.501945496000005</v>
      </c>
      <c r="E702">
        <v>50</v>
      </c>
      <c r="F702">
        <v>49.792137146000002</v>
      </c>
      <c r="G702">
        <v>1310.8212891000001</v>
      </c>
      <c r="H702">
        <v>1297.6263428</v>
      </c>
      <c r="I702">
        <v>1342.3961182</v>
      </c>
      <c r="J702">
        <v>1338.737793</v>
      </c>
      <c r="K702">
        <v>0</v>
      </c>
      <c r="L702">
        <v>1200</v>
      </c>
      <c r="M702">
        <v>1200</v>
      </c>
      <c r="N702">
        <v>0</v>
      </c>
    </row>
    <row r="703" spans="1:14" x14ac:dyDescent="0.25">
      <c r="A703">
        <v>579</v>
      </c>
      <c r="B703" s="1">
        <f>DATE(2011,12,1) + TIME(0,0,0)</f>
        <v>40878</v>
      </c>
      <c r="C703">
        <v>80</v>
      </c>
      <c r="D703">
        <v>74.233322143999999</v>
      </c>
      <c r="E703">
        <v>50</v>
      </c>
      <c r="F703">
        <v>49.795295715000002</v>
      </c>
      <c r="G703">
        <v>1310.7382812000001</v>
      </c>
      <c r="H703">
        <v>1297.5195312000001</v>
      </c>
      <c r="I703">
        <v>1342.3762207</v>
      </c>
      <c r="J703">
        <v>1338.7175293</v>
      </c>
      <c r="K703">
        <v>0</v>
      </c>
      <c r="L703">
        <v>1200</v>
      </c>
      <c r="M703">
        <v>1200</v>
      </c>
      <c r="N703">
        <v>0</v>
      </c>
    </row>
    <row r="704" spans="1:14" x14ac:dyDescent="0.25">
      <c r="A704">
        <v>581.05559800000003</v>
      </c>
      <c r="B704" s="1">
        <f>DATE(2011,12,3) + TIME(1,20,3)</f>
        <v>40880.055590277778</v>
      </c>
      <c r="C704">
        <v>80</v>
      </c>
      <c r="D704">
        <v>73.955047606999997</v>
      </c>
      <c r="E704">
        <v>50</v>
      </c>
      <c r="F704">
        <v>49.798164368000002</v>
      </c>
      <c r="G704">
        <v>1310.6555175999999</v>
      </c>
      <c r="H704">
        <v>1297.4097899999999</v>
      </c>
      <c r="I704">
        <v>1342.3583983999999</v>
      </c>
      <c r="J704">
        <v>1338.6992187999999</v>
      </c>
      <c r="K704">
        <v>0</v>
      </c>
      <c r="L704">
        <v>1200</v>
      </c>
      <c r="M704">
        <v>1200</v>
      </c>
      <c r="N704">
        <v>0</v>
      </c>
    </row>
    <row r="705" spans="1:14" x14ac:dyDescent="0.25">
      <c r="A705">
        <v>583.25365099999999</v>
      </c>
      <c r="B705" s="1">
        <f>DATE(2011,12,5) + TIME(6,5,15)</f>
        <v>40882.253645833334</v>
      </c>
      <c r="C705">
        <v>80</v>
      </c>
      <c r="D705">
        <v>73.667816161999994</v>
      </c>
      <c r="E705">
        <v>50</v>
      </c>
      <c r="F705">
        <v>49.800739288000003</v>
      </c>
      <c r="G705">
        <v>1310.5625</v>
      </c>
      <c r="H705">
        <v>1297.2869873</v>
      </c>
      <c r="I705">
        <v>1342.3402100000001</v>
      </c>
      <c r="J705">
        <v>1338.6805420000001</v>
      </c>
      <c r="K705">
        <v>0</v>
      </c>
      <c r="L705">
        <v>1200</v>
      </c>
      <c r="M705">
        <v>1200</v>
      </c>
      <c r="N705">
        <v>0</v>
      </c>
    </row>
    <row r="706" spans="1:14" x14ac:dyDescent="0.25">
      <c r="A706">
        <v>585.47918600000003</v>
      </c>
      <c r="B706" s="1">
        <f>DATE(2011,12,7) + TIME(11,30,1)</f>
        <v>40884.479178240741</v>
      </c>
      <c r="C706">
        <v>80</v>
      </c>
      <c r="D706">
        <v>73.379417419000006</v>
      </c>
      <c r="E706">
        <v>50</v>
      </c>
      <c r="F706">
        <v>49.802970885999997</v>
      </c>
      <c r="G706">
        <v>1310.4600829999999</v>
      </c>
      <c r="H706">
        <v>1297.1522216999999</v>
      </c>
      <c r="I706">
        <v>1342.3221435999999</v>
      </c>
      <c r="J706">
        <v>1338.6618652</v>
      </c>
      <c r="K706">
        <v>0</v>
      </c>
      <c r="L706">
        <v>1200</v>
      </c>
      <c r="M706">
        <v>1200</v>
      </c>
      <c r="N706">
        <v>0</v>
      </c>
    </row>
    <row r="707" spans="1:14" x14ac:dyDescent="0.25">
      <c r="A707">
        <v>587.739554</v>
      </c>
      <c r="B707" s="1">
        <f>DATE(2011,12,9) + TIME(17,44,57)</f>
        <v>40886.739548611113</v>
      </c>
      <c r="C707">
        <v>80</v>
      </c>
      <c r="D707">
        <v>73.091743468999994</v>
      </c>
      <c r="E707">
        <v>50</v>
      </c>
      <c r="F707">
        <v>49.804943084999998</v>
      </c>
      <c r="G707">
        <v>1310.3535156</v>
      </c>
      <c r="H707">
        <v>1297.010376</v>
      </c>
      <c r="I707">
        <v>1342.3052978999999</v>
      </c>
      <c r="J707">
        <v>1338.6442870999999</v>
      </c>
      <c r="K707">
        <v>0</v>
      </c>
      <c r="L707">
        <v>1200</v>
      </c>
      <c r="M707">
        <v>1200</v>
      </c>
      <c r="N707">
        <v>0</v>
      </c>
    </row>
    <row r="708" spans="1:14" x14ac:dyDescent="0.25">
      <c r="A708">
        <v>590.04072599999995</v>
      </c>
      <c r="B708" s="1">
        <f>DATE(2011,12,12) + TIME(0,58,38)</f>
        <v>40889.040717592594</v>
      </c>
      <c r="C708">
        <v>80</v>
      </c>
      <c r="D708">
        <v>72.805404663000004</v>
      </c>
      <c r="E708">
        <v>50</v>
      </c>
      <c r="F708">
        <v>49.806709290000001</v>
      </c>
      <c r="G708">
        <v>1310.2420654</v>
      </c>
      <c r="H708">
        <v>1296.8607178</v>
      </c>
      <c r="I708">
        <v>1342.2895507999999</v>
      </c>
      <c r="J708">
        <v>1338.6276855000001</v>
      </c>
      <c r="K708">
        <v>0</v>
      </c>
      <c r="L708">
        <v>1200</v>
      </c>
      <c r="M708">
        <v>1200</v>
      </c>
      <c r="N708">
        <v>0</v>
      </c>
    </row>
    <row r="709" spans="1:14" x14ac:dyDescent="0.25">
      <c r="A709">
        <v>592.38066400000002</v>
      </c>
      <c r="B709" s="1">
        <f>DATE(2011,12,14) + TIME(9,8,9)</f>
        <v>40891.380659722221</v>
      </c>
      <c r="C709">
        <v>80</v>
      </c>
      <c r="D709">
        <v>72.520866393999995</v>
      </c>
      <c r="E709">
        <v>50</v>
      </c>
      <c r="F709">
        <v>49.808319091999998</v>
      </c>
      <c r="G709">
        <v>1310.1252440999999</v>
      </c>
      <c r="H709">
        <v>1296.7026367000001</v>
      </c>
      <c r="I709">
        <v>1342.2746582</v>
      </c>
      <c r="J709">
        <v>1338.6118164</v>
      </c>
      <c r="K709">
        <v>0</v>
      </c>
      <c r="L709">
        <v>1200</v>
      </c>
      <c r="M709">
        <v>1200</v>
      </c>
      <c r="N709">
        <v>0</v>
      </c>
    </row>
    <row r="710" spans="1:14" x14ac:dyDescent="0.25">
      <c r="A710">
        <v>594.74073399999997</v>
      </c>
      <c r="B710" s="1">
        <f>DATE(2011,12,16) + TIME(17,46,39)</f>
        <v>40893.740729166668</v>
      </c>
      <c r="C710">
        <v>80</v>
      </c>
      <c r="D710">
        <v>72.239425659000005</v>
      </c>
      <c r="E710">
        <v>50</v>
      </c>
      <c r="F710">
        <v>49.809795379999997</v>
      </c>
      <c r="G710">
        <v>1310.0028076000001</v>
      </c>
      <c r="H710">
        <v>1296.5360106999999</v>
      </c>
      <c r="I710">
        <v>1342.2606201000001</v>
      </c>
      <c r="J710">
        <v>1338.5968018000001</v>
      </c>
      <c r="K710">
        <v>0</v>
      </c>
      <c r="L710">
        <v>1200</v>
      </c>
      <c r="M710">
        <v>1200</v>
      </c>
      <c r="N710">
        <v>0</v>
      </c>
    </row>
    <row r="711" spans="1:14" x14ac:dyDescent="0.25">
      <c r="A711">
        <v>597.126846</v>
      </c>
      <c r="B711" s="1">
        <f>DATE(2011,12,19) + TIME(3,2,39)</f>
        <v>40896.126840277779</v>
      </c>
      <c r="C711">
        <v>80</v>
      </c>
      <c r="D711">
        <v>71.960952758999994</v>
      </c>
      <c r="E711">
        <v>50</v>
      </c>
      <c r="F711">
        <v>49.811161040999998</v>
      </c>
      <c r="G711">
        <v>1309.8757324000001</v>
      </c>
      <c r="H711">
        <v>1296.3614502</v>
      </c>
      <c r="I711">
        <v>1342.2474365</v>
      </c>
      <c r="J711">
        <v>1338.5826416</v>
      </c>
      <c r="K711">
        <v>0</v>
      </c>
      <c r="L711">
        <v>1200</v>
      </c>
      <c r="M711">
        <v>1200</v>
      </c>
      <c r="N711">
        <v>0</v>
      </c>
    </row>
    <row r="712" spans="1:14" x14ac:dyDescent="0.25">
      <c r="A712">
        <v>599.54453100000001</v>
      </c>
      <c r="B712" s="1">
        <f>DATE(2011,12,21) + TIME(13,4,7)</f>
        <v>40898.544525462959</v>
      </c>
      <c r="C712">
        <v>80</v>
      </c>
      <c r="D712">
        <v>71.684921265</v>
      </c>
      <c r="E712">
        <v>50</v>
      </c>
      <c r="F712">
        <v>49.812450409</v>
      </c>
      <c r="G712">
        <v>1309.7434082</v>
      </c>
      <c r="H712">
        <v>1296.1783447</v>
      </c>
      <c r="I712">
        <v>1342.2352295000001</v>
      </c>
      <c r="J712">
        <v>1338.5692139</v>
      </c>
      <c r="K712">
        <v>0</v>
      </c>
      <c r="L712">
        <v>1200</v>
      </c>
      <c r="M712">
        <v>1200</v>
      </c>
      <c r="N712">
        <v>0</v>
      </c>
    </row>
    <row r="713" spans="1:14" x14ac:dyDescent="0.25">
      <c r="A713">
        <v>602.000855</v>
      </c>
      <c r="B713" s="1">
        <f>DATE(2011,12,24) + TIME(0,1,13)</f>
        <v>40901.000844907408</v>
      </c>
      <c r="C713">
        <v>80</v>
      </c>
      <c r="D713">
        <v>71.410476685000006</v>
      </c>
      <c r="E713">
        <v>50</v>
      </c>
      <c r="F713">
        <v>49.813674927000001</v>
      </c>
      <c r="G713">
        <v>1309.6053466999999</v>
      </c>
      <c r="H713">
        <v>1295.9859618999999</v>
      </c>
      <c r="I713">
        <v>1342.2236327999999</v>
      </c>
      <c r="J713">
        <v>1338.5563964999999</v>
      </c>
      <c r="K713">
        <v>0</v>
      </c>
      <c r="L713">
        <v>1200</v>
      </c>
      <c r="M713">
        <v>1200</v>
      </c>
      <c r="N713">
        <v>0</v>
      </c>
    </row>
    <row r="714" spans="1:14" x14ac:dyDescent="0.25">
      <c r="A714">
        <v>604.50202400000001</v>
      </c>
      <c r="B714" s="1">
        <f>DATE(2011,12,26) + TIME(12,2,54)</f>
        <v>40903.502013888887</v>
      </c>
      <c r="C714">
        <v>80</v>
      </c>
      <c r="D714">
        <v>71.136703491000006</v>
      </c>
      <c r="E714">
        <v>50</v>
      </c>
      <c r="F714">
        <v>49.814857482999997</v>
      </c>
      <c r="G714">
        <v>1309.4611815999999</v>
      </c>
      <c r="H714">
        <v>1295.7834473</v>
      </c>
      <c r="I714">
        <v>1342.2126464999999</v>
      </c>
      <c r="J714">
        <v>1338.5441894999999</v>
      </c>
      <c r="K714">
        <v>0</v>
      </c>
      <c r="L714">
        <v>1200</v>
      </c>
      <c r="M714">
        <v>1200</v>
      </c>
      <c r="N714">
        <v>0</v>
      </c>
    </row>
    <row r="715" spans="1:14" x14ac:dyDescent="0.25">
      <c r="A715">
        <v>607.04483600000003</v>
      </c>
      <c r="B715" s="1">
        <f>DATE(2011,12,29) + TIME(1,4,33)</f>
        <v>40906.04482638889</v>
      </c>
      <c r="C715">
        <v>80</v>
      </c>
      <c r="D715">
        <v>70.863128661999994</v>
      </c>
      <c r="E715">
        <v>50</v>
      </c>
      <c r="F715">
        <v>49.816001892000003</v>
      </c>
      <c r="G715">
        <v>1309.3101807</v>
      </c>
      <c r="H715">
        <v>1295.5700684000001</v>
      </c>
      <c r="I715">
        <v>1342.2022704999999</v>
      </c>
      <c r="J715">
        <v>1338.5325928</v>
      </c>
      <c r="K715">
        <v>0</v>
      </c>
      <c r="L715">
        <v>1200</v>
      </c>
      <c r="M715">
        <v>1200</v>
      </c>
      <c r="N715">
        <v>0</v>
      </c>
    </row>
    <row r="716" spans="1:14" x14ac:dyDescent="0.25">
      <c r="A716">
        <v>609.61777700000005</v>
      </c>
      <c r="B716" s="1">
        <f>DATE(2011,12,31) + TIME(14,49,35)</f>
        <v>40908.617766203701</v>
      </c>
      <c r="C716">
        <v>80</v>
      </c>
      <c r="D716">
        <v>70.589912415000001</v>
      </c>
      <c r="E716">
        <v>50</v>
      </c>
      <c r="F716">
        <v>49.817111969000003</v>
      </c>
      <c r="G716">
        <v>1309.1524658000001</v>
      </c>
      <c r="H716">
        <v>1295.3457031</v>
      </c>
      <c r="I716">
        <v>1342.1923827999999</v>
      </c>
      <c r="J716">
        <v>1338.5213623</v>
      </c>
      <c r="K716">
        <v>0</v>
      </c>
      <c r="L716">
        <v>1200</v>
      </c>
      <c r="M716">
        <v>1200</v>
      </c>
      <c r="N716">
        <v>0</v>
      </c>
    </row>
    <row r="717" spans="1:14" x14ac:dyDescent="0.25">
      <c r="A717">
        <v>610</v>
      </c>
      <c r="B717" s="1">
        <f>DATE(2012,1,1) + TIME(0,0,0)</f>
        <v>40909</v>
      </c>
      <c r="C717">
        <v>80</v>
      </c>
      <c r="D717">
        <v>70.521614075000002</v>
      </c>
      <c r="E717">
        <v>50</v>
      </c>
      <c r="F717">
        <v>49.817279816000003</v>
      </c>
      <c r="G717">
        <v>1308.9973144999999</v>
      </c>
      <c r="H717">
        <v>1295.1597899999999</v>
      </c>
      <c r="I717">
        <v>1342.1802978999999</v>
      </c>
      <c r="J717">
        <v>1338.5080565999999</v>
      </c>
      <c r="K717">
        <v>0</v>
      </c>
      <c r="L717">
        <v>1200</v>
      </c>
      <c r="M717">
        <v>1200</v>
      </c>
      <c r="N717">
        <v>0</v>
      </c>
    </row>
    <row r="718" spans="1:14" x14ac:dyDescent="0.25">
      <c r="A718">
        <v>612.610862</v>
      </c>
      <c r="B718" s="1">
        <f>DATE(2012,1,3) + TIME(14,39,38)</f>
        <v>40911.610856481479</v>
      </c>
      <c r="C718">
        <v>80</v>
      </c>
      <c r="D718">
        <v>70.261848450000002</v>
      </c>
      <c r="E718">
        <v>50</v>
      </c>
      <c r="F718">
        <v>49.818355560000001</v>
      </c>
      <c r="G718">
        <v>1308.9606934000001</v>
      </c>
      <c r="H718">
        <v>1295.0671387</v>
      </c>
      <c r="I718">
        <v>1342.1818848</v>
      </c>
      <c r="J718">
        <v>1338.5092772999999</v>
      </c>
      <c r="K718">
        <v>0</v>
      </c>
      <c r="L718">
        <v>1200</v>
      </c>
      <c r="M718">
        <v>1200</v>
      </c>
      <c r="N718">
        <v>0</v>
      </c>
    </row>
    <row r="719" spans="1:14" x14ac:dyDescent="0.25">
      <c r="A719">
        <v>615.26606800000002</v>
      </c>
      <c r="B719" s="1">
        <f>DATE(2012,1,6) + TIME(6,23,8)</f>
        <v>40914.266064814816</v>
      </c>
      <c r="C719">
        <v>80</v>
      </c>
      <c r="D719">
        <v>69.994461060000006</v>
      </c>
      <c r="E719">
        <v>50</v>
      </c>
      <c r="F719">
        <v>49.819412231000001</v>
      </c>
      <c r="G719">
        <v>1308.7907714999999</v>
      </c>
      <c r="H719">
        <v>1294.8234863</v>
      </c>
      <c r="I719">
        <v>1342.1733397999999</v>
      </c>
      <c r="J719">
        <v>1338.4992675999999</v>
      </c>
      <c r="K719">
        <v>0</v>
      </c>
      <c r="L719">
        <v>1200</v>
      </c>
      <c r="M719">
        <v>1200</v>
      </c>
      <c r="N719">
        <v>0</v>
      </c>
    </row>
    <row r="720" spans="1:14" x14ac:dyDescent="0.25">
      <c r="A720">
        <v>617.94799399999999</v>
      </c>
      <c r="B720" s="1">
        <f>DATE(2012,1,8) + TIME(22,45,6)</f>
        <v>40916.94798611111</v>
      </c>
      <c r="C720">
        <v>80</v>
      </c>
      <c r="D720">
        <v>69.722419739000003</v>
      </c>
      <c r="E720">
        <v>50</v>
      </c>
      <c r="F720">
        <v>49.820449828999998</v>
      </c>
      <c r="G720">
        <v>1308.612793</v>
      </c>
      <c r="H720">
        <v>1294.565918</v>
      </c>
      <c r="I720">
        <v>1342.1650391000001</v>
      </c>
      <c r="J720">
        <v>1338.4895019999999</v>
      </c>
      <c r="K720">
        <v>0</v>
      </c>
      <c r="L720">
        <v>1200</v>
      </c>
      <c r="M720">
        <v>1200</v>
      </c>
      <c r="N720">
        <v>0</v>
      </c>
    </row>
    <row r="721" spans="1:14" x14ac:dyDescent="0.25">
      <c r="A721">
        <v>620.66297299999997</v>
      </c>
      <c r="B721" s="1">
        <f>DATE(2012,1,11) + TIME(15,54,40)</f>
        <v>40919.662962962961</v>
      </c>
      <c r="C721">
        <v>80</v>
      </c>
      <c r="D721">
        <v>69.446937560999999</v>
      </c>
      <c r="E721">
        <v>50</v>
      </c>
      <c r="F721">
        <v>49.821472168</v>
      </c>
      <c r="G721">
        <v>1308.4281006000001</v>
      </c>
      <c r="H721">
        <v>1294.2962646000001</v>
      </c>
      <c r="I721">
        <v>1342.1573486</v>
      </c>
      <c r="J721">
        <v>1338.4803466999999</v>
      </c>
      <c r="K721">
        <v>0</v>
      </c>
      <c r="L721">
        <v>1200</v>
      </c>
      <c r="M721">
        <v>1200</v>
      </c>
      <c r="N721">
        <v>0</v>
      </c>
    </row>
    <row r="722" spans="1:14" x14ac:dyDescent="0.25">
      <c r="A722">
        <v>623.41851999999994</v>
      </c>
      <c r="B722" s="1">
        <f>DATE(2012,1,14) + TIME(10,2,40)</f>
        <v>40922.41851851852</v>
      </c>
      <c r="C722">
        <v>80</v>
      </c>
      <c r="D722">
        <v>69.167877196999996</v>
      </c>
      <c r="E722">
        <v>50</v>
      </c>
      <c r="F722">
        <v>49.822483063</v>
      </c>
      <c r="G722">
        <v>1308.2365723</v>
      </c>
      <c r="H722">
        <v>1294.0144043</v>
      </c>
      <c r="I722">
        <v>1342.1500243999999</v>
      </c>
      <c r="J722">
        <v>1338.4716797000001</v>
      </c>
      <c r="K722">
        <v>0</v>
      </c>
      <c r="L722">
        <v>1200</v>
      </c>
      <c r="M722">
        <v>1200</v>
      </c>
      <c r="N722">
        <v>0</v>
      </c>
    </row>
    <row r="723" spans="1:14" x14ac:dyDescent="0.25">
      <c r="A723">
        <v>626.22138099999995</v>
      </c>
      <c r="B723" s="1">
        <f>DATE(2012,1,17) + TIME(5,18,47)</f>
        <v>40925.221377314818</v>
      </c>
      <c r="C723">
        <v>80</v>
      </c>
      <c r="D723">
        <v>68.884521484000004</v>
      </c>
      <c r="E723">
        <v>50</v>
      </c>
      <c r="F723">
        <v>49.823486328000001</v>
      </c>
      <c r="G723">
        <v>1308.0378418</v>
      </c>
      <c r="H723">
        <v>1293.7200928</v>
      </c>
      <c r="I723">
        <v>1342.1431885</v>
      </c>
      <c r="J723">
        <v>1338.4633789</v>
      </c>
      <c r="K723">
        <v>0</v>
      </c>
      <c r="L723">
        <v>1200</v>
      </c>
      <c r="M723">
        <v>1200</v>
      </c>
      <c r="N723">
        <v>0</v>
      </c>
    </row>
    <row r="724" spans="1:14" x14ac:dyDescent="0.25">
      <c r="A724">
        <v>629.07472600000006</v>
      </c>
      <c r="B724" s="1">
        <f>DATE(2012,1,20) + TIME(1,47,36)</f>
        <v>40928.07472222222</v>
      </c>
      <c r="C724">
        <v>80</v>
      </c>
      <c r="D724">
        <v>68.596015929999993</v>
      </c>
      <c r="E724">
        <v>50</v>
      </c>
      <c r="F724">
        <v>49.824485779</v>
      </c>
      <c r="G724">
        <v>1307.8312988</v>
      </c>
      <c r="H724">
        <v>1293.4123535000001</v>
      </c>
      <c r="I724">
        <v>1342.1367187999999</v>
      </c>
      <c r="J724">
        <v>1338.4554443</v>
      </c>
      <c r="K724">
        <v>0</v>
      </c>
      <c r="L724">
        <v>1200</v>
      </c>
      <c r="M724">
        <v>1200</v>
      </c>
      <c r="N724">
        <v>0</v>
      </c>
    </row>
    <row r="725" spans="1:14" x14ac:dyDescent="0.25">
      <c r="A725">
        <v>631.96195599999999</v>
      </c>
      <c r="B725" s="1">
        <f>DATE(2012,1,22) + TIME(23,5,13)</f>
        <v>40930.961956018517</v>
      </c>
      <c r="C725">
        <v>80</v>
      </c>
      <c r="D725">
        <v>68.302406310999999</v>
      </c>
      <c r="E725">
        <v>50</v>
      </c>
      <c r="F725">
        <v>49.825473785</v>
      </c>
      <c r="G725">
        <v>1307.6168213000001</v>
      </c>
      <c r="H725">
        <v>1293.0911865</v>
      </c>
      <c r="I725">
        <v>1342.1306152</v>
      </c>
      <c r="J725">
        <v>1338.447876</v>
      </c>
      <c r="K725">
        <v>0</v>
      </c>
      <c r="L725">
        <v>1200</v>
      </c>
      <c r="M725">
        <v>1200</v>
      </c>
      <c r="N725">
        <v>0</v>
      </c>
    </row>
    <row r="726" spans="1:14" x14ac:dyDescent="0.25">
      <c r="A726">
        <v>634.88073999999995</v>
      </c>
      <c r="B726" s="1">
        <f>DATE(2012,1,25) + TIME(21,8,15)</f>
        <v>40933.880729166667</v>
      </c>
      <c r="C726">
        <v>80</v>
      </c>
      <c r="D726">
        <v>68.003486632999994</v>
      </c>
      <c r="E726">
        <v>50</v>
      </c>
      <c r="F726">
        <v>49.826450348000002</v>
      </c>
      <c r="G726">
        <v>1307.3956298999999</v>
      </c>
      <c r="H726">
        <v>1292.7576904</v>
      </c>
      <c r="I726">
        <v>1342.1248779</v>
      </c>
      <c r="J726">
        <v>1338.4406738</v>
      </c>
      <c r="K726">
        <v>0</v>
      </c>
      <c r="L726">
        <v>1200</v>
      </c>
      <c r="M726">
        <v>1200</v>
      </c>
      <c r="N726">
        <v>0</v>
      </c>
    </row>
    <row r="727" spans="1:14" x14ac:dyDescent="0.25">
      <c r="A727">
        <v>637.83882600000004</v>
      </c>
      <c r="B727" s="1">
        <f>DATE(2012,1,28) + TIME(20,7,54)</f>
        <v>40936.838819444441</v>
      </c>
      <c r="C727">
        <v>80</v>
      </c>
      <c r="D727">
        <v>67.698410034000005</v>
      </c>
      <c r="E727">
        <v>50</v>
      </c>
      <c r="F727">
        <v>49.827415465999998</v>
      </c>
      <c r="G727">
        <v>1307.1678466999999</v>
      </c>
      <c r="H727">
        <v>1292.4121094</v>
      </c>
      <c r="I727">
        <v>1342.1195068</v>
      </c>
      <c r="J727">
        <v>1338.4339600000001</v>
      </c>
      <c r="K727">
        <v>0</v>
      </c>
      <c r="L727">
        <v>1200</v>
      </c>
      <c r="M727">
        <v>1200</v>
      </c>
      <c r="N727">
        <v>0</v>
      </c>
    </row>
    <row r="728" spans="1:14" x14ac:dyDescent="0.25">
      <c r="A728">
        <v>640.84324100000003</v>
      </c>
      <c r="B728" s="1">
        <f>DATE(2012,1,31) + TIME(20,14,16)</f>
        <v>40939.843240740738</v>
      </c>
      <c r="C728">
        <v>80</v>
      </c>
      <c r="D728">
        <v>67.386024474999999</v>
      </c>
      <c r="E728">
        <v>50</v>
      </c>
      <c r="F728">
        <v>49.828376769999998</v>
      </c>
      <c r="G728">
        <v>1306.9332274999999</v>
      </c>
      <c r="H728">
        <v>1292.0539550999999</v>
      </c>
      <c r="I728">
        <v>1342.1145019999999</v>
      </c>
      <c r="J728">
        <v>1338.4274902</v>
      </c>
      <c r="K728">
        <v>0</v>
      </c>
      <c r="L728">
        <v>1200</v>
      </c>
      <c r="M728">
        <v>1200</v>
      </c>
      <c r="N728">
        <v>0</v>
      </c>
    </row>
    <row r="729" spans="1:14" x14ac:dyDescent="0.25">
      <c r="A729">
        <v>641</v>
      </c>
      <c r="B729" s="1">
        <f>DATE(2012,2,1) + TIME(0,0,0)</f>
        <v>40940</v>
      </c>
      <c r="C729">
        <v>80</v>
      </c>
      <c r="D729">
        <v>67.352828978999995</v>
      </c>
      <c r="E729">
        <v>50</v>
      </c>
      <c r="F729">
        <v>49.828430175999998</v>
      </c>
      <c r="G729">
        <v>1306.71875</v>
      </c>
      <c r="H729">
        <v>1291.7927245999999</v>
      </c>
      <c r="I729">
        <v>1342.105957</v>
      </c>
      <c r="J729">
        <v>1338.4180908000001</v>
      </c>
      <c r="K729">
        <v>0</v>
      </c>
      <c r="L729">
        <v>1200</v>
      </c>
      <c r="M729">
        <v>1200</v>
      </c>
      <c r="N729">
        <v>0</v>
      </c>
    </row>
    <row r="730" spans="1:14" x14ac:dyDescent="0.25">
      <c r="A730">
        <v>644.05778799999996</v>
      </c>
      <c r="B730" s="1">
        <f>DATE(2012,2,4) + TIME(1,23,12)</f>
        <v>40943.05777777778</v>
      </c>
      <c r="C730">
        <v>80</v>
      </c>
      <c r="D730">
        <v>67.040275574000006</v>
      </c>
      <c r="E730">
        <v>50</v>
      </c>
      <c r="F730">
        <v>49.829387664999999</v>
      </c>
      <c r="G730">
        <v>1306.6756591999999</v>
      </c>
      <c r="H730">
        <v>1291.6558838000001</v>
      </c>
      <c r="I730">
        <v>1342.1094971</v>
      </c>
      <c r="J730">
        <v>1338.4211425999999</v>
      </c>
      <c r="K730">
        <v>0</v>
      </c>
      <c r="L730">
        <v>1200</v>
      </c>
      <c r="M730">
        <v>1200</v>
      </c>
      <c r="N730">
        <v>0</v>
      </c>
    </row>
    <row r="731" spans="1:14" x14ac:dyDescent="0.25">
      <c r="A731">
        <v>647.14295700000002</v>
      </c>
      <c r="B731" s="1">
        <f>DATE(2012,2,7) + TIME(3,25,51)</f>
        <v>40946.142951388887</v>
      </c>
      <c r="C731">
        <v>80</v>
      </c>
      <c r="D731">
        <v>66.714546204000001</v>
      </c>
      <c r="E731">
        <v>50</v>
      </c>
      <c r="F731">
        <v>49.830329894999998</v>
      </c>
      <c r="G731">
        <v>1306.4272461</v>
      </c>
      <c r="H731">
        <v>1291.2739257999999</v>
      </c>
      <c r="I731">
        <v>1342.1051024999999</v>
      </c>
      <c r="J731">
        <v>1338.4154053</v>
      </c>
      <c r="K731">
        <v>0</v>
      </c>
      <c r="L731">
        <v>1200</v>
      </c>
      <c r="M731">
        <v>1200</v>
      </c>
      <c r="N731">
        <v>0</v>
      </c>
    </row>
    <row r="732" spans="1:14" x14ac:dyDescent="0.25">
      <c r="A732">
        <v>650.25962300000003</v>
      </c>
      <c r="B732" s="1">
        <f>DATE(2012,2,10) + TIME(6,13,51)</f>
        <v>40949.259618055556</v>
      </c>
      <c r="C732">
        <v>80</v>
      </c>
      <c r="D732">
        <v>66.377792357999994</v>
      </c>
      <c r="E732">
        <v>50</v>
      </c>
      <c r="F732">
        <v>49.831264496000003</v>
      </c>
      <c r="G732">
        <v>1306.1722411999999</v>
      </c>
      <c r="H732">
        <v>1290.8785399999999</v>
      </c>
      <c r="I732">
        <v>1342.1009521000001</v>
      </c>
      <c r="J732">
        <v>1338.4099120999999</v>
      </c>
      <c r="K732">
        <v>0</v>
      </c>
      <c r="L732">
        <v>1200</v>
      </c>
      <c r="M732">
        <v>1200</v>
      </c>
      <c r="N732">
        <v>0</v>
      </c>
    </row>
    <row r="733" spans="1:14" x14ac:dyDescent="0.25">
      <c r="A733">
        <v>653.41351299999997</v>
      </c>
      <c r="B733" s="1">
        <f>DATE(2012,2,13) + TIME(9,55,27)</f>
        <v>40952.413506944446</v>
      </c>
      <c r="C733">
        <v>80</v>
      </c>
      <c r="D733">
        <v>66.030342102000006</v>
      </c>
      <c r="E733">
        <v>50</v>
      </c>
      <c r="F733">
        <v>49.832187652999998</v>
      </c>
      <c r="G733">
        <v>1305.9112548999999</v>
      </c>
      <c r="H733">
        <v>1290.4707031</v>
      </c>
      <c r="I733">
        <v>1342.0970459</v>
      </c>
      <c r="J733">
        <v>1338.4047852000001</v>
      </c>
      <c r="K733">
        <v>0</v>
      </c>
      <c r="L733">
        <v>1200</v>
      </c>
      <c r="M733">
        <v>1200</v>
      </c>
      <c r="N733">
        <v>0</v>
      </c>
    </row>
    <row r="734" spans="1:14" x14ac:dyDescent="0.25">
      <c r="A734">
        <v>656.612978</v>
      </c>
      <c r="B734" s="1">
        <f>DATE(2012,2,16) + TIME(14,42,41)</f>
        <v>40955.612974537034</v>
      </c>
      <c r="C734">
        <v>80</v>
      </c>
      <c r="D734">
        <v>65.671501160000005</v>
      </c>
      <c r="E734">
        <v>50</v>
      </c>
      <c r="F734">
        <v>49.833106995000001</v>
      </c>
      <c r="G734">
        <v>1305.644043</v>
      </c>
      <c r="H734">
        <v>1290.0509033000001</v>
      </c>
      <c r="I734">
        <v>1342.0933838000001</v>
      </c>
      <c r="J734">
        <v>1338.4000243999999</v>
      </c>
      <c r="K734">
        <v>0</v>
      </c>
      <c r="L734">
        <v>1200</v>
      </c>
      <c r="M734">
        <v>1200</v>
      </c>
      <c r="N734">
        <v>0</v>
      </c>
    </row>
    <row r="735" spans="1:14" x14ac:dyDescent="0.25">
      <c r="A735">
        <v>659.866129</v>
      </c>
      <c r="B735" s="1">
        <f>DATE(2012,2,19) + TIME(20,47,13)</f>
        <v>40958.866122685184</v>
      </c>
      <c r="C735">
        <v>80</v>
      </c>
      <c r="D735">
        <v>65.300064086999996</v>
      </c>
      <c r="E735">
        <v>50</v>
      </c>
      <c r="F735">
        <v>49.834022521999998</v>
      </c>
      <c r="G735">
        <v>1305.3706055</v>
      </c>
      <c r="H735">
        <v>1289.6182861</v>
      </c>
      <c r="I735">
        <v>1342.0899658000001</v>
      </c>
      <c r="J735">
        <v>1338.3956298999999</v>
      </c>
      <c r="K735">
        <v>0</v>
      </c>
      <c r="L735">
        <v>1200</v>
      </c>
      <c r="M735">
        <v>1200</v>
      </c>
      <c r="N735">
        <v>0</v>
      </c>
    </row>
    <row r="736" spans="1:14" x14ac:dyDescent="0.25">
      <c r="A736">
        <v>663.18128400000001</v>
      </c>
      <c r="B736" s="1">
        <f>DATE(2012,2,23) + TIME(4,21,2)</f>
        <v>40962.181273148148</v>
      </c>
      <c r="C736">
        <v>80</v>
      </c>
      <c r="D736">
        <v>64.914558411000002</v>
      </c>
      <c r="E736">
        <v>50</v>
      </c>
      <c r="F736">
        <v>49.834930419999999</v>
      </c>
      <c r="G736">
        <v>1305.0904541</v>
      </c>
      <c r="H736">
        <v>1289.1724853999999</v>
      </c>
      <c r="I736">
        <v>1342.0867920000001</v>
      </c>
      <c r="J736">
        <v>1338.3914795000001</v>
      </c>
      <c r="K736">
        <v>0</v>
      </c>
      <c r="L736">
        <v>1200</v>
      </c>
      <c r="M736">
        <v>1200</v>
      </c>
      <c r="N736">
        <v>0</v>
      </c>
    </row>
    <row r="737" spans="1:14" x14ac:dyDescent="0.25">
      <c r="A737">
        <v>666.54488600000002</v>
      </c>
      <c r="B737" s="1">
        <f>DATE(2012,2,26) + TIME(13,4,38)</f>
        <v>40965.54488425926</v>
      </c>
      <c r="C737">
        <v>80</v>
      </c>
      <c r="D737">
        <v>64.514663696</v>
      </c>
      <c r="E737">
        <v>50</v>
      </c>
      <c r="F737">
        <v>49.835834503000001</v>
      </c>
      <c r="G737">
        <v>1304.8033447</v>
      </c>
      <c r="H737">
        <v>1288.7130127</v>
      </c>
      <c r="I737">
        <v>1342.0837402</v>
      </c>
      <c r="J737">
        <v>1338.3874512</v>
      </c>
      <c r="K737">
        <v>0</v>
      </c>
      <c r="L737">
        <v>1200</v>
      </c>
      <c r="M737">
        <v>1200</v>
      </c>
      <c r="N737">
        <v>0</v>
      </c>
    </row>
    <row r="738" spans="1:14" x14ac:dyDescent="0.25">
      <c r="A738">
        <v>670</v>
      </c>
      <c r="B738" s="1">
        <f>DATE(2012,3,1) + TIME(0,0,0)</f>
        <v>40969</v>
      </c>
      <c r="C738">
        <v>80</v>
      </c>
      <c r="D738">
        <v>64.097747803000004</v>
      </c>
      <c r="E738">
        <v>50</v>
      </c>
      <c r="F738">
        <v>49.836738586000003</v>
      </c>
      <c r="G738">
        <v>1304.510376</v>
      </c>
      <c r="H738">
        <v>1288.2406006000001</v>
      </c>
      <c r="I738">
        <v>1342.0809326000001</v>
      </c>
      <c r="J738">
        <v>1338.3839111</v>
      </c>
      <c r="K738">
        <v>0</v>
      </c>
      <c r="L738">
        <v>1200</v>
      </c>
      <c r="M738">
        <v>1200</v>
      </c>
      <c r="N738">
        <v>0</v>
      </c>
    </row>
    <row r="739" spans="1:14" x14ac:dyDescent="0.25">
      <c r="A739">
        <v>673.40765599999997</v>
      </c>
      <c r="B739" s="1">
        <f>DATE(2012,3,4) + TIME(9,47,1)</f>
        <v>40972.407650462963</v>
      </c>
      <c r="C739">
        <v>80</v>
      </c>
      <c r="D739">
        <v>63.668914794999999</v>
      </c>
      <c r="E739">
        <v>50</v>
      </c>
      <c r="F739">
        <v>49.837615966999998</v>
      </c>
      <c r="G739">
        <v>1304.2093506000001</v>
      </c>
      <c r="H739">
        <v>1287.7545166</v>
      </c>
      <c r="I739">
        <v>1342.078125</v>
      </c>
      <c r="J739">
        <v>1338.380249</v>
      </c>
      <c r="K739">
        <v>0</v>
      </c>
      <c r="L739">
        <v>1200</v>
      </c>
      <c r="M739">
        <v>1200</v>
      </c>
      <c r="N739">
        <v>0</v>
      </c>
    </row>
    <row r="740" spans="1:14" x14ac:dyDescent="0.25">
      <c r="A740">
        <v>676.89150099999995</v>
      </c>
      <c r="B740" s="1">
        <f>DATE(2012,3,7) + TIME(21,23,45)</f>
        <v>40975.891493055555</v>
      </c>
      <c r="C740">
        <v>80</v>
      </c>
      <c r="D740">
        <v>63.226314545000001</v>
      </c>
      <c r="E740">
        <v>50</v>
      </c>
      <c r="F740">
        <v>49.838489531999997</v>
      </c>
      <c r="G740">
        <v>1303.9101562000001</v>
      </c>
      <c r="H740">
        <v>1287.2652588000001</v>
      </c>
      <c r="I740">
        <v>1342.0756836</v>
      </c>
      <c r="J740">
        <v>1338.3771973</v>
      </c>
      <c r="K740">
        <v>0</v>
      </c>
      <c r="L740">
        <v>1200</v>
      </c>
      <c r="M740">
        <v>1200</v>
      </c>
      <c r="N740">
        <v>0</v>
      </c>
    </row>
    <row r="741" spans="1:14" x14ac:dyDescent="0.25">
      <c r="A741">
        <v>680.48805500000003</v>
      </c>
      <c r="B741" s="1">
        <f>DATE(2012,3,11) + TIME(11,42,47)</f>
        <v>40979.488043981481</v>
      </c>
      <c r="C741">
        <v>80</v>
      </c>
      <c r="D741">
        <v>62.764678955000001</v>
      </c>
      <c r="E741">
        <v>50</v>
      </c>
      <c r="F741">
        <v>49.839366912999999</v>
      </c>
      <c r="G741">
        <v>1303.6048584</v>
      </c>
      <c r="H741">
        <v>1286.7628173999999</v>
      </c>
      <c r="I741">
        <v>1342.0733643000001</v>
      </c>
      <c r="J741">
        <v>1338.3743896000001</v>
      </c>
      <c r="K741">
        <v>0</v>
      </c>
      <c r="L741">
        <v>1200</v>
      </c>
      <c r="M741">
        <v>1200</v>
      </c>
      <c r="N741">
        <v>0</v>
      </c>
    </row>
    <row r="742" spans="1:14" x14ac:dyDescent="0.25">
      <c r="A742">
        <v>684.17656099999999</v>
      </c>
      <c r="B742" s="1">
        <f>DATE(2012,3,15) + TIME(4,14,14)</f>
        <v>40983.176550925928</v>
      </c>
      <c r="C742">
        <v>80</v>
      </c>
      <c r="D742">
        <v>62.281707763999997</v>
      </c>
      <c r="E742">
        <v>50</v>
      </c>
      <c r="F742">
        <v>49.840251922999997</v>
      </c>
      <c r="G742">
        <v>1303.2908935999999</v>
      </c>
      <c r="H742">
        <v>1286.2436522999999</v>
      </c>
      <c r="I742">
        <v>1342.0711670000001</v>
      </c>
      <c r="J742">
        <v>1338.3717041</v>
      </c>
      <c r="K742">
        <v>0</v>
      </c>
      <c r="L742">
        <v>1200</v>
      </c>
      <c r="M742">
        <v>1200</v>
      </c>
      <c r="N742">
        <v>0</v>
      </c>
    </row>
    <row r="743" spans="1:14" x14ac:dyDescent="0.25">
      <c r="A743">
        <v>687.93192699999997</v>
      </c>
      <c r="B743" s="1">
        <f>DATE(2012,3,18) + TIME(22,21,58)</f>
        <v>40986.931921296295</v>
      </c>
      <c r="C743">
        <v>80</v>
      </c>
      <c r="D743">
        <v>61.778030395999998</v>
      </c>
      <c r="E743">
        <v>50</v>
      </c>
      <c r="F743">
        <v>49.841125488000003</v>
      </c>
      <c r="G743">
        <v>1302.9700928</v>
      </c>
      <c r="H743">
        <v>1285.7098389</v>
      </c>
      <c r="I743">
        <v>1342.0689697</v>
      </c>
      <c r="J743">
        <v>1338.3691406</v>
      </c>
      <c r="K743">
        <v>0</v>
      </c>
      <c r="L743">
        <v>1200</v>
      </c>
      <c r="M743">
        <v>1200</v>
      </c>
      <c r="N743">
        <v>0</v>
      </c>
    </row>
    <row r="744" spans="1:14" x14ac:dyDescent="0.25">
      <c r="A744">
        <v>691.74757699999998</v>
      </c>
      <c r="B744" s="1">
        <f>DATE(2012,3,22) + TIME(17,56,30)</f>
        <v>40990.747569444444</v>
      </c>
      <c r="C744">
        <v>80</v>
      </c>
      <c r="D744">
        <v>61.254955291999998</v>
      </c>
      <c r="E744">
        <v>50</v>
      </c>
      <c r="F744">
        <v>49.841995238999999</v>
      </c>
      <c r="G744">
        <v>1302.6450195</v>
      </c>
      <c r="H744">
        <v>1285.1649170000001</v>
      </c>
      <c r="I744">
        <v>1342.0668945</v>
      </c>
      <c r="J744">
        <v>1338.3668213000001</v>
      </c>
      <c r="K744">
        <v>0</v>
      </c>
      <c r="L744">
        <v>1200</v>
      </c>
      <c r="M744">
        <v>1200</v>
      </c>
      <c r="N744">
        <v>0</v>
      </c>
    </row>
    <row r="745" spans="1:14" x14ac:dyDescent="0.25">
      <c r="A745">
        <v>695.63891699999999</v>
      </c>
      <c r="B745" s="1">
        <f>DATE(2012,3,26) + TIME(15,20,2)</f>
        <v>40994.638912037037</v>
      </c>
      <c r="C745">
        <v>80</v>
      </c>
      <c r="D745">
        <v>60.712635040000002</v>
      </c>
      <c r="E745">
        <v>50</v>
      </c>
      <c r="F745">
        <v>49.842861176</v>
      </c>
      <c r="G745">
        <v>1302.3168945</v>
      </c>
      <c r="H745">
        <v>1284.6103516000001</v>
      </c>
      <c r="I745">
        <v>1342.0649414</v>
      </c>
      <c r="J745">
        <v>1338.3647461</v>
      </c>
      <c r="K745">
        <v>0</v>
      </c>
      <c r="L745">
        <v>1200</v>
      </c>
      <c r="M745">
        <v>1200</v>
      </c>
      <c r="N745">
        <v>0</v>
      </c>
    </row>
    <row r="746" spans="1:14" x14ac:dyDescent="0.25">
      <c r="A746">
        <v>699.63327000000004</v>
      </c>
      <c r="B746" s="1">
        <f>DATE(2012,3,30) + TIME(15,11,54)</f>
        <v>40998.633263888885</v>
      </c>
      <c r="C746">
        <v>80</v>
      </c>
      <c r="D746">
        <v>60.149551391999999</v>
      </c>
      <c r="E746">
        <v>50</v>
      </c>
      <c r="F746">
        <v>49.843727112000003</v>
      </c>
      <c r="G746">
        <v>1301.9854736</v>
      </c>
      <c r="H746">
        <v>1284.0456543</v>
      </c>
      <c r="I746">
        <v>1342.0629882999999</v>
      </c>
      <c r="J746">
        <v>1338.3629149999999</v>
      </c>
      <c r="K746">
        <v>0</v>
      </c>
      <c r="L746">
        <v>1200</v>
      </c>
      <c r="M746">
        <v>1200</v>
      </c>
      <c r="N746">
        <v>0</v>
      </c>
    </row>
    <row r="747" spans="1:14" x14ac:dyDescent="0.25">
      <c r="A747">
        <v>701</v>
      </c>
      <c r="B747" s="1">
        <f>DATE(2012,4,1) + TIME(0,0,0)</f>
        <v>41000</v>
      </c>
      <c r="C747">
        <v>80</v>
      </c>
      <c r="D747">
        <v>59.816204071000001</v>
      </c>
      <c r="E747">
        <v>50</v>
      </c>
      <c r="F747">
        <v>49.844013214</v>
      </c>
      <c r="G747">
        <v>1301.6632079999999</v>
      </c>
      <c r="H747">
        <v>1283.5683594</v>
      </c>
      <c r="I747">
        <v>1342.0583495999999</v>
      </c>
      <c r="J747">
        <v>1338.3583983999999</v>
      </c>
      <c r="K747">
        <v>0</v>
      </c>
      <c r="L747">
        <v>1200</v>
      </c>
      <c r="M747">
        <v>1200</v>
      </c>
      <c r="N747">
        <v>0</v>
      </c>
    </row>
    <row r="748" spans="1:14" x14ac:dyDescent="0.25">
      <c r="A748">
        <v>705.09567800000002</v>
      </c>
      <c r="B748" s="1">
        <f>DATE(2012,4,5) + TIME(2,17,46)</f>
        <v>41004.095671296294</v>
      </c>
      <c r="C748">
        <v>80</v>
      </c>
      <c r="D748">
        <v>59.310714722</v>
      </c>
      <c r="E748">
        <v>50</v>
      </c>
      <c r="F748">
        <v>49.844875336000001</v>
      </c>
      <c r="G748">
        <v>1301.5235596</v>
      </c>
      <c r="H748">
        <v>1283.2325439000001</v>
      </c>
      <c r="I748">
        <v>1342.0610352000001</v>
      </c>
      <c r="J748">
        <v>1338.3609618999999</v>
      </c>
      <c r="K748">
        <v>0</v>
      </c>
      <c r="L748">
        <v>1200</v>
      </c>
      <c r="M748">
        <v>1200</v>
      </c>
      <c r="N748">
        <v>0</v>
      </c>
    </row>
    <row r="749" spans="1:14" x14ac:dyDescent="0.25">
      <c r="A749">
        <v>709.38929199999995</v>
      </c>
      <c r="B749" s="1">
        <f>DATE(2012,4,9) + TIME(9,20,34)</f>
        <v>41008.389282407406</v>
      </c>
      <c r="C749">
        <v>80</v>
      </c>
      <c r="D749">
        <v>58.727252960000001</v>
      </c>
      <c r="E749">
        <v>50</v>
      </c>
      <c r="F749">
        <v>49.845752716</v>
      </c>
      <c r="G749">
        <v>1301.1940918</v>
      </c>
      <c r="H749">
        <v>1282.6708983999999</v>
      </c>
      <c r="I749">
        <v>1342.0589600000001</v>
      </c>
      <c r="J749">
        <v>1338.3592529</v>
      </c>
      <c r="K749">
        <v>0</v>
      </c>
      <c r="L749">
        <v>1200</v>
      </c>
      <c r="M749">
        <v>1200</v>
      </c>
      <c r="N749">
        <v>0</v>
      </c>
    </row>
    <row r="750" spans="1:14" x14ac:dyDescent="0.25">
      <c r="A750">
        <v>713.79331500000001</v>
      </c>
      <c r="B750" s="1">
        <f>DATE(2012,4,13) + TIME(19,2,22)</f>
        <v>41012.793310185189</v>
      </c>
      <c r="C750">
        <v>80</v>
      </c>
      <c r="D750">
        <v>58.096515656000001</v>
      </c>
      <c r="E750">
        <v>50</v>
      </c>
      <c r="F750">
        <v>49.846626282000003</v>
      </c>
      <c r="G750">
        <v>1300.8509521000001</v>
      </c>
      <c r="H750">
        <v>1282.0758057</v>
      </c>
      <c r="I750">
        <v>1342.0570068</v>
      </c>
      <c r="J750">
        <v>1338.3577881000001</v>
      </c>
      <c r="K750">
        <v>0</v>
      </c>
      <c r="L750">
        <v>1200</v>
      </c>
      <c r="M750">
        <v>1200</v>
      </c>
      <c r="N750">
        <v>0</v>
      </c>
    </row>
    <row r="751" spans="1:14" x14ac:dyDescent="0.25">
      <c r="A751">
        <v>718.31242799999995</v>
      </c>
      <c r="B751" s="1">
        <f>DATE(2012,4,18) + TIME(7,29,53)</f>
        <v>41017.312418981484</v>
      </c>
      <c r="C751">
        <v>80</v>
      </c>
      <c r="D751">
        <v>57.435249329000001</v>
      </c>
      <c r="E751">
        <v>50</v>
      </c>
      <c r="F751">
        <v>49.847503662000001</v>
      </c>
      <c r="G751">
        <v>1300.5045166</v>
      </c>
      <c r="H751">
        <v>1281.4658202999999</v>
      </c>
      <c r="I751">
        <v>1342.0550536999999</v>
      </c>
      <c r="J751">
        <v>1338.3564452999999</v>
      </c>
      <c r="K751">
        <v>0</v>
      </c>
      <c r="L751">
        <v>1200</v>
      </c>
      <c r="M751">
        <v>1200</v>
      </c>
      <c r="N751">
        <v>0</v>
      </c>
    </row>
    <row r="752" spans="1:14" x14ac:dyDescent="0.25">
      <c r="A752">
        <v>722.936328</v>
      </c>
      <c r="B752" s="1">
        <f>DATE(2012,4,22) + TIME(22,28,18)</f>
        <v>41021.936319444445</v>
      </c>
      <c r="C752">
        <v>80</v>
      </c>
      <c r="D752">
        <v>56.751461028999998</v>
      </c>
      <c r="E752">
        <v>50</v>
      </c>
      <c r="F752">
        <v>49.848373412999997</v>
      </c>
      <c r="G752">
        <v>1300.1572266000001</v>
      </c>
      <c r="H752">
        <v>1280.8476562000001</v>
      </c>
      <c r="I752">
        <v>1342.0532227000001</v>
      </c>
      <c r="J752">
        <v>1338.3553466999999</v>
      </c>
      <c r="K752">
        <v>0</v>
      </c>
      <c r="L752">
        <v>1200</v>
      </c>
      <c r="M752">
        <v>1200</v>
      </c>
      <c r="N752">
        <v>0</v>
      </c>
    </row>
    <row r="753" spans="1:14" x14ac:dyDescent="0.25">
      <c r="A753">
        <v>727.63860999999997</v>
      </c>
      <c r="B753" s="1">
        <f>DATE(2012,4,27) + TIME(15,19,35)</f>
        <v>41026.638599537036</v>
      </c>
      <c r="C753">
        <v>80</v>
      </c>
      <c r="D753">
        <v>56.051574707</v>
      </c>
      <c r="E753">
        <v>50</v>
      </c>
      <c r="F753">
        <v>49.849235534999998</v>
      </c>
      <c r="G753">
        <v>1299.8121338000001</v>
      </c>
      <c r="H753">
        <v>1280.2272949000001</v>
      </c>
      <c r="I753">
        <v>1342.0512695</v>
      </c>
      <c r="J753">
        <v>1338.3542480000001</v>
      </c>
      <c r="K753">
        <v>0</v>
      </c>
      <c r="L753">
        <v>1200</v>
      </c>
      <c r="M753">
        <v>1200</v>
      </c>
      <c r="N753">
        <v>0</v>
      </c>
    </row>
    <row r="754" spans="1:14" x14ac:dyDescent="0.25">
      <c r="A754">
        <v>731</v>
      </c>
      <c r="B754" s="1">
        <f>DATE(2012,5,1) + TIME(0,0,0)</f>
        <v>41030</v>
      </c>
      <c r="C754">
        <v>80</v>
      </c>
      <c r="D754">
        <v>55.429939269999998</v>
      </c>
      <c r="E754">
        <v>50</v>
      </c>
      <c r="F754">
        <v>49.849830627000003</v>
      </c>
      <c r="G754">
        <v>1299.4750977000001</v>
      </c>
      <c r="H754">
        <v>1279.6442870999999</v>
      </c>
      <c r="I754">
        <v>1342.0485839999999</v>
      </c>
      <c r="J754">
        <v>1338.3525391000001</v>
      </c>
      <c r="K754">
        <v>0</v>
      </c>
      <c r="L754">
        <v>1200</v>
      </c>
      <c r="M754">
        <v>1200</v>
      </c>
      <c r="N754">
        <v>0</v>
      </c>
    </row>
    <row r="755" spans="1:14" x14ac:dyDescent="0.25">
      <c r="A755">
        <v>731.000001</v>
      </c>
      <c r="B755" s="1">
        <f>DATE(2012,5,1) + TIME(0,0,0)</f>
        <v>41030</v>
      </c>
      <c r="C755">
        <v>80</v>
      </c>
      <c r="D755">
        <v>55.429988860999998</v>
      </c>
      <c r="E755">
        <v>50</v>
      </c>
      <c r="F755">
        <v>49.849792479999998</v>
      </c>
      <c r="G755">
        <v>1320.4287108999999</v>
      </c>
      <c r="H755">
        <v>1299.7878418</v>
      </c>
      <c r="I755">
        <v>1338.0714111</v>
      </c>
      <c r="J755">
        <v>1335.0881348</v>
      </c>
      <c r="K755">
        <v>1200</v>
      </c>
      <c r="L755">
        <v>0</v>
      </c>
      <c r="M755">
        <v>0</v>
      </c>
      <c r="N755">
        <v>1200</v>
      </c>
    </row>
    <row r="756" spans="1:14" x14ac:dyDescent="0.25">
      <c r="A756">
        <v>731.00000399999999</v>
      </c>
      <c r="B756" s="1">
        <f>DATE(2012,5,1) + TIME(0,0,0)</f>
        <v>41030</v>
      </c>
      <c r="C756">
        <v>80</v>
      </c>
      <c r="D756">
        <v>55.430133820000002</v>
      </c>
      <c r="E756">
        <v>50</v>
      </c>
      <c r="F756">
        <v>49.849697112999998</v>
      </c>
      <c r="G756">
        <v>1321.2567139</v>
      </c>
      <c r="H756">
        <v>1300.6737060999999</v>
      </c>
      <c r="I756">
        <v>1337.3103027</v>
      </c>
      <c r="J756">
        <v>1334.3260498</v>
      </c>
      <c r="K756">
        <v>1200</v>
      </c>
      <c r="L756">
        <v>0</v>
      </c>
      <c r="M756">
        <v>0</v>
      </c>
      <c r="N756">
        <v>1200</v>
      </c>
    </row>
    <row r="757" spans="1:14" x14ac:dyDescent="0.25">
      <c r="A757">
        <v>731.00001299999997</v>
      </c>
      <c r="B757" s="1">
        <f>DATE(2012,5,1) + TIME(0,0,1)</f>
        <v>41030.000011574077</v>
      </c>
      <c r="C757">
        <v>80</v>
      </c>
      <c r="D757">
        <v>55.430519103999998</v>
      </c>
      <c r="E757">
        <v>50</v>
      </c>
      <c r="F757">
        <v>49.849475861000002</v>
      </c>
      <c r="G757">
        <v>1323.4101562000001</v>
      </c>
      <c r="H757">
        <v>1302.9558105000001</v>
      </c>
      <c r="I757">
        <v>1335.5577393000001</v>
      </c>
      <c r="J757">
        <v>1332.5720214999999</v>
      </c>
      <c r="K757">
        <v>1200</v>
      </c>
      <c r="L757">
        <v>0</v>
      </c>
      <c r="M757">
        <v>0</v>
      </c>
      <c r="N757">
        <v>1200</v>
      </c>
    </row>
    <row r="758" spans="1:14" x14ac:dyDescent="0.25">
      <c r="A758">
        <v>731.00004000000001</v>
      </c>
      <c r="B758" s="1">
        <f>DATE(2012,5,1) + TIME(0,0,3)</f>
        <v>41030.000034722223</v>
      </c>
      <c r="C758">
        <v>80</v>
      </c>
      <c r="D758">
        <v>55.431423187</v>
      </c>
      <c r="E758">
        <v>50</v>
      </c>
      <c r="F758">
        <v>49.849102019999997</v>
      </c>
      <c r="G758">
        <v>1328.072876</v>
      </c>
      <c r="H758">
        <v>1307.8054199000001</v>
      </c>
      <c r="I758">
        <v>1332.5855713000001</v>
      </c>
      <c r="J758">
        <v>1329.6003418</v>
      </c>
      <c r="K758">
        <v>1200</v>
      </c>
      <c r="L758">
        <v>0</v>
      </c>
      <c r="M758">
        <v>0</v>
      </c>
      <c r="N758">
        <v>1200</v>
      </c>
    </row>
    <row r="759" spans="1:14" x14ac:dyDescent="0.25">
      <c r="A759">
        <v>731.00012100000004</v>
      </c>
      <c r="B759" s="1">
        <f>DATE(2012,5,1) + TIME(0,0,10)</f>
        <v>41030.000115740739</v>
      </c>
      <c r="C759">
        <v>80</v>
      </c>
      <c r="D759">
        <v>55.433265685999999</v>
      </c>
      <c r="E759">
        <v>50</v>
      </c>
      <c r="F759">
        <v>49.848648071</v>
      </c>
      <c r="G759">
        <v>1335.7629394999999</v>
      </c>
      <c r="H759">
        <v>1315.6199951000001</v>
      </c>
      <c r="I759">
        <v>1329.1312256000001</v>
      </c>
      <c r="J759">
        <v>1326.1534423999999</v>
      </c>
      <c r="K759">
        <v>1200</v>
      </c>
      <c r="L759">
        <v>0</v>
      </c>
      <c r="M759">
        <v>0</v>
      </c>
      <c r="N759">
        <v>1200</v>
      </c>
    </row>
    <row r="760" spans="1:14" x14ac:dyDescent="0.25">
      <c r="A760">
        <v>731.00036399999999</v>
      </c>
      <c r="B760" s="1">
        <f>DATE(2012,5,1) + TIME(0,0,31)</f>
        <v>41030.000358796293</v>
      </c>
      <c r="C760">
        <v>80</v>
      </c>
      <c r="D760">
        <v>55.437034607000001</v>
      </c>
      <c r="E760">
        <v>50</v>
      </c>
      <c r="F760">
        <v>49.848186493</v>
      </c>
      <c r="G760">
        <v>1345.6066894999999</v>
      </c>
      <c r="H760">
        <v>1325.4711914</v>
      </c>
      <c r="I760">
        <v>1325.9338379000001</v>
      </c>
      <c r="J760">
        <v>1322.9564209</v>
      </c>
      <c r="K760">
        <v>1200</v>
      </c>
      <c r="L760">
        <v>0</v>
      </c>
      <c r="M760">
        <v>0</v>
      </c>
      <c r="N760">
        <v>1200</v>
      </c>
    </row>
    <row r="761" spans="1:14" x14ac:dyDescent="0.25">
      <c r="A761">
        <v>731.00109299999997</v>
      </c>
      <c r="B761" s="1">
        <f>DATE(2012,5,1) + TIME(0,1,34)</f>
        <v>41030.001087962963</v>
      </c>
      <c r="C761">
        <v>80</v>
      </c>
      <c r="D761">
        <v>55.445934295999997</v>
      </c>
      <c r="E761">
        <v>50</v>
      </c>
      <c r="F761">
        <v>49.847614288000003</v>
      </c>
      <c r="G761">
        <v>1356.4729004000001</v>
      </c>
      <c r="H761">
        <v>1336.2785644999999</v>
      </c>
      <c r="I761">
        <v>1322.8989257999999</v>
      </c>
      <c r="J761">
        <v>1319.9011230000001</v>
      </c>
      <c r="K761">
        <v>1200</v>
      </c>
      <c r="L761">
        <v>0</v>
      </c>
      <c r="M761">
        <v>0</v>
      </c>
      <c r="N761">
        <v>1200</v>
      </c>
    </row>
    <row r="762" spans="1:14" x14ac:dyDescent="0.25">
      <c r="A762">
        <v>731.00328000000002</v>
      </c>
      <c r="B762" s="1">
        <f>DATE(2012,5,1) + TIME(0,4,43)</f>
        <v>41030.003275462965</v>
      </c>
      <c r="C762">
        <v>80</v>
      </c>
      <c r="D762">
        <v>55.469913482999999</v>
      </c>
      <c r="E762">
        <v>50</v>
      </c>
      <c r="F762">
        <v>49.846721649000003</v>
      </c>
      <c r="G762">
        <v>1367.0933838000001</v>
      </c>
      <c r="H762">
        <v>1346.7883300999999</v>
      </c>
      <c r="I762">
        <v>1320.4487305</v>
      </c>
      <c r="J762">
        <v>1317.4008789</v>
      </c>
      <c r="K762">
        <v>1200</v>
      </c>
      <c r="L762">
        <v>0</v>
      </c>
      <c r="M762">
        <v>0</v>
      </c>
      <c r="N762">
        <v>1200</v>
      </c>
    </row>
    <row r="763" spans="1:14" x14ac:dyDescent="0.25">
      <c r="A763">
        <v>731.00984100000005</v>
      </c>
      <c r="B763" s="1">
        <f>DATE(2012,5,1) + TIME(0,14,10)</f>
        <v>41030.009837962964</v>
      </c>
      <c r="C763">
        <v>80</v>
      </c>
      <c r="D763">
        <v>55.5390625</v>
      </c>
      <c r="E763">
        <v>50</v>
      </c>
      <c r="F763">
        <v>49.844890593999999</v>
      </c>
      <c r="G763">
        <v>1375.3031006000001</v>
      </c>
      <c r="H763">
        <v>1354.8903809000001</v>
      </c>
      <c r="I763">
        <v>1319.9781493999999</v>
      </c>
      <c r="J763">
        <v>1316.8839111</v>
      </c>
      <c r="K763">
        <v>1200</v>
      </c>
      <c r="L763">
        <v>0</v>
      </c>
      <c r="M763">
        <v>0</v>
      </c>
      <c r="N763">
        <v>1200</v>
      </c>
    </row>
    <row r="764" spans="1:14" x14ac:dyDescent="0.25">
      <c r="A764">
        <v>731.02952400000004</v>
      </c>
      <c r="B764" s="1">
        <f>DATE(2012,5,1) + TIME(0,42,30)</f>
        <v>41030.029513888891</v>
      </c>
      <c r="C764">
        <v>80</v>
      </c>
      <c r="D764">
        <v>55.742961884000003</v>
      </c>
      <c r="E764">
        <v>50</v>
      </c>
      <c r="F764">
        <v>49.839778899999999</v>
      </c>
      <c r="G764">
        <v>1380.0893555</v>
      </c>
      <c r="H764">
        <v>1359.6716309000001</v>
      </c>
      <c r="I764">
        <v>1321.3088379000001</v>
      </c>
      <c r="J764">
        <v>1318.1999512</v>
      </c>
      <c r="K764">
        <v>1200</v>
      </c>
      <c r="L764">
        <v>0</v>
      </c>
      <c r="M764">
        <v>0</v>
      </c>
      <c r="N764">
        <v>1200</v>
      </c>
    </row>
    <row r="765" spans="1:14" x14ac:dyDescent="0.25">
      <c r="A765">
        <v>731.088573</v>
      </c>
      <c r="B765" s="1">
        <f>DATE(2012,5,1) + TIME(2,7,32)</f>
        <v>41030.088564814818</v>
      </c>
      <c r="C765">
        <v>80</v>
      </c>
      <c r="D765">
        <v>56.338687897</v>
      </c>
      <c r="E765">
        <v>50</v>
      </c>
      <c r="F765">
        <v>49.824443817000002</v>
      </c>
      <c r="G765">
        <v>1382.3336182</v>
      </c>
      <c r="H765">
        <v>1362.0814209</v>
      </c>
      <c r="I765">
        <v>1322.8837891000001</v>
      </c>
      <c r="J765">
        <v>1319.7739257999999</v>
      </c>
      <c r="K765">
        <v>1200</v>
      </c>
      <c r="L765">
        <v>0</v>
      </c>
      <c r="M765">
        <v>0</v>
      </c>
      <c r="N765">
        <v>1200</v>
      </c>
    </row>
    <row r="766" spans="1:14" x14ac:dyDescent="0.25">
      <c r="A766">
        <v>731.16807800000004</v>
      </c>
      <c r="B766" s="1">
        <f>DATE(2012,5,1) + TIME(4,2,1)</f>
        <v>41030.168067129627</v>
      </c>
      <c r="C766">
        <v>80</v>
      </c>
      <c r="D766">
        <v>57.115016937</v>
      </c>
      <c r="E766">
        <v>50</v>
      </c>
      <c r="F766">
        <v>49.803981780999997</v>
      </c>
      <c r="G766">
        <v>1382.9700928</v>
      </c>
      <c r="H766">
        <v>1362.9350586</v>
      </c>
      <c r="I766">
        <v>1323.6652832</v>
      </c>
      <c r="J766">
        <v>1320.5552978999999</v>
      </c>
      <c r="K766">
        <v>1200</v>
      </c>
      <c r="L766">
        <v>0</v>
      </c>
      <c r="M766">
        <v>0</v>
      </c>
      <c r="N766">
        <v>1200</v>
      </c>
    </row>
    <row r="767" spans="1:14" x14ac:dyDescent="0.25">
      <c r="A767">
        <v>731.24926300000004</v>
      </c>
      <c r="B767" s="1">
        <f>DATE(2012,5,1) + TIME(5,58,56)</f>
        <v>41030.249259259261</v>
      </c>
      <c r="C767">
        <v>80</v>
      </c>
      <c r="D767">
        <v>57.882278442</v>
      </c>
      <c r="E767">
        <v>50</v>
      </c>
      <c r="F767">
        <v>49.783298492</v>
      </c>
      <c r="G767">
        <v>1383.1007079999999</v>
      </c>
      <c r="H767">
        <v>1363.2686768000001</v>
      </c>
      <c r="I767">
        <v>1324.036499</v>
      </c>
      <c r="J767">
        <v>1320.9260254000001</v>
      </c>
      <c r="K767">
        <v>1200</v>
      </c>
      <c r="L767">
        <v>0</v>
      </c>
      <c r="M767">
        <v>0</v>
      </c>
      <c r="N767">
        <v>1200</v>
      </c>
    </row>
    <row r="768" spans="1:14" x14ac:dyDescent="0.25">
      <c r="A768">
        <v>731.33220900000003</v>
      </c>
      <c r="B768" s="1">
        <f>DATE(2012,5,1) + TIME(7,58,22)</f>
        <v>41030.332199074073</v>
      </c>
      <c r="C768">
        <v>80</v>
      </c>
      <c r="D768">
        <v>58.640419006000002</v>
      </c>
      <c r="E768">
        <v>50</v>
      </c>
      <c r="F768">
        <v>49.762405395999998</v>
      </c>
      <c r="G768">
        <v>1383.0443115</v>
      </c>
      <c r="H768">
        <v>1363.4084473</v>
      </c>
      <c r="I768">
        <v>1324.2351074000001</v>
      </c>
      <c r="J768">
        <v>1321.1241454999999</v>
      </c>
      <c r="K768">
        <v>1200</v>
      </c>
      <c r="L768">
        <v>0</v>
      </c>
      <c r="M768">
        <v>0</v>
      </c>
      <c r="N768">
        <v>1200</v>
      </c>
    </row>
    <row r="769" spans="1:14" x14ac:dyDescent="0.25">
      <c r="A769">
        <v>731.41700500000002</v>
      </c>
      <c r="B769" s="1">
        <f>DATE(2012,5,1) + TIME(10,0,29)</f>
        <v>41030.417002314818</v>
      </c>
      <c r="C769">
        <v>80</v>
      </c>
      <c r="D769">
        <v>59.389373779000003</v>
      </c>
      <c r="E769">
        <v>50</v>
      </c>
      <c r="F769">
        <v>49.741310120000001</v>
      </c>
      <c r="G769">
        <v>1382.9018555</v>
      </c>
      <c r="H769">
        <v>1363.4554443</v>
      </c>
      <c r="I769">
        <v>1324.3460693</v>
      </c>
      <c r="J769">
        <v>1321.2346190999999</v>
      </c>
      <c r="K769">
        <v>1200</v>
      </c>
      <c r="L769">
        <v>0</v>
      </c>
      <c r="M769">
        <v>0</v>
      </c>
      <c r="N769">
        <v>1200</v>
      </c>
    </row>
    <row r="770" spans="1:14" x14ac:dyDescent="0.25">
      <c r="A770">
        <v>731.50373000000002</v>
      </c>
      <c r="B770" s="1">
        <f>DATE(2012,5,1) + TIME(12,5,22)</f>
        <v>41030.50372685185</v>
      </c>
      <c r="C770">
        <v>80</v>
      </c>
      <c r="D770">
        <v>60.128852844000001</v>
      </c>
      <c r="E770">
        <v>50</v>
      </c>
      <c r="F770">
        <v>49.719997405999997</v>
      </c>
      <c r="G770">
        <v>1382.7169189000001</v>
      </c>
      <c r="H770">
        <v>1363.453125</v>
      </c>
      <c r="I770">
        <v>1324.4086914</v>
      </c>
      <c r="J770">
        <v>1321.2966309000001</v>
      </c>
      <c r="K770">
        <v>1200</v>
      </c>
      <c r="L770">
        <v>0</v>
      </c>
      <c r="M770">
        <v>0</v>
      </c>
      <c r="N770">
        <v>1200</v>
      </c>
    </row>
    <row r="771" spans="1:14" x14ac:dyDescent="0.25">
      <c r="A771">
        <v>731.59250899999995</v>
      </c>
      <c r="B771" s="1">
        <f>DATE(2012,5,1) + TIME(14,13,12)</f>
        <v>41030.592499999999</v>
      </c>
      <c r="C771">
        <v>80</v>
      </c>
      <c r="D771">
        <v>60.858623504999997</v>
      </c>
      <c r="E771">
        <v>50</v>
      </c>
      <c r="F771">
        <v>49.698451996000003</v>
      </c>
      <c r="G771">
        <v>1382.5113524999999</v>
      </c>
      <c r="H771">
        <v>1363.4239502</v>
      </c>
      <c r="I771">
        <v>1324.4440918</v>
      </c>
      <c r="J771">
        <v>1321.3312988</v>
      </c>
      <c r="K771">
        <v>1200</v>
      </c>
      <c r="L771">
        <v>0</v>
      </c>
      <c r="M771">
        <v>0</v>
      </c>
      <c r="N771">
        <v>1200</v>
      </c>
    </row>
    <row r="772" spans="1:14" x14ac:dyDescent="0.25">
      <c r="A772">
        <v>731.68346199999996</v>
      </c>
      <c r="B772" s="1">
        <f>DATE(2012,5,1) + TIME(16,24,11)</f>
        <v>41030.68346064815</v>
      </c>
      <c r="C772">
        <v>80</v>
      </c>
      <c r="D772">
        <v>61.579063415999997</v>
      </c>
      <c r="E772">
        <v>50</v>
      </c>
      <c r="F772">
        <v>49.676662444999998</v>
      </c>
      <c r="G772">
        <v>1382.2973632999999</v>
      </c>
      <c r="H772">
        <v>1363.3803711</v>
      </c>
      <c r="I772">
        <v>1324.4637451000001</v>
      </c>
      <c r="J772">
        <v>1321.3503418</v>
      </c>
      <c r="K772">
        <v>1200</v>
      </c>
      <c r="L772">
        <v>0</v>
      </c>
      <c r="M772">
        <v>0</v>
      </c>
      <c r="N772">
        <v>1200</v>
      </c>
    </row>
    <row r="773" spans="1:14" x14ac:dyDescent="0.25">
      <c r="A773">
        <v>731.77671299999997</v>
      </c>
      <c r="B773" s="1">
        <f>DATE(2012,5,1) + TIME(18,38,27)</f>
        <v>41030.776701388888</v>
      </c>
      <c r="C773">
        <v>80</v>
      </c>
      <c r="D773">
        <v>62.290111541999998</v>
      </c>
      <c r="E773">
        <v>50</v>
      </c>
      <c r="F773">
        <v>49.65460968</v>
      </c>
      <c r="G773">
        <v>1382.0817870999999</v>
      </c>
      <c r="H773">
        <v>1363.3292236</v>
      </c>
      <c r="I773">
        <v>1324.4747314000001</v>
      </c>
      <c r="J773">
        <v>1321.3607178</v>
      </c>
      <c r="K773">
        <v>1200</v>
      </c>
      <c r="L773">
        <v>0</v>
      </c>
      <c r="M773">
        <v>0</v>
      </c>
      <c r="N773">
        <v>1200</v>
      </c>
    </row>
    <row r="774" spans="1:14" x14ac:dyDescent="0.25">
      <c r="A774">
        <v>731.87239999999997</v>
      </c>
      <c r="B774" s="1">
        <f>DATE(2012,5,1) + TIME(20,56,15)</f>
        <v>41030.872395833336</v>
      </c>
      <c r="C774">
        <v>80</v>
      </c>
      <c r="D774">
        <v>62.991691588999998</v>
      </c>
      <c r="E774">
        <v>50</v>
      </c>
      <c r="F774">
        <v>49.632278442</v>
      </c>
      <c r="G774">
        <v>1381.8681641000001</v>
      </c>
      <c r="H774">
        <v>1363.2745361</v>
      </c>
      <c r="I774">
        <v>1324.4807129000001</v>
      </c>
      <c r="J774">
        <v>1321.3659668</v>
      </c>
      <c r="K774">
        <v>1200</v>
      </c>
      <c r="L774">
        <v>0</v>
      </c>
      <c r="M774">
        <v>0</v>
      </c>
      <c r="N774">
        <v>1200</v>
      </c>
    </row>
    <row r="775" spans="1:14" x14ac:dyDescent="0.25">
      <c r="A775">
        <v>731.97067000000004</v>
      </c>
      <c r="B775" s="1">
        <f>DATE(2012,5,1) + TIME(23,17,45)</f>
        <v>41030.970659722225</v>
      </c>
      <c r="C775">
        <v>80</v>
      </c>
      <c r="D775">
        <v>63.683715820000003</v>
      </c>
      <c r="E775">
        <v>50</v>
      </c>
      <c r="F775">
        <v>49.609642029</v>
      </c>
      <c r="G775">
        <v>1381.6585693</v>
      </c>
      <c r="H775">
        <v>1363.2183838000001</v>
      </c>
      <c r="I775">
        <v>1324.4838867000001</v>
      </c>
      <c r="J775">
        <v>1321.3684082</v>
      </c>
      <c r="K775">
        <v>1200</v>
      </c>
      <c r="L775">
        <v>0</v>
      </c>
      <c r="M775">
        <v>0</v>
      </c>
      <c r="N775">
        <v>1200</v>
      </c>
    </row>
    <row r="776" spans="1:14" x14ac:dyDescent="0.25">
      <c r="A776">
        <v>732.071684</v>
      </c>
      <c r="B776" s="1">
        <f>DATE(2012,5,2) + TIME(1,43,13)</f>
        <v>41031.07167824074</v>
      </c>
      <c r="C776">
        <v>80</v>
      </c>
      <c r="D776">
        <v>64.366081238000007</v>
      </c>
      <c r="E776">
        <v>50</v>
      </c>
      <c r="F776">
        <v>49.586681366000001</v>
      </c>
      <c r="G776">
        <v>1381.4539795000001</v>
      </c>
      <c r="H776">
        <v>1363.1619873</v>
      </c>
      <c r="I776">
        <v>1324.4854736</v>
      </c>
      <c r="J776">
        <v>1321.3692627</v>
      </c>
      <c r="K776">
        <v>1200</v>
      </c>
      <c r="L776">
        <v>0</v>
      </c>
      <c r="M776">
        <v>0</v>
      </c>
      <c r="N776">
        <v>1200</v>
      </c>
    </row>
    <row r="777" spans="1:14" x14ac:dyDescent="0.25">
      <c r="A777">
        <v>732.17561699999999</v>
      </c>
      <c r="B777" s="1">
        <f>DATE(2012,5,2) + TIME(4,12,53)</f>
        <v>41031.175613425927</v>
      </c>
      <c r="C777">
        <v>80</v>
      </c>
      <c r="D777">
        <v>65.038673400999997</v>
      </c>
      <c r="E777">
        <v>50</v>
      </c>
      <c r="F777">
        <v>49.563373566000003</v>
      </c>
      <c r="G777">
        <v>1381.2545166</v>
      </c>
      <c r="H777">
        <v>1363.1058350000001</v>
      </c>
      <c r="I777">
        <v>1324.4862060999999</v>
      </c>
      <c r="J777">
        <v>1321.3692627</v>
      </c>
      <c r="K777">
        <v>1200</v>
      </c>
      <c r="L777">
        <v>0</v>
      </c>
      <c r="M777">
        <v>0</v>
      </c>
      <c r="N777">
        <v>1200</v>
      </c>
    </row>
    <row r="778" spans="1:14" x14ac:dyDescent="0.25">
      <c r="A778">
        <v>732.28265899999997</v>
      </c>
      <c r="B778" s="1">
        <f>DATE(2012,5,2) + TIME(6,47,1)</f>
        <v>41031.282650462963</v>
      </c>
      <c r="C778">
        <v>80</v>
      </c>
      <c r="D778">
        <v>65.701499939000001</v>
      </c>
      <c r="E778">
        <v>50</v>
      </c>
      <c r="F778">
        <v>49.539691925</v>
      </c>
      <c r="G778">
        <v>1381.0605469</v>
      </c>
      <c r="H778">
        <v>1363.050293</v>
      </c>
      <c r="I778">
        <v>1324.4863281</v>
      </c>
      <c r="J778">
        <v>1321.3686522999999</v>
      </c>
      <c r="K778">
        <v>1200</v>
      </c>
      <c r="L778">
        <v>0</v>
      </c>
      <c r="M778">
        <v>0</v>
      </c>
      <c r="N778">
        <v>1200</v>
      </c>
    </row>
    <row r="779" spans="1:14" x14ac:dyDescent="0.25">
      <c r="A779">
        <v>732.39301599999999</v>
      </c>
      <c r="B779" s="1">
        <f>DATE(2012,5,2) + TIME(9,25,56)</f>
        <v>41031.393009259256</v>
      </c>
      <c r="C779">
        <v>80</v>
      </c>
      <c r="D779">
        <v>66.354270935000002</v>
      </c>
      <c r="E779">
        <v>50</v>
      </c>
      <c r="F779">
        <v>49.515613555999998</v>
      </c>
      <c r="G779">
        <v>1380.8719481999999</v>
      </c>
      <c r="H779">
        <v>1362.9954834</v>
      </c>
      <c r="I779">
        <v>1324.4862060999999</v>
      </c>
      <c r="J779">
        <v>1321.3675536999999</v>
      </c>
      <c r="K779">
        <v>1200</v>
      </c>
      <c r="L779">
        <v>0</v>
      </c>
      <c r="M779">
        <v>0</v>
      </c>
      <c r="N779">
        <v>1200</v>
      </c>
    </row>
    <row r="780" spans="1:14" x14ac:dyDescent="0.25">
      <c r="A780">
        <v>732.50695499999995</v>
      </c>
      <c r="B780" s="1">
        <f>DATE(2012,5,2) + TIME(12,10,0)</f>
        <v>41031.506944444445</v>
      </c>
      <c r="C780">
        <v>80</v>
      </c>
      <c r="D780">
        <v>66.996994018999999</v>
      </c>
      <c r="E780">
        <v>50</v>
      </c>
      <c r="F780">
        <v>49.491092682000001</v>
      </c>
      <c r="G780">
        <v>1380.6882324000001</v>
      </c>
      <c r="H780">
        <v>1362.9411620999999</v>
      </c>
      <c r="I780">
        <v>1324.4857178</v>
      </c>
      <c r="J780">
        <v>1321.3663329999999</v>
      </c>
      <c r="K780">
        <v>1200</v>
      </c>
      <c r="L780">
        <v>0</v>
      </c>
      <c r="M780">
        <v>0</v>
      </c>
      <c r="N780">
        <v>1200</v>
      </c>
    </row>
    <row r="781" spans="1:14" x14ac:dyDescent="0.25">
      <c r="A781">
        <v>732.62471200000005</v>
      </c>
      <c r="B781" s="1">
        <f>DATE(2012,5,2) + TIME(14,59,35)</f>
        <v>41031.624710648146</v>
      </c>
      <c r="C781">
        <v>80</v>
      </c>
      <c r="D781">
        <v>67.629402161000002</v>
      </c>
      <c r="E781">
        <v>50</v>
      </c>
      <c r="F781">
        <v>49.466110229000002</v>
      </c>
      <c r="G781">
        <v>1380.5095214999999</v>
      </c>
      <c r="H781">
        <v>1362.8874512</v>
      </c>
      <c r="I781">
        <v>1324.4851074000001</v>
      </c>
      <c r="J781">
        <v>1321.3648682</v>
      </c>
      <c r="K781">
        <v>1200</v>
      </c>
      <c r="L781">
        <v>0</v>
      </c>
      <c r="M781">
        <v>0</v>
      </c>
      <c r="N781">
        <v>1200</v>
      </c>
    </row>
    <row r="782" spans="1:14" x14ac:dyDescent="0.25">
      <c r="A782">
        <v>732.74654699999996</v>
      </c>
      <c r="B782" s="1">
        <f>DATE(2012,5,2) + TIME(17,55,1)</f>
        <v>41031.746539351851</v>
      </c>
      <c r="C782">
        <v>80</v>
      </c>
      <c r="D782">
        <v>68.251190186000002</v>
      </c>
      <c r="E782">
        <v>50</v>
      </c>
      <c r="F782">
        <v>49.440624237000002</v>
      </c>
      <c r="G782">
        <v>1380.3354492000001</v>
      </c>
      <c r="H782">
        <v>1362.8342285000001</v>
      </c>
      <c r="I782">
        <v>1324.484375</v>
      </c>
      <c r="J782">
        <v>1321.3632812000001</v>
      </c>
      <c r="K782">
        <v>1200</v>
      </c>
      <c r="L782">
        <v>0</v>
      </c>
      <c r="M782">
        <v>0</v>
      </c>
      <c r="N782">
        <v>1200</v>
      </c>
    </row>
    <row r="783" spans="1:14" x14ac:dyDescent="0.25">
      <c r="A783">
        <v>732.87276599999996</v>
      </c>
      <c r="B783" s="1">
        <f>DATE(2012,5,2) + TIME(20,56,47)</f>
        <v>41031.872766203705</v>
      </c>
      <c r="C783">
        <v>80</v>
      </c>
      <c r="D783">
        <v>68.862129210999996</v>
      </c>
      <c r="E783">
        <v>50</v>
      </c>
      <c r="F783">
        <v>49.414600372000002</v>
      </c>
      <c r="G783">
        <v>1380.1657714999999</v>
      </c>
      <c r="H783">
        <v>1362.7813721</v>
      </c>
      <c r="I783">
        <v>1324.4835204999999</v>
      </c>
      <c r="J783">
        <v>1321.3615723</v>
      </c>
      <c r="K783">
        <v>1200</v>
      </c>
      <c r="L783">
        <v>0</v>
      </c>
      <c r="M783">
        <v>0</v>
      </c>
      <c r="N783">
        <v>1200</v>
      </c>
    </row>
    <row r="784" spans="1:14" x14ac:dyDescent="0.25">
      <c r="A784">
        <v>733.00371099999995</v>
      </c>
      <c r="B784" s="1">
        <f>DATE(2012,5,3) + TIME(0,5,20)</f>
        <v>41032.003703703704</v>
      </c>
      <c r="C784">
        <v>80</v>
      </c>
      <c r="D784">
        <v>69.461982727000006</v>
      </c>
      <c r="E784">
        <v>50</v>
      </c>
      <c r="F784">
        <v>49.387992859000001</v>
      </c>
      <c r="G784">
        <v>1380.0002440999999</v>
      </c>
      <c r="H784">
        <v>1362.7287598</v>
      </c>
      <c r="I784">
        <v>1324.4825439000001</v>
      </c>
      <c r="J784">
        <v>1321.3596190999999</v>
      </c>
      <c r="K784">
        <v>1200</v>
      </c>
      <c r="L784">
        <v>0</v>
      </c>
      <c r="M784">
        <v>0</v>
      </c>
      <c r="N784">
        <v>1200</v>
      </c>
    </row>
    <row r="785" spans="1:14" x14ac:dyDescent="0.25">
      <c r="A785">
        <v>733.13976000000002</v>
      </c>
      <c r="B785" s="1">
        <f>DATE(2012,5,3) + TIME(3,21,15)</f>
        <v>41032.139756944445</v>
      </c>
      <c r="C785">
        <v>80</v>
      </c>
      <c r="D785">
        <v>70.050437927000004</v>
      </c>
      <c r="E785">
        <v>50</v>
      </c>
      <c r="F785">
        <v>49.360755920000003</v>
      </c>
      <c r="G785">
        <v>1379.8387451000001</v>
      </c>
      <c r="H785">
        <v>1362.6762695</v>
      </c>
      <c r="I785">
        <v>1324.4814452999999</v>
      </c>
      <c r="J785">
        <v>1321.3576660000001</v>
      </c>
      <c r="K785">
        <v>1200</v>
      </c>
      <c r="L785">
        <v>0</v>
      </c>
      <c r="M785">
        <v>0</v>
      </c>
      <c r="N785">
        <v>1200</v>
      </c>
    </row>
    <row r="786" spans="1:14" x14ac:dyDescent="0.25">
      <c r="A786">
        <v>733.28133800000001</v>
      </c>
      <c r="B786" s="1">
        <f>DATE(2012,5,3) + TIME(6,45,7)</f>
        <v>41032.281331018516</v>
      </c>
      <c r="C786">
        <v>80</v>
      </c>
      <c r="D786">
        <v>70.626869201999995</v>
      </c>
      <c r="E786">
        <v>50</v>
      </c>
      <c r="F786">
        <v>49.332832336000003</v>
      </c>
      <c r="G786">
        <v>1379.6807861</v>
      </c>
      <c r="H786">
        <v>1362.6237793</v>
      </c>
      <c r="I786">
        <v>1324.4802245999999</v>
      </c>
      <c r="J786">
        <v>1321.3554687999999</v>
      </c>
      <c r="K786">
        <v>1200</v>
      </c>
      <c r="L786">
        <v>0</v>
      </c>
      <c r="M786">
        <v>0</v>
      </c>
      <c r="N786">
        <v>1200</v>
      </c>
    </row>
    <row r="787" spans="1:14" x14ac:dyDescent="0.25">
      <c r="A787">
        <v>733.42892300000005</v>
      </c>
      <c r="B787" s="1">
        <f>DATE(2012,5,3) + TIME(10,17,38)</f>
        <v>41032.428912037038</v>
      </c>
      <c r="C787">
        <v>80</v>
      </c>
      <c r="D787">
        <v>71.191322326999995</v>
      </c>
      <c r="E787">
        <v>50</v>
      </c>
      <c r="F787">
        <v>49.304168701000002</v>
      </c>
      <c r="G787">
        <v>1379.5262451000001</v>
      </c>
      <c r="H787">
        <v>1362.5710449000001</v>
      </c>
      <c r="I787">
        <v>1324.4790039</v>
      </c>
      <c r="J787">
        <v>1321.3531493999999</v>
      </c>
      <c r="K787">
        <v>1200</v>
      </c>
      <c r="L787">
        <v>0</v>
      </c>
      <c r="M787">
        <v>0</v>
      </c>
      <c r="N787">
        <v>1200</v>
      </c>
    </row>
    <row r="788" spans="1:14" x14ac:dyDescent="0.25">
      <c r="A788">
        <v>733.58305399999995</v>
      </c>
      <c r="B788" s="1">
        <f>DATE(2012,5,3) + TIME(13,59,35)</f>
        <v>41032.583043981482</v>
      </c>
      <c r="C788">
        <v>80</v>
      </c>
      <c r="D788">
        <v>71.743484496999997</v>
      </c>
      <c r="E788">
        <v>50</v>
      </c>
      <c r="F788">
        <v>49.274688720999997</v>
      </c>
      <c r="G788">
        <v>1379.3748779</v>
      </c>
      <c r="H788">
        <v>1362.5181885</v>
      </c>
      <c r="I788">
        <v>1324.4775391000001</v>
      </c>
      <c r="J788">
        <v>1321.3505858999999</v>
      </c>
      <c r="K788">
        <v>1200</v>
      </c>
      <c r="L788">
        <v>0</v>
      </c>
      <c r="M788">
        <v>0</v>
      </c>
      <c r="N788">
        <v>1200</v>
      </c>
    </row>
    <row r="789" spans="1:14" x14ac:dyDescent="0.25">
      <c r="A789">
        <v>733.74434399999996</v>
      </c>
      <c r="B789" s="1">
        <f>DATE(2012,5,3) + TIME(17,51,51)</f>
        <v>41032.744340277779</v>
      </c>
      <c r="C789">
        <v>80</v>
      </c>
      <c r="D789">
        <v>72.282989502000007</v>
      </c>
      <c r="E789">
        <v>50</v>
      </c>
      <c r="F789">
        <v>49.244327544999997</v>
      </c>
      <c r="G789">
        <v>1379.2264404</v>
      </c>
      <c r="H789">
        <v>1362.4647216999999</v>
      </c>
      <c r="I789">
        <v>1324.4759521000001</v>
      </c>
      <c r="J789">
        <v>1321.3480225000001</v>
      </c>
      <c r="K789">
        <v>1200</v>
      </c>
      <c r="L789">
        <v>0</v>
      </c>
      <c r="M789">
        <v>0</v>
      </c>
      <c r="N789">
        <v>1200</v>
      </c>
    </row>
    <row r="790" spans="1:14" x14ac:dyDescent="0.25">
      <c r="A790">
        <v>733.91352400000005</v>
      </c>
      <c r="B790" s="1">
        <f>DATE(2012,5,3) + TIME(21,55,28)</f>
        <v>41032.913518518515</v>
      </c>
      <c r="C790">
        <v>80</v>
      </c>
      <c r="D790">
        <v>72.809562682999996</v>
      </c>
      <c r="E790">
        <v>50</v>
      </c>
      <c r="F790">
        <v>49.212985992</v>
      </c>
      <c r="G790">
        <v>1379.0806885</v>
      </c>
      <c r="H790">
        <v>1362.4107666</v>
      </c>
      <c r="I790">
        <v>1324.4742432</v>
      </c>
      <c r="J790">
        <v>1321.3452147999999</v>
      </c>
      <c r="K790">
        <v>1200</v>
      </c>
      <c r="L790">
        <v>0</v>
      </c>
      <c r="M790">
        <v>0</v>
      </c>
      <c r="N790">
        <v>1200</v>
      </c>
    </row>
    <row r="791" spans="1:14" x14ac:dyDescent="0.25">
      <c r="A791">
        <v>734.09146599999997</v>
      </c>
      <c r="B791" s="1">
        <f>DATE(2012,5,4) + TIME(2,11,42)</f>
        <v>41033.091458333336</v>
      </c>
      <c r="C791">
        <v>80</v>
      </c>
      <c r="D791">
        <v>73.322937011999997</v>
      </c>
      <c r="E791">
        <v>50</v>
      </c>
      <c r="F791">
        <v>49.180557251000003</v>
      </c>
      <c r="G791">
        <v>1378.9372559000001</v>
      </c>
      <c r="H791">
        <v>1362.355957</v>
      </c>
      <c r="I791">
        <v>1324.4724120999999</v>
      </c>
      <c r="J791">
        <v>1321.3421631000001</v>
      </c>
      <c r="K791">
        <v>1200</v>
      </c>
      <c r="L791">
        <v>0</v>
      </c>
      <c r="M791">
        <v>0</v>
      </c>
      <c r="N791">
        <v>1200</v>
      </c>
    </row>
    <row r="792" spans="1:14" x14ac:dyDescent="0.25">
      <c r="A792">
        <v>734.27901899999995</v>
      </c>
      <c r="B792" s="1">
        <f>DATE(2012,5,4) + TIME(6,41,47)</f>
        <v>41033.279016203705</v>
      </c>
      <c r="C792">
        <v>80</v>
      </c>
      <c r="D792">
        <v>73.822425842000001</v>
      </c>
      <c r="E792">
        <v>50</v>
      </c>
      <c r="F792">
        <v>49.146942138999997</v>
      </c>
      <c r="G792">
        <v>1378.7958983999999</v>
      </c>
      <c r="H792">
        <v>1362.300293</v>
      </c>
      <c r="I792">
        <v>1324.4704589999999</v>
      </c>
      <c r="J792">
        <v>1321.3389893000001</v>
      </c>
      <c r="K792">
        <v>1200</v>
      </c>
      <c r="L792">
        <v>0</v>
      </c>
      <c r="M792">
        <v>0</v>
      </c>
      <c r="N792">
        <v>1200</v>
      </c>
    </row>
    <row r="793" spans="1:14" x14ac:dyDescent="0.25">
      <c r="A793">
        <v>734.47726899999998</v>
      </c>
      <c r="B793" s="1">
        <f>DATE(2012,5,4) + TIME(11,27,16)</f>
        <v>41033.477268518516</v>
      </c>
      <c r="C793">
        <v>80</v>
      </c>
      <c r="D793">
        <v>74.307548522999994</v>
      </c>
      <c r="E793">
        <v>50</v>
      </c>
      <c r="F793">
        <v>49.112014770999998</v>
      </c>
      <c r="G793">
        <v>1378.6564940999999</v>
      </c>
      <c r="H793">
        <v>1362.2434082</v>
      </c>
      <c r="I793">
        <v>1324.4683838000001</v>
      </c>
      <c r="J793">
        <v>1321.3356934000001</v>
      </c>
      <c r="K793">
        <v>1200</v>
      </c>
      <c r="L793">
        <v>0</v>
      </c>
      <c r="M793">
        <v>0</v>
      </c>
      <c r="N793">
        <v>1200</v>
      </c>
    </row>
    <row r="794" spans="1:14" x14ac:dyDescent="0.25">
      <c r="A794">
        <v>734.68748800000003</v>
      </c>
      <c r="B794" s="1">
        <f>DATE(2012,5,4) + TIME(16,29,58)</f>
        <v>41033.687476851854</v>
      </c>
      <c r="C794">
        <v>80</v>
      </c>
      <c r="D794">
        <v>74.777793884000005</v>
      </c>
      <c r="E794">
        <v>50</v>
      </c>
      <c r="F794">
        <v>49.075622559000003</v>
      </c>
      <c r="G794">
        <v>1378.5186768000001</v>
      </c>
      <c r="H794">
        <v>1362.1853027</v>
      </c>
      <c r="I794">
        <v>1324.4660644999999</v>
      </c>
      <c r="J794">
        <v>1321.3320312000001</v>
      </c>
      <c r="K794">
        <v>1200</v>
      </c>
      <c r="L794">
        <v>0</v>
      </c>
      <c r="M794">
        <v>0</v>
      </c>
      <c r="N794">
        <v>1200</v>
      </c>
    </row>
    <row r="795" spans="1:14" x14ac:dyDescent="0.25">
      <c r="A795">
        <v>734.91118500000005</v>
      </c>
      <c r="B795" s="1">
        <f>DATE(2012,5,4) + TIME(21,52,6)</f>
        <v>41033.911180555559</v>
      </c>
      <c r="C795">
        <v>80</v>
      </c>
      <c r="D795">
        <v>75.232444763000004</v>
      </c>
      <c r="E795">
        <v>50</v>
      </c>
      <c r="F795">
        <v>49.037586212000001</v>
      </c>
      <c r="G795">
        <v>1378.3820800999999</v>
      </c>
      <c r="H795">
        <v>1362.1256103999999</v>
      </c>
      <c r="I795">
        <v>1324.4636230000001</v>
      </c>
      <c r="J795">
        <v>1321.3282471</v>
      </c>
      <c r="K795">
        <v>1200</v>
      </c>
      <c r="L795">
        <v>0</v>
      </c>
      <c r="M795">
        <v>0</v>
      </c>
      <c r="N795">
        <v>1200</v>
      </c>
    </row>
    <row r="796" spans="1:14" x14ac:dyDescent="0.25">
      <c r="A796">
        <v>735.15010099999995</v>
      </c>
      <c r="B796" s="1">
        <f>DATE(2012,5,5) + TIME(3,36,8)</f>
        <v>41034.150092592594</v>
      </c>
      <c r="C796">
        <v>80</v>
      </c>
      <c r="D796">
        <v>75.670799255000006</v>
      </c>
      <c r="E796">
        <v>50</v>
      </c>
      <c r="F796">
        <v>48.997703551999997</v>
      </c>
      <c r="G796">
        <v>1378.2463379000001</v>
      </c>
      <c r="H796">
        <v>1362.0639647999999</v>
      </c>
      <c r="I796">
        <v>1324.4610596</v>
      </c>
      <c r="J796">
        <v>1321.3240966999999</v>
      </c>
      <c r="K796">
        <v>1200</v>
      </c>
      <c r="L796">
        <v>0</v>
      </c>
      <c r="M796">
        <v>0</v>
      </c>
      <c r="N796">
        <v>1200</v>
      </c>
    </row>
    <row r="797" spans="1:14" x14ac:dyDescent="0.25">
      <c r="A797">
        <v>735.40645900000004</v>
      </c>
      <c r="B797" s="1">
        <f>DATE(2012,5,5) + TIME(9,45,18)</f>
        <v>41034.406458333331</v>
      </c>
      <c r="C797">
        <v>80</v>
      </c>
      <c r="D797">
        <v>76.092483521000005</v>
      </c>
      <c r="E797">
        <v>50</v>
      </c>
      <c r="F797">
        <v>48.955722809000001</v>
      </c>
      <c r="G797">
        <v>1378.1112060999999</v>
      </c>
      <c r="H797">
        <v>1362.0003661999999</v>
      </c>
      <c r="I797">
        <v>1324.4581298999999</v>
      </c>
      <c r="J797">
        <v>1321.3197021000001</v>
      </c>
      <c r="K797">
        <v>1200</v>
      </c>
      <c r="L797">
        <v>0</v>
      </c>
      <c r="M797">
        <v>0</v>
      </c>
      <c r="N797">
        <v>1200</v>
      </c>
    </row>
    <row r="798" spans="1:14" x14ac:dyDescent="0.25">
      <c r="A798">
        <v>735.68291799999997</v>
      </c>
      <c r="B798" s="1">
        <f>DATE(2012,5,5) + TIME(16,23,24)</f>
        <v>41034.682916666665</v>
      </c>
      <c r="C798">
        <v>80</v>
      </c>
      <c r="D798">
        <v>76.496795653999996</v>
      </c>
      <c r="E798">
        <v>50</v>
      </c>
      <c r="F798">
        <v>48.911338806000003</v>
      </c>
      <c r="G798">
        <v>1377.9763184000001</v>
      </c>
      <c r="H798">
        <v>1361.9343262</v>
      </c>
      <c r="I798">
        <v>1324.4549560999999</v>
      </c>
      <c r="J798">
        <v>1321.3149414</v>
      </c>
      <c r="K798">
        <v>1200</v>
      </c>
      <c r="L798">
        <v>0</v>
      </c>
      <c r="M798">
        <v>0</v>
      </c>
      <c r="N798">
        <v>1200</v>
      </c>
    </row>
    <row r="799" spans="1:14" x14ac:dyDescent="0.25">
      <c r="A799">
        <v>735.97435299999995</v>
      </c>
      <c r="B799" s="1">
        <f>DATE(2012,5,5) + TIME(23,23,4)</f>
        <v>41034.974351851852</v>
      </c>
      <c r="C799">
        <v>80</v>
      </c>
      <c r="D799">
        <v>76.873420714999995</v>
      </c>
      <c r="E799">
        <v>50</v>
      </c>
      <c r="F799">
        <v>48.865379333</v>
      </c>
      <c r="G799">
        <v>1377.8442382999999</v>
      </c>
      <c r="H799">
        <v>1361.8665771000001</v>
      </c>
      <c r="I799">
        <v>1324.4515381000001</v>
      </c>
      <c r="J799">
        <v>1321.3098144999999</v>
      </c>
      <c r="K799">
        <v>1200</v>
      </c>
      <c r="L799">
        <v>0</v>
      </c>
      <c r="M799">
        <v>0</v>
      </c>
      <c r="N799">
        <v>1200</v>
      </c>
    </row>
    <row r="800" spans="1:14" x14ac:dyDescent="0.25">
      <c r="A800">
        <v>736.26717299999996</v>
      </c>
      <c r="B800" s="1">
        <f>DATE(2012,5,6) + TIME(6,24,43)</f>
        <v>41035.267164351855</v>
      </c>
      <c r="C800">
        <v>80</v>
      </c>
      <c r="D800">
        <v>77.207588196000003</v>
      </c>
      <c r="E800">
        <v>50</v>
      </c>
      <c r="F800">
        <v>48.819801331000001</v>
      </c>
      <c r="G800">
        <v>1377.7200928</v>
      </c>
      <c r="H800">
        <v>1361.7994385</v>
      </c>
      <c r="I800">
        <v>1324.4477539</v>
      </c>
      <c r="J800">
        <v>1321.3043213000001</v>
      </c>
      <c r="K800">
        <v>1200</v>
      </c>
      <c r="L800">
        <v>0</v>
      </c>
      <c r="M800">
        <v>0</v>
      </c>
      <c r="N800">
        <v>1200</v>
      </c>
    </row>
    <row r="801" spans="1:14" x14ac:dyDescent="0.25">
      <c r="A801">
        <v>736.56295899999998</v>
      </c>
      <c r="B801" s="1">
        <f>DATE(2012,5,6) + TIME(13,30,39)</f>
        <v>41035.562951388885</v>
      </c>
      <c r="C801">
        <v>80</v>
      </c>
      <c r="D801">
        <v>77.505264281999999</v>
      </c>
      <c r="E801">
        <v>50</v>
      </c>
      <c r="F801">
        <v>48.774356842000003</v>
      </c>
      <c r="G801">
        <v>1377.6026611</v>
      </c>
      <c r="H801">
        <v>1361.7337646000001</v>
      </c>
      <c r="I801">
        <v>1324.4439697</v>
      </c>
      <c r="J801">
        <v>1321.2988281</v>
      </c>
      <c r="K801">
        <v>1200</v>
      </c>
      <c r="L801">
        <v>0</v>
      </c>
      <c r="M801">
        <v>0</v>
      </c>
      <c r="N801">
        <v>1200</v>
      </c>
    </row>
    <row r="802" spans="1:14" x14ac:dyDescent="0.25">
      <c r="A802">
        <v>736.86249199999997</v>
      </c>
      <c r="B802" s="1">
        <f>DATE(2012,5,6) + TIME(20,41,59)</f>
        <v>41035.862488425926</v>
      </c>
      <c r="C802">
        <v>80</v>
      </c>
      <c r="D802">
        <v>77.770690918</v>
      </c>
      <c r="E802">
        <v>50</v>
      </c>
      <c r="F802">
        <v>48.728919982999997</v>
      </c>
      <c r="G802">
        <v>1377.4909668</v>
      </c>
      <c r="H802">
        <v>1361.6693115</v>
      </c>
      <c r="I802">
        <v>1324.4400635</v>
      </c>
      <c r="J802">
        <v>1321.2932129000001</v>
      </c>
      <c r="K802">
        <v>1200</v>
      </c>
      <c r="L802">
        <v>0</v>
      </c>
      <c r="M802">
        <v>0</v>
      </c>
      <c r="N802">
        <v>1200</v>
      </c>
    </row>
    <row r="803" spans="1:14" x14ac:dyDescent="0.25">
      <c r="A803">
        <v>737.16662899999994</v>
      </c>
      <c r="B803" s="1">
        <f>DATE(2012,5,7) + TIME(3,59,56)</f>
        <v>41036.166620370372</v>
      </c>
      <c r="C803">
        <v>80</v>
      </c>
      <c r="D803">
        <v>78.007530212000006</v>
      </c>
      <c r="E803">
        <v>50</v>
      </c>
      <c r="F803">
        <v>48.683357239000003</v>
      </c>
      <c r="G803">
        <v>1377.3843993999999</v>
      </c>
      <c r="H803">
        <v>1361.6058350000001</v>
      </c>
      <c r="I803">
        <v>1324.4360352000001</v>
      </c>
      <c r="J803">
        <v>1321.2873535000001</v>
      </c>
      <c r="K803">
        <v>1200</v>
      </c>
      <c r="L803">
        <v>0</v>
      </c>
      <c r="M803">
        <v>0</v>
      </c>
      <c r="N803">
        <v>1200</v>
      </c>
    </row>
    <row r="804" spans="1:14" x14ac:dyDescent="0.25">
      <c r="A804">
        <v>737.47622699999999</v>
      </c>
      <c r="B804" s="1">
        <f>DATE(2012,5,7) + TIME(11,25,45)</f>
        <v>41036.476215277777</v>
      </c>
      <c r="C804">
        <v>80</v>
      </c>
      <c r="D804">
        <v>78.218948363999999</v>
      </c>
      <c r="E804">
        <v>50</v>
      </c>
      <c r="F804">
        <v>48.637550353999998</v>
      </c>
      <c r="G804">
        <v>1377.2819824000001</v>
      </c>
      <c r="H804">
        <v>1361.5433350000001</v>
      </c>
      <c r="I804">
        <v>1324.4318848</v>
      </c>
      <c r="J804">
        <v>1321.2814940999999</v>
      </c>
      <c r="K804">
        <v>1200</v>
      </c>
      <c r="L804">
        <v>0</v>
      </c>
      <c r="M804">
        <v>0</v>
      </c>
      <c r="N804">
        <v>1200</v>
      </c>
    </row>
    <row r="805" spans="1:14" x14ac:dyDescent="0.25">
      <c r="A805">
        <v>737.79216699999995</v>
      </c>
      <c r="B805" s="1">
        <f>DATE(2012,5,7) + TIME(19,0,43)</f>
        <v>41036.792164351849</v>
      </c>
      <c r="C805">
        <v>80</v>
      </c>
      <c r="D805">
        <v>78.407661438000005</v>
      </c>
      <c r="E805">
        <v>50</v>
      </c>
      <c r="F805">
        <v>48.591369628999999</v>
      </c>
      <c r="G805">
        <v>1377.1834716999999</v>
      </c>
      <c r="H805">
        <v>1361.4814452999999</v>
      </c>
      <c r="I805">
        <v>1324.4276123</v>
      </c>
      <c r="J805">
        <v>1321.2755127</v>
      </c>
      <c r="K805">
        <v>1200</v>
      </c>
      <c r="L805">
        <v>0</v>
      </c>
      <c r="M805">
        <v>0</v>
      </c>
      <c r="N805">
        <v>1200</v>
      </c>
    </row>
    <row r="806" spans="1:14" x14ac:dyDescent="0.25">
      <c r="A806">
        <v>738.11500000000001</v>
      </c>
      <c r="B806" s="1">
        <f>DATE(2012,5,8) + TIME(2,45,36)</f>
        <v>41037.114999999998</v>
      </c>
      <c r="C806">
        <v>80</v>
      </c>
      <c r="D806">
        <v>78.575881957999997</v>
      </c>
      <c r="E806">
        <v>50</v>
      </c>
      <c r="F806">
        <v>48.544746398999997</v>
      </c>
      <c r="G806">
        <v>1377.0881348</v>
      </c>
      <c r="H806">
        <v>1361.4200439000001</v>
      </c>
      <c r="I806">
        <v>1324.4232178</v>
      </c>
      <c r="J806">
        <v>1321.2691649999999</v>
      </c>
      <c r="K806">
        <v>1200</v>
      </c>
      <c r="L806">
        <v>0</v>
      </c>
      <c r="M806">
        <v>0</v>
      </c>
      <c r="N806">
        <v>1200</v>
      </c>
    </row>
    <row r="807" spans="1:14" x14ac:dyDescent="0.25">
      <c r="A807">
        <v>738.44504400000005</v>
      </c>
      <c r="B807" s="1">
        <f>DATE(2012,5,8) + TIME(10,40,51)</f>
        <v>41037.445034722223</v>
      </c>
      <c r="C807">
        <v>80</v>
      </c>
      <c r="D807">
        <v>78.725502014</v>
      </c>
      <c r="E807">
        <v>50</v>
      </c>
      <c r="F807">
        <v>48.497631073000001</v>
      </c>
      <c r="G807">
        <v>1376.9957274999999</v>
      </c>
      <c r="H807">
        <v>1361.359375</v>
      </c>
      <c r="I807">
        <v>1324.4187012</v>
      </c>
      <c r="J807">
        <v>1321.2628173999999</v>
      </c>
      <c r="K807">
        <v>1200</v>
      </c>
      <c r="L807">
        <v>0</v>
      </c>
      <c r="M807">
        <v>0</v>
      </c>
      <c r="N807">
        <v>1200</v>
      </c>
    </row>
    <row r="808" spans="1:14" x14ac:dyDescent="0.25">
      <c r="A808">
        <v>738.78325400000006</v>
      </c>
      <c r="B808" s="1">
        <f>DATE(2012,5,8) + TIME(18,47,53)</f>
        <v>41037.783252314817</v>
      </c>
      <c r="C808">
        <v>80</v>
      </c>
      <c r="D808">
        <v>78.858474731000001</v>
      </c>
      <c r="E808">
        <v>50</v>
      </c>
      <c r="F808">
        <v>48.449909210000001</v>
      </c>
      <c r="G808">
        <v>1376.9058838000001</v>
      </c>
      <c r="H808">
        <v>1361.2990723</v>
      </c>
      <c r="I808">
        <v>1324.4140625</v>
      </c>
      <c r="J808">
        <v>1321.2562256000001</v>
      </c>
      <c r="K808">
        <v>1200</v>
      </c>
      <c r="L808">
        <v>0</v>
      </c>
      <c r="M808">
        <v>0</v>
      </c>
      <c r="N808">
        <v>1200</v>
      </c>
    </row>
    <row r="809" spans="1:14" x14ac:dyDescent="0.25">
      <c r="A809">
        <v>739.13062600000001</v>
      </c>
      <c r="B809" s="1">
        <f>DATE(2012,5,9) + TIME(3,8,6)</f>
        <v>41038.130624999998</v>
      </c>
      <c r="C809">
        <v>80</v>
      </c>
      <c r="D809">
        <v>78.976524353000002</v>
      </c>
      <c r="E809">
        <v>50</v>
      </c>
      <c r="F809">
        <v>48.401458740000002</v>
      </c>
      <c r="G809">
        <v>1376.8183594</v>
      </c>
      <c r="H809">
        <v>1361.2391356999999</v>
      </c>
      <c r="I809">
        <v>1324.4091797000001</v>
      </c>
      <c r="J809">
        <v>1321.2493896000001</v>
      </c>
      <c r="K809">
        <v>1200</v>
      </c>
      <c r="L809">
        <v>0</v>
      </c>
      <c r="M809">
        <v>0</v>
      </c>
      <c r="N809">
        <v>1200</v>
      </c>
    </row>
    <row r="810" spans="1:14" x14ac:dyDescent="0.25">
      <c r="A810">
        <v>739.48824500000001</v>
      </c>
      <c r="B810" s="1">
        <f>DATE(2012,5,9) + TIME(11,43,4)</f>
        <v>41038.488240740742</v>
      </c>
      <c r="C810">
        <v>80</v>
      </c>
      <c r="D810">
        <v>79.081176757999998</v>
      </c>
      <c r="E810">
        <v>50</v>
      </c>
      <c r="F810">
        <v>48.352149963000002</v>
      </c>
      <c r="G810">
        <v>1376.7326660000001</v>
      </c>
      <c r="H810">
        <v>1361.1794434000001</v>
      </c>
      <c r="I810">
        <v>1324.4041748</v>
      </c>
      <c r="J810">
        <v>1321.2423096</v>
      </c>
      <c r="K810">
        <v>1200</v>
      </c>
      <c r="L810">
        <v>0</v>
      </c>
      <c r="M810">
        <v>0</v>
      </c>
      <c r="N810">
        <v>1200</v>
      </c>
    </row>
    <row r="811" spans="1:14" x14ac:dyDescent="0.25">
      <c r="A811">
        <v>739.85731899999996</v>
      </c>
      <c r="B811" s="1">
        <f>DATE(2012,5,9) + TIME(20,34,32)</f>
        <v>41038.857314814813</v>
      </c>
      <c r="C811">
        <v>80</v>
      </c>
      <c r="D811">
        <v>79.173797606999997</v>
      </c>
      <c r="E811">
        <v>50</v>
      </c>
      <c r="F811">
        <v>48.301845551</v>
      </c>
      <c r="G811">
        <v>1376.6485596</v>
      </c>
      <c r="H811">
        <v>1361.1198730000001</v>
      </c>
      <c r="I811">
        <v>1324.3989257999999</v>
      </c>
      <c r="J811">
        <v>1321.2349853999999</v>
      </c>
      <c r="K811">
        <v>1200</v>
      </c>
      <c r="L811">
        <v>0</v>
      </c>
      <c r="M811">
        <v>0</v>
      </c>
      <c r="N811">
        <v>1200</v>
      </c>
    </row>
    <row r="812" spans="1:14" x14ac:dyDescent="0.25">
      <c r="A812">
        <v>740.23918900000001</v>
      </c>
      <c r="B812" s="1">
        <f>DATE(2012,5,10) + TIME(5,44,25)</f>
        <v>41039.239178240743</v>
      </c>
      <c r="C812">
        <v>80</v>
      </c>
      <c r="D812">
        <v>79.255599975999999</v>
      </c>
      <c r="E812">
        <v>50</v>
      </c>
      <c r="F812">
        <v>48.250396729000002</v>
      </c>
      <c r="G812">
        <v>1376.5655518000001</v>
      </c>
      <c r="H812">
        <v>1361.0604248</v>
      </c>
      <c r="I812">
        <v>1324.3934326000001</v>
      </c>
      <c r="J812">
        <v>1321.2274170000001</v>
      </c>
      <c r="K812">
        <v>1200</v>
      </c>
      <c r="L812">
        <v>0</v>
      </c>
      <c r="M812">
        <v>0</v>
      </c>
      <c r="N812">
        <v>1200</v>
      </c>
    </row>
    <row r="813" spans="1:14" x14ac:dyDescent="0.25">
      <c r="A813">
        <v>740.63548400000002</v>
      </c>
      <c r="B813" s="1">
        <f>DATE(2012,5,10) + TIME(15,15,5)</f>
        <v>41039.635474537034</v>
      </c>
      <c r="C813">
        <v>80</v>
      </c>
      <c r="D813">
        <v>79.327690125000004</v>
      </c>
      <c r="E813">
        <v>50</v>
      </c>
      <c r="F813">
        <v>48.197628021</v>
      </c>
      <c r="G813">
        <v>1376.4836425999999</v>
      </c>
      <c r="H813">
        <v>1361.0008545000001</v>
      </c>
      <c r="I813">
        <v>1324.3878173999999</v>
      </c>
      <c r="J813">
        <v>1321.2194824000001</v>
      </c>
      <c r="K813">
        <v>1200</v>
      </c>
      <c r="L813">
        <v>0</v>
      </c>
      <c r="M813">
        <v>0</v>
      </c>
      <c r="N813">
        <v>1200</v>
      </c>
    </row>
    <row r="814" spans="1:14" x14ac:dyDescent="0.25">
      <c r="A814">
        <v>741.04797399999995</v>
      </c>
      <c r="B814" s="1">
        <f>DATE(2012,5,11) + TIME(1,9,4)</f>
        <v>41040.047962962963</v>
      </c>
      <c r="C814">
        <v>80</v>
      </c>
      <c r="D814">
        <v>79.391052246000001</v>
      </c>
      <c r="E814">
        <v>50</v>
      </c>
      <c r="F814">
        <v>48.143352509000003</v>
      </c>
      <c r="G814">
        <v>1376.4024658000001</v>
      </c>
      <c r="H814">
        <v>1360.9410399999999</v>
      </c>
      <c r="I814">
        <v>1324.3818358999999</v>
      </c>
      <c r="J814">
        <v>1321.2111815999999</v>
      </c>
      <c r="K814">
        <v>1200</v>
      </c>
      <c r="L814">
        <v>0</v>
      </c>
      <c r="M814">
        <v>0</v>
      </c>
      <c r="N814">
        <v>1200</v>
      </c>
    </row>
    <row r="815" spans="1:14" x14ac:dyDescent="0.25">
      <c r="A815">
        <v>741.47849499999995</v>
      </c>
      <c r="B815" s="1">
        <f>DATE(2012,5,11) + TIME(11,29,1)</f>
        <v>41040.478483796294</v>
      </c>
      <c r="C815">
        <v>80</v>
      </c>
      <c r="D815">
        <v>79.446556091000005</v>
      </c>
      <c r="E815">
        <v>50</v>
      </c>
      <c r="F815">
        <v>48.087383269999997</v>
      </c>
      <c r="G815">
        <v>1376.3215332</v>
      </c>
      <c r="H815">
        <v>1360.8807373</v>
      </c>
      <c r="I815">
        <v>1324.3756103999999</v>
      </c>
      <c r="J815">
        <v>1321.2025146000001</v>
      </c>
      <c r="K815">
        <v>1200</v>
      </c>
      <c r="L815">
        <v>0</v>
      </c>
      <c r="M815">
        <v>0</v>
      </c>
      <c r="N815">
        <v>1200</v>
      </c>
    </row>
    <row r="816" spans="1:14" x14ac:dyDescent="0.25">
      <c r="A816">
        <v>741.92934300000002</v>
      </c>
      <c r="B816" s="1">
        <f>DATE(2012,5,11) + TIME(22,18,15)</f>
        <v>41040.929340277777</v>
      </c>
      <c r="C816">
        <v>80</v>
      </c>
      <c r="D816">
        <v>79.494987488000007</v>
      </c>
      <c r="E816">
        <v>50</v>
      </c>
      <c r="F816">
        <v>48.029487609999997</v>
      </c>
      <c r="G816">
        <v>1376.2408447</v>
      </c>
      <c r="H816">
        <v>1360.8200684000001</v>
      </c>
      <c r="I816">
        <v>1324.3691406</v>
      </c>
      <c r="J816">
        <v>1321.1934814000001</v>
      </c>
      <c r="K816">
        <v>1200</v>
      </c>
      <c r="L816">
        <v>0</v>
      </c>
      <c r="M816">
        <v>0</v>
      </c>
      <c r="N816">
        <v>1200</v>
      </c>
    </row>
    <row r="817" spans="1:14" x14ac:dyDescent="0.25">
      <c r="A817">
        <v>742.40319199999999</v>
      </c>
      <c r="B817" s="1">
        <f>DATE(2012,5,12) + TIME(9,40,35)</f>
        <v>41041.403182870374</v>
      </c>
      <c r="C817">
        <v>80</v>
      </c>
      <c r="D817">
        <v>79.537086486999996</v>
      </c>
      <c r="E817">
        <v>50</v>
      </c>
      <c r="F817">
        <v>47.969402313000003</v>
      </c>
      <c r="G817">
        <v>1376.1600341999999</v>
      </c>
      <c r="H817">
        <v>1360.7587891000001</v>
      </c>
      <c r="I817">
        <v>1324.3621826000001</v>
      </c>
      <c r="J817">
        <v>1321.1838379000001</v>
      </c>
      <c r="K817">
        <v>1200</v>
      </c>
      <c r="L817">
        <v>0</v>
      </c>
      <c r="M817">
        <v>0</v>
      </c>
      <c r="N817">
        <v>1200</v>
      </c>
    </row>
    <row r="818" spans="1:14" x14ac:dyDescent="0.25">
      <c r="A818">
        <v>742.89684499999998</v>
      </c>
      <c r="B818" s="1">
        <f>DATE(2012,5,12) + TIME(21,31,27)</f>
        <v>41041.896840277775</v>
      </c>
      <c r="C818">
        <v>80</v>
      </c>
      <c r="D818">
        <v>79.573135375999996</v>
      </c>
      <c r="E818">
        <v>50</v>
      </c>
      <c r="F818">
        <v>47.907497405999997</v>
      </c>
      <c r="G818">
        <v>1376.0788574000001</v>
      </c>
      <c r="H818">
        <v>1360.6966553</v>
      </c>
      <c r="I818">
        <v>1324.3548584</v>
      </c>
      <c r="J818">
        <v>1321.1737060999999</v>
      </c>
      <c r="K818">
        <v>1200</v>
      </c>
      <c r="L818">
        <v>0</v>
      </c>
      <c r="M818">
        <v>0</v>
      </c>
      <c r="N818">
        <v>1200</v>
      </c>
    </row>
    <row r="819" spans="1:14" x14ac:dyDescent="0.25">
      <c r="A819">
        <v>743.39163199999996</v>
      </c>
      <c r="B819" s="1">
        <f>DATE(2012,5,13) + TIME(9,23,57)</f>
        <v>41042.391631944447</v>
      </c>
      <c r="C819">
        <v>80</v>
      </c>
      <c r="D819">
        <v>79.602828978999995</v>
      </c>
      <c r="E819">
        <v>50</v>
      </c>
      <c r="F819">
        <v>47.845764160000002</v>
      </c>
      <c r="G819">
        <v>1375.9984131000001</v>
      </c>
      <c r="H819">
        <v>1360.6345214999999</v>
      </c>
      <c r="I819">
        <v>1324.347168</v>
      </c>
      <c r="J819">
        <v>1321.1629639</v>
      </c>
      <c r="K819">
        <v>1200</v>
      </c>
      <c r="L819">
        <v>0</v>
      </c>
      <c r="M819">
        <v>0</v>
      </c>
      <c r="N819">
        <v>1200</v>
      </c>
    </row>
    <row r="820" spans="1:14" x14ac:dyDescent="0.25">
      <c r="A820">
        <v>743.88928499999997</v>
      </c>
      <c r="B820" s="1">
        <f>DATE(2012,5,13) + TIME(21,20,34)</f>
        <v>41042.889282407406</v>
      </c>
      <c r="C820">
        <v>80</v>
      </c>
      <c r="D820">
        <v>79.627387999999996</v>
      </c>
      <c r="E820">
        <v>50</v>
      </c>
      <c r="F820">
        <v>47.784046173</v>
      </c>
      <c r="G820">
        <v>1375.9210204999999</v>
      </c>
      <c r="H820">
        <v>1360.5744629000001</v>
      </c>
      <c r="I820">
        <v>1324.3393555</v>
      </c>
      <c r="J820">
        <v>1321.1522216999999</v>
      </c>
      <c r="K820">
        <v>1200</v>
      </c>
      <c r="L820">
        <v>0</v>
      </c>
      <c r="M820">
        <v>0</v>
      </c>
      <c r="N820">
        <v>1200</v>
      </c>
    </row>
    <row r="821" spans="1:14" x14ac:dyDescent="0.25">
      <c r="A821">
        <v>744.39147000000003</v>
      </c>
      <c r="B821" s="1">
        <f>DATE(2012,5,14) + TIME(9,23,43)</f>
        <v>41043.391469907408</v>
      </c>
      <c r="C821">
        <v>80</v>
      </c>
      <c r="D821">
        <v>79.647743224999999</v>
      </c>
      <c r="E821">
        <v>50</v>
      </c>
      <c r="F821">
        <v>47.722183227999999</v>
      </c>
      <c r="G821">
        <v>1375.8460693</v>
      </c>
      <c r="H821">
        <v>1360.5162353999999</v>
      </c>
      <c r="I821">
        <v>1324.3314209</v>
      </c>
      <c r="J821">
        <v>1321.1413574000001</v>
      </c>
      <c r="K821">
        <v>1200</v>
      </c>
      <c r="L821">
        <v>0</v>
      </c>
      <c r="M821">
        <v>0</v>
      </c>
      <c r="N821">
        <v>1200</v>
      </c>
    </row>
    <row r="822" spans="1:14" x14ac:dyDescent="0.25">
      <c r="A822">
        <v>744.89979500000004</v>
      </c>
      <c r="B822" s="1">
        <f>DATE(2012,5,14) + TIME(21,35,42)</f>
        <v>41043.899791666663</v>
      </c>
      <c r="C822">
        <v>80</v>
      </c>
      <c r="D822">
        <v>79.664657593000001</v>
      </c>
      <c r="E822">
        <v>50</v>
      </c>
      <c r="F822">
        <v>47.660030364999997</v>
      </c>
      <c r="G822">
        <v>1375.7733154</v>
      </c>
      <c r="H822">
        <v>1360.4593506000001</v>
      </c>
      <c r="I822">
        <v>1324.3233643000001</v>
      </c>
      <c r="J822">
        <v>1321.130249</v>
      </c>
      <c r="K822">
        <v>1200</v>
      </c>
      <c r="L822">
        <v>0</v>
      </c>
      <c r="M822">
        <v>0</v>
      </c>
      <c r="N822">
        <v>1200</v>
      </c>
    </row>
    <row r="823" spans="1:14" x14ac:dyDescent="0.25">
      <c r="A823">
        <v>745.41585299999997</v>
      </c>
      <c r="B823" s="1">
        <f>DATE(2012,5,15) + TIME(9,58,49)</f>
        <v>41044.415844907409</v>
      </c>
      <c r="C823">
        <v>80</v>
      </c>
      <c r="D823">
        <v>79.678733825999998</v>
      </c>
      <c r="E823">
        <v>50</v>
      </c>
      <c r="F823">
        <v>47.597431182999998</v>
      </c>
      <c r="G823">
        <v>1375.7022704999999</v>
      </c>
      <c r="H823">
        <v>1360.4038086</v>
      </c>
      <c r="I823">
        <v>1324.3151855000001</v>
      </c>
      <c r="J823">
        <v>1321.1188964999999</v>
      </c>
      <c r="K823">
        <v>1200</v>
      </c>
      <c r="L823">
        <v>0</v>
      </c>
      <c r="M823">
        <v>0</v>
      </c>
      <c r="N823">
        <v>1200</v>
      </c>
    </row>
    <row r="824" spans="1:14" x14ac:dyDescent="0.25">
      <c r="A824">
        <v>745.941281</v>
      </c>
      <c r="B824" s="1">
        <f>DATE(2012,5,15) + TIME(22,35,26)</f>
        <v>41044.94127314815</v>
      </c>
      <c r="C824">
        <v>80</v>
      </c>
      <c r="D824">
        <v>79.690460204999994</v>
      </c>
      <c r="E824">
        <v>50</v>
      </c>
      <c r="F824">
        <v>47.534229279000002</v>
      </c>
      <c r="G824">
        <v>1375.6326904</v>
      </c>
      <c r="H824">
        <v>1360.3492432</v>
      </c>
      <c r="I824">
        <v>1324.3067627</v>
      </c>
      <c r="J824">
        <v>1321.1071777</v>
      </c>
      <c r="K824">
        <v>1200</v>
      </c>
      <c r="L824">
        <v>0</v>
      </c>
      <c r="M824">
        <v>0</v>
      </c>
      <c r="N824">
        <v>1200</v>
      </c>
    </row>
    <row r="825" spans="1:14" x14ac:dyDescent="0.25">
      <c r="A825">
        <v>746.47778300000004</v>
      </c>
      <c r="B825" s="1">
        <f>DATE(2012,5,16) + TIME(11,28,0)</f>
        <v>41045.477777777778</v>
      </c>
      <c r="C825">
        <v>80</v>
      </c>
      <c r="D825">
        <v>79.700225829999994</v>
      </c>
      <c r="E825">
        <v>50</v>
      </c>
      <c r="F825">
        <v>47.470264434999997</v>
      </c>
      <c r="G825">
        <v>1375.5643310999999</v>
      </c>
      <c r="H825">
        <v>1360.2955322</v>
      </c>
      <c r="I825">
        <v>1324.2982178</v>
      </c>
      <c r="J825">
        <v>1321.0953368999999</v>
      </c>
      <c r="K825">
        <v>1200</v>
      </c>
      <c r="L825">
        <v>0</v>
      </c>
      <c r="M825">
        <v>0</v>
      </c>
      <c r="N825">
        <v>1200</v>
      </c>
    </row>
    <row r="826" spans="1:14" x14ac:dyDescent="0.25">
      <c r="A826">
        <v>747.02716799999996</v>
      </c>
      <c r="B826" s="1">
        <f>DATE(2012,5,17) + TIME(0,39,7)</f>
        <v>41046.02716435185</v>
      </c>
      <c r="C826">
        <v>80</v>
      </c>
      <c r="D826">
        <v>79.708374023000005</v>
      </c>
      <c r="E826">
        <v>50</v>
      </c>
      <c r="F826">
        <v>47.405368805000002</v>
      </c>
      <c r="G826">
        <v>1375.4968262</v>
      </c>
      <c r="H826">
        <v>1360.2425536999999</v>
      </c>
      <c r="I826">
        <v>1324.2893065999999</v>
      </c>
      <c r="J826">
        <v>1321.0831298999999</v>
      </c>
      <c r="K826">
        <v>1200</v>
      </c>
      <c r="L826">
        <v>0</v>
      </c>
      <c r="M826">
        <v>0</v>
      </c>
      <c r="N826">
        <v>1200</v>
      </c>
    </row>
    <row r="827" spans="1:14" x14ac:dyDescent="0.25">
      <c r="A827">
        <v>747.59148700000003</v>
      </c>
      <c r="B827" s="1">
        <f>DATE(2012,5,17) + TIME(14,11,44)</f>
        <v>41046.591481481482</v>
      </c>
      <c r="C827">
        <v>80</v>
      </c>
      <c r="D827">
        <v>79.715171814000001</v>
      </c>
      <c r="E827">
        <v>50</v>
      </c>
      <c r="F827">
        <v>47.339351653999998</v>
      </c>
      <c r="G827">
        <v>1375.4299315999999</v>
      </c>
      <c r="H827">
        <v>1360.1900635</v>
      </c>
      <c r="I827">
        <v>1324.2802733999999</v>
      </c>
      <c r="J827">
        <v>1321.0704346</v>
      </c>
      <c r="K827">
        <v>1200</v>
      </c>
      <c r="L827">
        <v>0</v>
      </c>
      <c r="M827">
        <v>0</v>
      </c>
      <c r="N827">
        <v>1200</v>
      </c>
    </row>
    <row r="828" spans="1:14" x14ac:dyDescent="0.25">
      <c r="A828">
        <v>748.17310299999997</v>
      </c>
      <c r="B828" s="1">
        <f>DATE(2012,5,18) + TIME(4,9,16)</f>
        <v>41047.173101851855</v>
      </c>
      <c r="C828">
        <v>80</v>
      </c>
      <c r="D828">
        <v>79.720832825000002</v>
      </c>
      <c r="E828">
        <v>50</v>
      </c>
      <c r="F828">
        <v>47.271995543999999</v>
      </c>
      <c r="G828">
        <v>1375.3635254000001</v>
      </c>
      <c r="H828">
        <v>1360.1378173999999</v>
      </c>
      <c r="I828">
        <v>1324.270874</v>
      </c>
      <c r="J828">
        <v>1321.0574951000001</v>
      </c>
      <c r="K828">
        <v>1200</v>
      </c>
      <c r="L828">
        <v>0</v>
      </c>
      <c r="M828">
        <v>0</v>
      </c>
      <c r="N828">
        <v>1200</v>
      </c>
    </row>
    <row r="829" spans="1:14" x14ac:dyDescent="0.25">
      <c r="A829">
        <v>748.77413899999999</v>
      </c>
      <c r="B829" s="1">
        <f>DATE(2012,5,18) + TIME(18,34,45)</f>
        <v>41047.774131944447</v>
      </c>
      <c r="C829">
        <v>80</v>
      </c>
      <c r="D829">
        <v>79.725555420000006</v>
      </c>
      <c r="E829">
        <v>50</v>
      </c>
      <c r="F829">
        <v>47.203117370999998</v>
      </c>
      <c r="G829">
        <v>1375.2972411999999</v>
      </c>
      <c r="H829">
        <v>1360.0856934000001</v>
      </c>
      <c r="I829">
        <v>1324.2611084</v>
      </c>
      <c r="J829">
        <v>1321.0439452999999</v>
      </c>
      <c r="K829">
        <v>1200</v>
      </c>
      <c r="L829">
        <v>0</v>
      </c>
      <c r="M829">
        <v>0</v>
      </c>
      <c r="N829">
        <v>1200</v>
      </c>
    </row>
    <row r="830" spans="1:14" x14ac:dyDescent="0.25">
      <c r="A830">
        <v>749.39365099999998</v>
      </c>
      <c r="B830" s="1">
        <f>DATE(2012,5,19) + TIME(9,26,51)</f>
        <v>41048.393645833334</v>
      </c>
      <c r="C830">
        <v>80</v>
      </c>
      <c r="D830">
        <v>79.729469299000002</v>
      </c>
      <c r="E830">
        <v>50</v>
      </c>
      <c r="F830">
        <v>47.132808685000001</v>
      </c>
      <c r="G830">
        <v>1375.230957</v>
      </c>
      <c r="H830">
        <v>1360.0335693</v>
      </c>
      <c r="I830">
        <v>1324.2510986</v>
      </c>
      <c r="J830">
        <v>1321.0299072</v>
      </c>
      <c r="K830">
        <v>1200</v>
      </c>
      <c r="L830">
        <v>0</v>
      </c>
      <c r="M830">
        <v>0</v>
      </c>
      <c r="N830">
        <v>1200</v>
      </c>
    </row>
    <row r="831" spans="1:14" x14ac:dyDescent="0.25">
      <c r="A831">
        <v>750.03397199999995</v>
      </c>
      <c r="B831" s="1">
        <f>DATE(2012,5,20) + TIME(0,48,55)</f>
        <v>41049.03396990741</v>
      </c>
      <c r="C831">
        <v>80</v>
      </c>
      <c r="D831">
        <v>79.732704162999994</v>
      </c>
      <c r="E831">
        <v>50</v>
      </c>
      <c r="F831">
        <v>47.060882567999997</v>
      </c>
      <c r="G831">
        <v>1375.1647949000001</v>
      </c>
      <c r="H831">
        <v>1359.9815673999999</v>
      </c>
      <c r="I831">
        <v>1324.2406006000001</v>
      </c>
      <c r="J831">
        <v>1321.0152588000001</v>
      </c>
      <c r="K831">
        <v>1200</v>
      </c>
      <c r="L831">
        <v>0</v>
      </c>
      <c r="M831">
        <v>0</v>
      </c>
      <c r="N831">
        <v>1200</v>
      </c>
    </row>
    <row r="832" spans="1:14" x14ac:dyDescent="0.25">
      <c r="A832">
        <v>750.69815100000005</v>
      </c>
      <c r="B832" s="1">
        <f>DATE(2012,5,20) + TIME(16,45,20)</f>
        <v>41049.698148148149</v>
      </c>
      <c r="C832">
        <v>80</v>
      </c>
      <c r="D832">
        <v>79.735397339000002</v>
      </c>
      <c r="E832">
        <v>50</v>
      </c>
      <c r="F832">
        <v>46.987071991000001</v>
      </c>
      <c r="G832">
        <v>1375.0985106999999</v>
      </c>
      <c r="H832">
        <v>1359.9295654</v>
      </c>
      <c r="I832">
        <v>1324.2297363</v>
      </c>
      <c r="J832">
        <v>1321.0001221</v>
      </c>
      <c r="K832">
        <v>1200</v>
      </c>
      <c r="L832">
        <v>0</v>
      </c>
      <c r="M832">
        <v>0</v>
      </c>
      <c r="N832">
        <v>1200</v>
      </c>
    </row>
    <row r="833" spans="1:14" x14ac:dyDescent="0.25">
      <c r="A833">
        <v>751.38915899999995</v>
      </c>
      <c r="B833" s="1">
        <f>DATE(2012,5,21) + TIME(9,20,23)</f>
        <v>41050.389155092591</v>
      </c>
      <c r="C833">
        <v>80</v>
      </c>
      <c r="D833">
        <v>79.737617493000002</v>
      </c>
      <c r="E833">
        <v>50</v>
      </c>
      <c r="F833">
        <v>46.911132811999998</v>
      </c>
      <c r="G833">
        <v>1375.0319824000001</v>
      </c>
      <c r="H833">
        <v>1359.8773193</v>
      </c>
      <c r="I833">
        <v>1324.2183838000001</v>
      </c>
      <c r="J833">
        <v>1320.984375</v>
      </c>
      <c r="K833">
        <v>1200</v>
      </c>
      <c r="L833">
        <v>0</v>
      </c>
      <c r="M833">
        <v>0</v>
      </c>
      <c r="N833">
        <v>1200</v>
      </c>
    </row>
    <row r="834" spans="1:14" x14ac:dyDescent="0.25">
      <c r="A834">
        <v>752.11080000000004</v>
      </c>
      <c r="B834" s="1">
        <f>DATE(2012,5,22) + TIME(2,39,33)</f>
        <v>41051.110798611109</v>
      </c>
      <c r="C834">
        <v>80</v>
      </c>
      <c r="D834">
        <v>79.739471436000002</v>
      </c>
      <c r="E834">
        <v>50</v>
      </c>
      <c r="F834">
        <v>46.832759856999999</v>
      </c>
      <c r="G834">
        <v>1374.9648437999999</v>
      </c>
      <c r="H834">
        <v>1359.824707</v>
      </c>
      <c r="I834">
        <v>1324.206543</v>
      </c>
      <c r="J834">
        <v>1320.9677733999999</v>
      </c>
      <c r="K834">
        <v>1200</v>
      </c>
      <c r="L834">
        <v>0</v>
      </c>
      <c r="M834">
        <v>0</v>
      </c>
      <c r="N834">
        <v>1200</v>
      </c>
    </row>
    <row r="835" spans="1:14" x14ac:dyDescent="0.25">
      <c r="A835">
        <v>752.85228199999995</v>
      </c>
      <c r="B835" s="1">
        <f>DATE(2012,5,22) + TIME(20,27,17)</f>
        <v>41051.852280092593</v>
      </c>
      <c r="C835">
        <v>80</v>
      </c>
      <c r="D835">
        <v>79.740982056000007</v>
      </c>
      <c r="E835">
        <v>50</v>
      </c>
      <c r="F835">
        <v>46.752876282000003</v>
      </c>
      <c r="G835">
        <v>1374.8969727000001</v>
      </c>
      <c r="H835">
        <v>1359.7716064000001</v>
      </c>
      <c r="I835">
        <v>1324.1940918</v>
      </c>
      <c r="J835">
        <v>1320.9504394999999</v>
      </c>
      <c r="K835">
        <v>1200</v>
      </c>
      <c r="L835">
        <v>0</v>
      </c>
      <c r="M835">
        <v>0</v>
      </c>
      <c r="N835">
        <v>1200</v>
      </c>
    </row>
    <row r="836" spans="1:14" x14ac:dyDescent="0.25">
      <c r="A836">
        <v>753.59600499999999</v>
      </c>
      <c r="B836" s="1">
        <f>DATE(2012,5,23) + TIME(14,18,14)</f>
        <v>41052.595995370371</v>
      </c>
      <c r="C836">
        <v>80</v>
      </c>
      <c r="D836">
        <v>79.742195128999995</v>
      </c>
      <c r="E836">
        <v>50</v>
      </c>
      <c r="F836">
        <v>46.673019408999998</v>
      </c>
      <c r="G836">
        <v>1374.8293457</v>
      </c>
      <c r="H836">
        <v>1359.71875</v>
      </c>
      <c r="I836">
        <v>1324.1811522999999</v>
      </c>
      <c r="J836">
        <v>1320.9324951000001</v>
      </c>
      <c r="K836">
        <v>1200</v>
      </c>
      <c r="L836">
        <v>0</v>
      </c>
      <c r="M836">
        <v>0</v>
      </c>
      <c r="N836">
        <v>1200</v>
      </c>
    </row>
    <row r="837" spans="1:14" x14ac:dyDescent="0.25">
      <c r="A837">
        <v>754.34455000000003</v>
      </c>
      <c r="B837" s="1">
        <f>DATE(2012,5,24) + TIME(8,16,9)</f>
        <v>41053.344548611109</v>
      </c>
      <c r="C837">
        <v>80</v>
      </c>
      <c r="D837">
        <v>79.743171692000004</v>
      </c>
      <c r="E837">
        <v>50</v>
      </c>
      <c r="F837">
        <v>46.593059539999999</v>
      </c>
      <c r="G837">
        <v>1374.7636719</v>
      </c>
      <c r="H837">
        <v>1359.6673584</v>
      </c>
      <c r="I837">
        <v>1324.1682129000001</v>
      </c>
      <c r="J837">
        <v>1320.9144286999999</v>
      </c>
      <c r="K837">
        <v>1200</v>
      </c>
      <c r="L837">
        <v>0</v>
      </c>
      <c r="M837">
        <v>0</v>
      </c>
      <c r="N837">
        <v>1200</v>
      </c>
    </row>
    <row r="838" spans="1:14" x14ac:dyDescent="0.25">
      <c r="A838">
        <v>755.10041899999999</v>
      </c>
      <c r="B838" s="1">
        <f>DATE(2012,5,25) + TIME(2,24,36)</f>
        <v>41054.100416666668</v>
      </c>
      <c r="C838">
        <v>80</v>
      </c>
      <c r="D838">
        <v>79.743980407999999</v>
      </c>
      <c r="E838">
        <v>50</v>
      </c>
      <c r="F838">
        <v>46.512844086000001</v>
      </c>
      <c r="G838">
        <v>1374.6994629000001</v>
      </c>
      <c r="H838">
        <v>1359.6173096</v>
      </c>
      <c r="I838">
        <v>1324.1550293</v>
      </c>
      <c r="J838">
        <v>1320.8961182</v>
      </c>
      <c r="K838">
        <v>1200</v>
      </c>
      <c r="L838">
        <v>0</v>
      </c>
      <c r="M838">
        <v>0</v>
      </c>
      <c r="N838">
        <v>1200</v>
      </c>
    </row>
    <row r="839" spans="1:14" x14ac:dyDescent="0.25">
      <c r="A839">
        <v>755.86607500000002</v>
      </c>
      <c r="B839" s="1">
        <f>DATE(2012,5,25) + TIME(20,47,8)</f>
        <v>41054.866064814814</v>
      </c>
      <c r="C839">
        <v>80</v>
      </c>
      <c r="D839">
        <v>79.744651794000006</v>
      </c>
      <c r="E839">
        <v>50</v>
      </c>
      <c r="F839">
        <v>46.432212829999997</v>
      </c>
      <c r="G839">
        <v>1374.6364745999999</v>
      </c>
      <c r="H839">
        <v>1359.5681152</v>
      </c>
      <c r="I839">
        <v>1324.1416016000001</v>
      </c>
      <c r="J839">
        <v>1320.8774414</v>
      </c>
      <c r="K839">
        <v>1200</v>
      </c>
      <c r="L839">
        <v>0</v>
      </c>
      <c r="M839">
        <v>0</v>
      </c>
      <c r="N839">
        <v>1200</v>
      </c>
    </row>
    <row r="840" spans="1:14" x14ac:dyDescent="0.25">
      <c r="A840">
        <v>756.64401099999998</v>
      </c>
      <c r="B840" s="1">
        <f>DATE(2012,5,26) + TIME(15,27,22)</f>
        <v>41055.644004629627</v>
      </c>
      <c r="C840">
        <v>80</v>
      </c>
      <c r="D840">
        <v>79.745223999000004</v>
      </c>
      <c r="E840">
        <v>50</v>
      </c>
      <c r="F840">
        <v>46.350994110000002</v>
      </c>
      <c r="G840">
        <v>1374.5745850000001</v>
      </c>
      <c r="H840">
        <v>1359.5198975000001</v>
      </c>
      <c r="I840">
        <v>1324.1280518000001</v>
      </c>
      <c r="J840">
        <v>1320.8583983999999</v>
      </c>
      <c r="K840">
        <v>1200</v>
      </c>
      <c r="L840">
        <v>0</v>
      </c>
      <c r="M840">
        <v>0</v>
      </c>
      <c r="N840">
        <v>1200</v>
      </c>
    </row>
    <row r="841" spans="1:14" x14ac:dyDescent="0.25">
      <c r="A841">
        <v>757.43682000000001</v>
      </c>
      <c r="B841" s="1">
        <f>DATE(2012,5,27) + TIME(10,29,1)</f>
        <v>41056.43681712963</v>
      </c>
      <c r="C841">
        <v>80</v>
      </c>
      <c r="D841">
        <v>79.745704650999997</v>
      </c>
      <c r="E841">
        <v>50</v>
      </c>
      <c r="F841">
        <v>46.268989562999998</v>
      </c>
      <c r="G841">
        <v>1374.5133057</v>
      </c>
      <c r="H841">
        <v>1359.4722899999999</v>
      </c>
      <c r="I841">
        <v>1324.1141356999999</v>
      </c>
      <c r="J841">
        <v>1320.8389893000001</v>
      </c>
      <c r="K841">
        <v>1200</v>
      </c>
      <c r="L841">
        <v>0</v>
      </c>
      <c r="M841">
        <v>0</v>
      </c>
      <c r="N841">
        <v>1200</v>
      </c>
    </row>
    <row r="842" spans="1:14" x14ac:dyDescent="0.25">
      <c r="A842">
        <v>758.24723400000005</v>
      </c>
      <c r="B842" s="1">
        <f>DATE(2012,5,28) + TIME(5,56,0)</f>
        <v>41057.24722222222</v>
      </c>
      <c r="C842">
        <v>80</v>
      </c>
      <c r="D842">
        <v>79.746131896999998</v>
      </c>
      <c r="E842">
        <v>50</v>
      </c>
      <c r="F842">
        <v>46.185993195000002</v>
      </c>
      <c r="G842">
        <v>1374.4526367000001</v>
      </c>
      <c r="H842">
        <v>1359.4251709</v>
      </c>
      <c r="I842">
        <v>1324.0999756000001</v>
      </c>
      <c r="J842">
        <v>1320.8190918</v>
      </c>
      <c r="K842">
        <v>1200</v>
      </c>
      <c r="L842">
        <v>0</v>
      </c>
      <c r="M842">
        <v>0</v>
      </c>
      <c r="N842">
        <v>1200</v>
      </c>
    </row>
    <row r="843" spans="1:14" x14ac:dyDescent="0.25">
      <c r="A843">
        <v>759.07820700000002</v>
      </c>
      <c r="B843" s="1">
        <f>DATE(2012,5,29) + TIME(1,52,37)</f>
        <v>41058.078206018516</v>
      </c>
      <c r="C843">
        <v>80</v>
      </c>
      <c r="D843">
        <v>79.746505737000007</v>
      </c>
      <c r="E843">
        <v>50</v>
      </c>
      <c r="F843">
        <v>46.101783752000003</v>
      </c>
      <c r="G843">
        <v>1374.3923339999999</v>
      </c>
      <c r="H843">
        <v>1359.3782959</v>
      </c>
      <c r="I843">
        <v>1324.0854492000001</v>
      </c>
      <c r="J843">
        <v>1320.7985839999999</v>
      </c>
      <c r="K843">
        <v>1200</v>
      </c>
      <c r="L843">
        <v>0</v>
      </c>
      <c r="M843">
        <v>0</v>
      </c>
      <c r="N843">
        <v>1200</v>
      </c>
    </row>
    <row r="844" spans="1:14" x14ac:dyDescent="0.25">
      <c r="A844">
        <v>759.93349799999999</v>
      </c>
      <c r="B844" s="1">
        <f>DATE(2012,5,29) + TIME(22,24,14)</f>
        <v>41058.933495370373</v>
      </c>
      <c r="C844">
        <v>80</v>
      </c>
      <c r="D844">
        <v>79.746841431000007</v>
      </c>
      <c r="E844">
        <v>50</v>
      </c>
      <c r="F844">
        <v>46.016071320000002</v>
      </c>
      <c r="G844">
        <v>1374.3321533000001</v>
      </c>
      <c r="H844">
        <v>1359.331543</v>
      </c>
      <c r="I844">
        <v>1324.0704346</v>
      </c>
      <c r="J844">
        <v>1320.7775879000001</v>
      </c>
      <c r="K844">
        <v>1200</v>
      </c>
      <c r="L844">
        <v>0</v>
      </c>
      <c r="M844">
        <v>0</v>
      </c>
      <c r="N844">
        <v>1200</v>
      </c>
    </row>
    <row r="845" spans="1:14" x14ac:dyDescent="0.25">
      <c r="A845">
        <v>760.81617200000005</v>
      </c>
      <c r="B845" s="1">
        <f>DATE(2012,5,30) + TIME(19,35,17)</f>
        <v>41059.816168981481</v>
      </c>
      <c r="C845">
        <v>80</v>
      </c>
      <c r="D845">
        <v>79.747146606000001</v>
      </c>
      <c r="E845">
        <v>50</v>
      </c>
      <c r="F845">
        <v>45.928627014</v>
      </c>
      <c r="G845">
        <v>1374.2717285000001</v>
      </c>
      <c r="H845">
        <v>1359.2847899999999</v>
      </c>
      <c r="I845">
        <v>1324.0550536999999</v>
      </c>
      <c r="J845">
        <v>1320.7558594</v>
      </c>
      <c r="K845">
        <v>1200</v>
      </c>
      <c r="L845">
        <v>0</v>
      </c>
      <c r="M845">
        <v>0</v>
      </c>
      <c r="N845">
        <v>1200</v>
      </c>
    </row>
    <row r="846" spans="1:14" x14ac:dyDescent="0.25">
      <c r="A846">
        <v>761.73026400000003</v>
      </c>
      <c r="B846" s="1">
        <f>DATE(2012,5,31) + TIME(17,31,34)</f>
        <v>41060.730254629627</v>
      </c>
      <c r="C846">
        <v>80</v>
      </c>
      <c r="D846">
        <v>79.747444153000004</v>
      </c>
      <c r="E846">
        <v>50</v>
      </c>
      <c r="F846">
        <v>45.839149474999999</v>
      </c>
      <c r="G846">
        <v>1374.2111815999999</v>
      </c>
      <c r="H846">
        <v>1359.237793</v>
      </c>
      <c r="I846">
        <v>1324.0390625</v>
      </c>
      <c r="J846">
        <v>1320.7333983999999</v>
      </c>
      <c r="K846">
        <v>1200</v>
      </c>
      <c r="L846">
        <v>0</v>
      </c>
      <c r="M846">
        <v>0</v>
      </c>
      <c r="N846">
        <v>1200</v>
      </c>
    </row>
    <row r="847" spans="1:14" x14ac:dyDescent="0.25">
      <c r="A847">
        <v>762</v>
      </c>
      <c r="B847" s="1">
        <f>DATE(2012,6,1) + TIME(0,0,0)</f>
        <v>41061</v>
      </c>
      <c r="C847">
        <v>80</v>
      </c>
      <c r="D847">
        <v>79.747497558999996</v>
      </c>
      <c r="E847">
        <v>50</v>
      </c>
      <c r="F847">
        <v>45.807300568000002</v>
      </c>
      <c r="G847">
        <v>1374.1499022999999</v>
      </c>
      <c r="H847">
        <v>1359.1903076000001</v>
      </c>
      <c r="I847">
        <v>1324.0223389</v>
      </c>
      <c r="J847">
        <v>1320.7130127</v>
      </c>
      <c r="K847">
        <v>1200</v>
      </c>
      <c r="L847">
        <v>0</v>
      </c>
      <c r="M847">
        <v>0</v>
      </c>
      <c r="N847">
        <v>1200</v>
      </c>
    </row>
    <row r="848" spans="1:14" x14ac:dyDescent="0.25">
      <c r="A848">
        <v>762.95008900000005</v>
      </c>
      <c r="B848" s="1">
        <f>DATE(2012,6,1) + TIME(22,48,7)</f>
        <v>41061.95008101852</v>
      </c>
      <c r="C848">
        <v>80</v>
      </c>
      <c r="D848">
        <v>79.747779846</v>
      </c>
      <c r="E848">
        <v>50</v>
      </c>
      <c r="F848">
        <v>45.716960907000001</v>
      </c>
      <c r="G848">
        <v>1374.1322021000001</v>
      </c>
      <c r="H848">
        <v>1359.1766356999999</v>
      </c>
      <c r="I848">
        <v>1324.0172118999999</v>
      </c>
      <c r="J848">
        <v>1320.7022704999999</v>
      </c>
      <c r="K848">
        <v>1200</v>
      </c>
      <c r="L848">
        <v>0</v>
      </c>
      <c r="M848">
        <v>0</v>
      </c>
      <c r="N848">
        <v>1200</v>
      </c>
    </row>
    <row r="849" spans="1:14" x14ac:dyDescent="0.25">
      <c r="A849">
        <v>763.93906400000003</v>
      </c>
      <c r="B849" s="1">
        <f>DATE(2012,6,2) + TIME(22,32,15)</f>
        <v>41062.939062500001</v>
      </c>
      <c r="C849">
        <v>80</v>
      </c>
      <c r="D849">
        <v>79.748054503999995</v>
      </c>
      <c r="E849">
        <v>50</v>
      </c>
      <c r="F849">
        <v>45.623760222999998</v>
      </c>
      <c r="G849">
        <v>1374.0710449000001</v>
      </c>
      <c r="H849">
        <v>1359.1293945</v>
      </c>
      <c r="I849">
        <v>1324.0001221</v>
      </c>
      <c r="J849">
        <v>1320.6782227000001</v>
      </c>
      <c r="K849">
        <v>1200</v>
      </c>
      <c r="L849">
        <v>0</v>
      </c>
      <c r="M849">
        <v>0</v>
      </c>
      <c r="N849">
        <v>1200</v>
      </c>
    </row>
    <row r="850" spans="1:14" x14ac:dyDescent="0.25">
      <c r="A850">
        <v>764.92899899999998</v>
      </c>
      <c r="B850" s="1">
        <f>DATE(2012,6,3) + TIME(22,17,45)</f>
        <v>41063.928993055553</v>
      </c>
      <c r="C850">
        <v>80</v>
      </c>
      <c r="D850">
        <v>79.748306274000001</v>
      </c>
      <c r="E850">
        <v>50</v>
      </c>
      <c r="F850">
        <v>45.530376433999997</v>
      </c>
      <c r="G850">
        <v>1374.0087891000001</v>
      </c>
      <c r="H850">
        <v>1359.0812988</v>
      </c>
      <c r="I850">
        <v>1323.9821777</v>
      </c>
      <c r="J850">
        <v>1320.6529541</v>
      </c>
      <c r="K850">
        <v>1200</v>
      </c>
      <c r="L850">
        <v>0</v>
      </c>
      <c r="M850">
        <v>0</v>
      </c>
      <c r="N850">
        <v>1200</v>
      </c>
    </row>
    <row r="851" spans="1:14" x14ac:dyDescent="0.25">
      <c r="A851">
        <v>765.923316</v>
      </c>
      <c r="B851" s="1">
        <f>DATE(2012,6,4) + TIME(22,9,34)</f>
        <v>41064.923310185186</v>
      </c>
      <c r="C851">
        <v>80</v>
      </c>
      <c r="D851">
        <v>79.748550414999997</v>
      </c>
      <c r="E851">
        <v>50</v>
      </c>
      <c r="F851">
        <v>45.436832428000002</v>
      </c>
      <c r="G851">
        <v>1373.9481201000001</v>
      </c>
      <c r="H851">
        <v>1359.0344238</v>
      </c>
      <c r="I851">
        <v>1323.9641113</v>
      </c>
      <c r="J851">
        <v>1320.6275635</v>
      </c>
      <c r="K851">
        <v>1200</v>
      </c>
      <c r="L851">
        <v>0</v>
      </c>
      <c r="M851">
        <v>0</v>
      </c>
      <c r="N851">
        <v>1200</v>
      </c>
    </row>
    <row r="852" spans="1:14" x14ac:dyDescent="0.25">
      <c r="A852">
        <v>766.92542500000002</v>
      </c>
      <c r="B852" s="1">
        <f>DATE(2012,6,5) + TIME(22,12,36)</f>
        <v>41065.925416666665</v>
      </c>
      <c r="C852">
        <v>80</v>
      </c>
      <c r="D852">
        <v>79.748786925999994</v>
      </c>
      <c r="E852">
        <v>50</v>
      </c>
      <c r="F852">
        <v>45.343063354000002</v>
      </c>
      <c r="G852">
        <v>1373.8887939000001</v>
      </c>
      <c r="H852">
        <v>1358.9886475000001</v>
      </c>
      <c r="I852">
        <v>1323.9458007999999</v>
      </c>
      <c r="J852">
        <v>1320.6018065999999</v>
      </c>
      <c r="K852">
        <v>1200</v>
      </c>
      <c r="L852">
        <v>0</v>
      </c>
      <c r="M852">
        <v>0</v>
      </c>
      <c r="N852">
        <v>1200</v>
      </c>
    </row>
    <row r="853" spans="1:14" x14ac:dyDescent="0.25">
      <c r="A853">
        <v>767.93867599999999</v>
      </c>
      <c r="B853" s="1">
        <f>DATE(2012,6,6) + TIME(22,31,41)</f>
        <v>41066.938668981478</v>
      </c>
      <c r="C853">
        <v>80</v>
      </c>
      <c r="D853">
        <v>79.749023437999995</v>
      </c>
      <c r="E853">
        <v>50</v>
      </c>
      <c r="F853">
        <v>45.248954773000001</v>
      </c>
      <c r="G853">
        <v>1373.8304443</v>
      </c>
      <c r="H853">
        <v>1358.9436035000001</v>
      </c>
      <c r="I853">
        <v>1323.9274902</v>
      </c>
      <c r="J853">
        <v>1320.5758057</v>
      </c>
      <c r="K853">
        <v>1200</v>
      </c>
      <c r="L853">
        <v>0</v>
      </c>
      <c r="M853">
        <v>0</v>
      </c>
      <c r="N853">
        <v>1200</v>
      </c>
    </row>
    <row r="854" spans="1:14" x14ac:dyDescent="0.25">
      <c r="A854">
        <v>768.96644600000002</v>
      </c>
      <c r="B854" s="1">
        <f>DATE(2012,6,7) + TIME(23,11,40)</f>
        <v>41067.966435185182</v>
      </c>
      <c r="C854">
        <v>80</v>
      </c>
      <c r="D854">
        <v>79.749259949000006</v>
      </c>
      <c r="E854">
        <v>50</v>
      </c>
      <c r="F854">
        <v>45.154338836999997</v>
      </c>
      <c r="G854">
        <v>1373.7729492000001</v>
      </c>
      <c r="H854">
        <v>1358.8992920000001</v>
      </c>
      <c r="I854">
        <v>1323.9088135</v>
      </c>
      <c r="J854">
        <v>1320.5493164</v>
      </c>
      <c r="K854">
        <v>1200</v>
      </c>
      <c r="L854">
        <v>0</v>
      </c>
      <c r="M854">
        <v>0</v>
      </c>
      <c r="N854">
        <v>1200</v>
      </c>
    </row>
    <row r="855" spans="1:14" x14ac:dyDescent="0.25">
      <c r="A855">
        <v>770.01220899999998</v>
      </c>
      <c r="B855" s="1">
        <f>DATE(2012,6,9) + TIME(0,17,34)</f>
        <v>41069.012199074074</v>
      </c>
      <c r="C855">
        <v>80</v>
      </c>
      <c r="D855">
        <v>79.749496460000003</v>
      </c>
      <c r="E855">
        <v>50</v>
      </c>
      <c r="F855">
        <v>45.059028625000003</v>
      </c>
      <c r="G855">
        <v>1373.7160644999999</v>
      </c>
      <c r="H855">
        <v>1358.8553466999999</v>
      </c>
      <c r="I855">
        <v>1323.8898925999999</v>
      </c>
      <c r="J855">
        <v>1320.5224608999999</v>
      </c>
      <c r="K855">
        <v>1200</v>
      </c>
      <c r="L855">
        <v>0</v>
      </c>
      <c r="M855">
        <v>0</v>
      </c>
      <c r="N855">
        <v>1200</v>
      </c>
    </row>
    <row r="856" spans="1:14" x14ac:dyDescent="0.25">
      <c r="A856">
        <v>771.07961699999998</v>
      </c>
      <c r="B856" s="1">
        <f>DATE(2012,6,10) + TIME(1,54,38)</f>
        <v>41070.079606481479</v>
      </c>
      <c r="C856">
        <v>80</v>
      </c>
      <c r="D856">
        <v>79.749732971</v>
      </c>
      <c r="E856">
        <v>50</v>
      </c>
      <c r="F856">
        <v>44.962806702000002</v>
      </c>
      <c r="G856">
        <v>1373.6595459</v>
      </c>
      <c r="H856">
        <v>1358.8117675999999</v>
      </c>
      <c r="I856">
        <v>1323.8706055</v>
      </c>
      <c r="J856">
        <v>1320.4949951000001</v>
      </c>
      <c r="K856">
        <v>1200</v>
      </c>
      <c r="L856">
        <v>0</v>
      </c>
      <c r="M856">
        <v>0</v>
      </c>
      <c r="N856">
        <v>1200</v>
      </c>
    </row>
    <row r="857" spans="1:14" x14ac:dyDescent="0.25">
      <c r="A857">
        <v>772.17254700000001</v>
      </c>
      <c r="B857" s="1">
        <f>DATE(2012,6,11) + TIME(4,8,28)</f>
        <v>41071.172546296293</v>
      </c>
      <c r="C857">
        <v>80</v>
      </c>
      <c r="D857">
        <v>79.749984741000006</v>
      </c>
      <c r="E857">
        <v>50</v>
      </c>
      <c r="F857">
        <v>44.865428925000003</v>
      </c>
      <c r="G857">
        <v>1373.6032714999999</v>
      </c>
      <c r="H857">
        <v>1358.7684326000001</v>
      </c>
      <c r="I857">
        <v>1323.8509521000001</v>
      </c>
      <c r="J857">
        <v>1320.4670410000001</v>
      </c>
      <c r="K857">
        <v>1200</v>
      </c>
      <c r="L857">
        <v>0</v>
      </c>
      <c r="M857">
        <v>0</v>
      </c>
      <c r="N857">
        <v>1200</v>
      </c>
    </row>
    <row r="858" spans="1:14" x14ac:dyDescent="0.25">
      <c r="A858">
        <v>773.29591200000004</v>
      </c>
      <c r="B858" s="1">
        <f>DATE(2012,6,12) + TIME(7,6,6)</f>
        <v>41072.295902777776</v>
      </c>
      <c r="C858">
        <v>80</v>
      </c>
      <c r="D858">
        <v>79.750236510999997</v>
      </c>
      <c r="E858">
        <v>50</v>
      </c>
      <c r="F858">
        <v>44.766593933000003</v>
      </c>
      <c r="G858">
        <v>1373.546875</v>
      </c>
      <c r="H858">
        <v>1358.7249756000001</v>
      </c>
      <c r="I858">
        <v>1323.8309326000001</v>
      </c>
      <c r="J858">
        <v>1320.4382324000001</v>
      </c>
      <c r="K858">
        <v>1200</v>
      </c>
      <c r="L858">
        <v>0</v>
      </c>
      <c r="M858">
        <v>0</v>
      </c>
      <c r="N858">
        <v>1200</v>
      </c>
    </row>
    <row r="859" spans="1:14" x14ac:dyDescent="0.25">
      <c r="A859">
        <v>774.45401400000003</v>
      </c>
      <c r="B859" s="1">
        <f>DATE(2012,6,13) + TIME(10,53,46)</f>
        <v>41073.454004629632</v>
      </c>
      <c r="C859">
        <v>80</v>
      </c>
      <c r="D859">
        <v>79.750503539999997</v>
      </c>
      <c r="E859">
        <v>50</v>
      </c>
      <c r="F859">
        <v>44.666027069000002</v>
      </c>
      <c r="G859">
        <v>1373.4903564000001</v>
      </c>
      <c r="H859">
        <v>1358.6813964999999</v>
      </c>
      <c r="I859">
        <v>1323.8103027</v>
      </c>
      <c r="J859">
        <v>1320.4088135</v>
      </c>
      <c r="K859">
        <v>1200</v>
      </c>
      <c r="L859">
        <v>0</v>
      </c>
      <c r="M859">
        <v>0</v>
      </c>
      <c r="N859">
        <v>1200</v>
      </c>
    </row>
    <row r="860" spans="1:14" x14ac:dyDescent="0.25">
      <c r="A860">
        <v>775.65209000000004</v>
      </c>
      <c r="B860" s="1">
        <f>DATE(2012,6,14) + TIME(15,39,0)</f>
        <v>41074.652083333334</v>
      </c>
      <c r="C860">
        <v>80</v>
      </c>
      <c r="D860">
        <v>79.750778198000006</v>
      </c>
      <c r="E860">
        <v>50</v>
      </c>
      <c r="F860">
        <v>44.563407898000001</v>
      </c>
      <c r="G860">
        <v>1373.4333495999999</v>
      </c>
      <c r="H860">
        <v>1358.6375731999999</v>
      </c>
      <c r="I860">
        <v>1323.7890625</v>
      </c>
      <c r="J860">
        <v>1320.3782959</v>
      </c>
      <c r="K860">
        <v>1200</v>
      </c>
      <c r="L860">
        <v>0</v>
      </c>
      <c r="M860">
        <v>0</v>
      </c>
      <c r="N860">
        <v>1200</v>
      </c>
    </row>
    <row r="861" spans="1:14" x14ac:dyDescent="0.25">
      <c r="A861">
        <v>776.89623200000005</v>
      </c>
      <c r="B861" s="1">
        <f>DATE(2012,6,15) + TIME(21,30,34)</f>
        <v>41075.896226851852</v>
      </c>
      <c r="C861">
        <v>80</v>
      </c>
      <c r="D861">
        <v>79.751068114999995</v>
      </c>
      <c r="E861">
        <v>50</v>
      </c>
      <c r="F861">
        <v>44.458366394000002</v>
      </c>
      <c r="G861">
        <v>1373.3758545000001</v>
      </c>
      <c r="H861">
        <v>1358.5932617000001</v>
      </c>
      <c r="I861">
        <v>1323.7670897999999</v>
      </c>
      <c r="J861">
        <v>1320.3469238</v>
      </c>
      <c r="K861">
        <v>1200</v>
      </c>
      <c r="L861">
        <v>0</v>
      </c>
      <c r="M861">
        <v>0</v>
      </c>
      <c r="N861">
        <v>1200</v>
      </c>
    </row>
    <row r="862" spans="1:14" x14ac:dyDescent="0.25">
      <c r="A862">
        <v>778.19081500000004</v>
      </c>
      <c r="B862" s="1">
        <f>DATE(2012,6,17) + TIME(4,34,46)</f>
        <v>41077.190810185188</v>
      </c>
      <c r="C862">
        <v>80</v>
      </c>
      <c r="D862">
        <v>79.751365661999998</v>
      </c>
      <c r="E862">
        <v>50</v>
      </c>
      <c r="F862">
        <v>44.350650786999999</v>
      </c>
      <c r="G862">
        <v>1373.3175048999999</v>
      </c>
      <c r="H862">
        <v>1358.5483397999999</v>
      </c>
      <c r="I862">
        <v>1323.7445068</v>
      </c>
      <c r="J862">
        <v>1320.3143310999999</v>
      </c>
      <c r="K862">
        <v>1200</v>
      </c>
      <c r="L862">
        <v>0</v>
      </c>
      <c r="M862">
        <v>0</v>
      </c>
      <c r="N862">
        <v>1200</v>
      </c>
    </row>
    <row r="863" spans="1:14" x14ac:dyDescent="0.25">
      <c r="A863">
        <v>779.49440100000004</v>
      </c>
      <c r="B863" s="1">
        <f>DATE(2012,6,18) + TIME(11,51,56)</f>
        <v>41078.494398148148</v>
      </c>
      <c r="C863">
        <v>80</v>
      </c>
      <c r="D863">
        <v>79.751670837000006</v>
      </c>
      <c r="E863">
        <v>50</v>
      </c>
      <c r="F863">
        <v>44.242580414000003</v>
      </c>
      <c r="G863">
        <v>1373.2583007999999</v>
      </c>
      <c r="H863">
        <v>1358.5025635</v>
      </c>
      <c r="I863">
        <v>1323.7209473</v>
      </c>
      <c r="J863">
        <v>1320.2805175999999</v>
      </c>
      <c r="K863">
        <v>1200</v>
      </c>
      <c r="L863">
        <v>0</v>
      </c>
      <c r="M863">
        <v>0</v>
      </c>
      <c r="N863">
        <v>1200</v>
      </c>
    </row>
    <row r="864" spans="1:14" x14ac:dyDescent="0.25">
      <c r="A864">
        <v>780.80314899999996</v>
      </c>
      <c r="B864" s="1">
        <f>DATE(2012,6,19) + TIME(19,16,32)</f>
        <v>41079.803148148145</v>
      </c>
      <c r="C864">
        <v>80</v>
      </c>
      <c r="D864">
        <v>79.751976013000004</v>
      </c>
      <c r="E864">
        <v>50</v>
      </c>
      <c r="F864">
        <v>44.134674072000003</v>
      </c>
      <c r="G864">
        <v>1373.1999512</v>
      </c>
      <c r="H864">
        <v>1358.4576416</v>
      </c>
      <c r="I864">
        <v>1323.6972656</v>
      </c>
      <c r="J864">
        <v>1320.2464600000001</v>
      </c>
      <c r="K864">
        <v>1200</v>
      </c>
      <c r="L864">
        <v>0</v>
      </c>
      <c r="M864">
        <v>0</v>
      </c>
      <c r="N864">
        <v>1200</v>
      </c>
    </row>
    <row r="865" spans="1:14" x14ac:dyDescent="0.25">
      <c r="A865">
        <v>782.12167899999997</v>
      </c>
      <c r="B865" s="1">
        <f>DATE(2012,6,21) + TIME(2,55,13)</f>
        <v>41081.121678240743</v>
      </c>
      <c r="C865">
        <v>80</v>
      </c>
      <c r="D865">
        <v>79.752281189000001</v>
      </c>
      <c r="E865">
        <v>50</v>
      </c>
      <c r="F865">
        <v>44.026924133000001</v>
      </c>
      <c r="G865">
        <v>1373.1427002</v>
      </c>
      <c r="H865">
        <v>1358.4134521000001</v>
      </c>
      <c r="I865">
        <v>1323.6734618999999</v>
      </c>
      <c r="J865">
        <v>1320.2122803</v>
      </c>
      <c r="K865">
        <v>1200</v>
      </c>
      <c r="L865">
        <v>0</v>
      </c>
      <c r="M865">
        <v>0</v>
      </c>
      <c r="N865">
        <v>1200</v>
      </c>
    </row>
    <row r="866" spans="1:14" x14ac:dyDescent="0.25">
      <c r="A866">
        <v>783.45453499999996</v>
      </c>
      <c r="B866" s="1">
        <f>DATE(2012,6,22) + TIME(10,54,31)</f>
        <v>41082.454525462963</v>
      </c>
      <c r="C866">
        <v>80</v>
      </c>
      <c r="D866">
        <v>79.752593993999994</v>
      </c>
      <c r="E866">
        <v>50</v>
      </c>
      <c r="F866">
        <v>43.919219970999997</v>
      </c>
      <c r="G866">
        <v>1373.0864257999999</v>
      </c>
      <c r="H866">
        <v>1358.3699951000001</v>
      </c>
      <c r="I866">
        <v>1323.6496582</v>
      </c>
      <c r="J866">
        <v>1320.1777344</v>
      </c>
      <c r="K866">
        <v>1200</v>
      </c>
      <c r="L866">
        <v>0</v>
      </c>
      <c r="M866">
        <v>0</v>
      </c>
      <c r="N866">
        <v>1200</v>
      </c>
    </row>
    <row r="867" spans="1:14" x14ac:dyDescent="0.25">
      <c r="A867">
        <v>784.80630599999995</v>
      </c>
      <c r="B867" s="1">
        <f>DATE(2012,6,23) + TIME(19,21,4)</f>
        <v>41083.806296296294</v>
      </c>
      <c r="C867">
        <v>80</v>
      </c>
      <c r="D867">
        <v>79.752914429</v>
      </c>
      <c r="E867">
        <v>50</v>
      </c>
      <c r="F867">
        <v>43.811397552000003</v>
      </c>
      <c r="G867">
        <v>1373.0307617000001</v>
      </c>
      <c r="H867">
        <v>1358.3270264</v>
      </c>
      <c r="I867">
        <v>1323.6256103999999</v>
      </c>
      <c r="J867">
        <v>1320.1429443</v>
      </c>
      <c r="K867">
        <v>1200</v>
      </c>
      <c r="L867">
        <v>0</v>
      </c>
      <c r="M867">
        <v>0</v>
      </c>
      <c r="N867">
        <v>1200</v>
      </c>
    </row>
    <row r="868" spans="1:14" x14ac:dyDescent="0.25">
      <c r="A868">
        <v>786.18170899999996</v>
      </c>
      <c r="B868" s="1">
        <f>DATE(2012,6,25) + TIME(4,21,39)</f>
        <v>41085.181701388887</v>
      </c>
      <c r="C868">
        <v>80</v>
      </c>
      <c r="D868">
        <v>79.753234863000003</v>
      </c>
      <c r="E868">
        <v>50</v>
      </c>
      <c r="F868">
        <v>43.703250885000003</v>
      </c>
      <c r="G868">
        <v>1372.9755858999999</v>
      </c>
      <c r="H868">
        <v>1358.2844238</v>
      </c>
      <c r="I868">
        <v>1323.6013184000001</v>
      </c>
      <c r="J868">
        <v>1320.1076660000001</v>
      </c>
      <c r="K868">
        <v>1200</v>
      </c>
      <c r="L868">
        <v>0</v>
      </c>
      <c r="M868">
        <v>0</v>
      </c>
      <c r="N868">
        <v>1200</v>
      </c>
    </row>
    <row r="869" spans="1:14" x14ac:dyDescent="0.25">
      <c r="A869">
        <v>787.58570999999995</v>
      </c>
      <c r="B869" s="1">
        <f>DATE(2012,6,26) + TIME(14,3,25)</f>
        <v>41086.585706018515</v>
      </c>
      <c r="C869">
        <v>80</v>
      </c>
      <c r="D869">
        <v>79.753570557000003</v>
      </c>
      <c r="E869">
        <v>50</v>
      </c>
      <c r="F869">
        <v>43.594543457</v>
      </c>
      <c r="G869">
        <v>1372.9206543</v>
      </c>
      <c r="H869">
        <v>1358.2419434000001</v>
      </c>
      <c r="I869">
        <v>1323.5767822</v>
      </c>
      <c r="J869">
        <v>1320.0718993999999</v>
      </c>
      <c r="K869">
        <v>1200</v>
      </c>
      <c r="L869">
        <v>0</v>
      </c>
      <c r="M869">
        <v>0</v>
      </c>
      <c r="N869">
        <v>1200</v>
      </c>
    </row>
    <row r="870" spans="1:14" x14ac:dyDescent="0.25">
      <c r="A870">
        <v>789.02360999999996</v>
      </c>
      <c r="B870" s="1">
        <f>DATE(2012,6,28) + TIME(0,33,59)</f>
        <v>41088.023599537039</v>
      </c>
      <c r="C870">
        <v>80</v>
      </c>
      <c r="D870">
        <v>79.753913878999995</v>
      </c>
      <c r="E870">
        <v>50</v>
      </c>
      <c r="F870">
        <v>43.485015869000001</v>
      </c>
      <c r="G870">
        <v>1372.8657227000001</v>
      </c>
      <c r="H870">
        <v>1358.1994629000001</v>
      </c>
      <c r="I870">
        <v>1323.5518798999999</v>
      </c>
      <c r="J870">
        <v>1320.0356445</v>
      </c>
      <c r="K870">
        <v>1200</v>
      </c>
      <c r="L870">
        <v>0</v>
      </c>
      <c r="M870">
        <v>0</v>
      </c>
      <c r="N870">
        <v>1200</v>
      </c>
    </row>
    <row r="871" spans="1:14" x14ac:dyDescent="0.25">
      <c r="A871">
        <v>790.501622</v>
      </c>
      <c r="B871" s="1">
        <f>DATE(2012,6,29) + TIME(12,2,20)</f>
        <v>41089.501620370371</v>
      </c>
      <c r="C871">
        <v>80</v>
      </c>
      <c r="D871">
        <v>79.754272460999999</v>
      </c>
      <c r="E871">
        <v>50</v>
      </c>
      <c r="F871">
        <v>43.374370575</v>
      </c>
      <c r="G871">
        <v>1372.8106689000001</v>
      </c>
      <c r="H871">
        <v>1358.1568603999999</v>
      </c>
      <c r="I871">
        <v>1323.5266113</v>
      </c>
      <c r="J871">
        <v>1319.9986572</v>
      </c>
      <c r="K871">
        <v>1200</v>
      </c>
      <c r="L871">
        <v>0</v>
      </c>
      <c r="M871">
        <v>0</v>
      </c>
      <c r="N871">
        <v>1200</v>
      </c>
    </row>
    <row r="872" spans="1:14" x14ac:dyDescent="0.25">
      <c r="A872">
        <v>792</v>
      </c>
      <c r="B872" s="1">
        <f>DATE(2012,7,1) + TIME(0,0,0)</f>
        <v>41091</v>
      </c>
      <c r="C872">
        <v>80</v>
      </c>
      <c r="D872">
        <v>79.754631042</v>
      </c>
      <c r="E872">
        <v>50</v>
      </c>
      <c r="F872">
        <v>43.263565063000001</v>
      </c>
      <c r="G872">
        <v>1372.755249</v>
      </c>
      <c r="H872">
        <v>1358.1138916</v>
      </c>
      <c r="I872">
        <v>1323.5008545000001</v>
      </c>
      <c r="J872">
        <v>1319.9608154</v>
      </c>
      <c r="K872">
        <v>1200</v>
      </c>
      <c r="L872">
        <v>0</v>
      </c>
      <c r="M872">
        <v>0</v>
      </c>
      <c r="N872">
        <v>1200</v>
      </c>
    </row>
    <row r="873" spans="1:14" x14ac:dyDescent="0.25">
      <c r="A873">
        <v>793.52483600000005</v>
      </c>
      <c r="B873" s="1">
        <f>DATE(2012,7,2) + TIME(12,35,45)</f>
        <v>41092.524826388886</v>
      </c>
      <c r="C873">
        <v>80</v>
      </c>
      <c r="D873">
        <v>79.754997252999999</v>
      </c>
      <c r="E873">
        <v>50</v>
      </c>
      <c r="F873">
        <v>43.152484893999997</v>
      </c>
      <c r="G873">
        <v>1372.7001952999999</v>
      </c>
      <c r="H873">
        <v>1358.0711670000001</v>
      </c>
      <c r="I873">
        <v>1323.4748535000001</v>
      </c>
      <c r="J873">
        <v>1319.9227295000001</v>
      </c>
      <c r="K873">
        <v>1200</v>
      </c>
      <c r="L873">
        <v>0</v>
      </c>
      <c r="M873">
        <v>0</v>
      </c>
      <c r="N873">
        <v>1200</v>
      </c>
    </row>
    <row r="874" spans="1:14" x14ac:dyDescent="0.25">
      <c r="A874">
        <v>795.14802799999995</v>
      </c>
      <c r="B874" s="1">
        <f>DATE(2012,7,4) + TIME(3,33,9)</f>
        <v>41094.148020833331</v>
      </c>
      <c r="C874">
        <v>80</v>
      </c>
      <c r="D874">
        <v>79.755393982000001</v>
      </c>
      <c r="E874">
        <v>50</v>
      </c>
      <c r="F874">
        <v>43.037994384999998</v>
      </c>
      <c r="G874">
        <v>1372.6453856999999</v>
      </c>
      <c r="H874">
        <v>1358.0286865</v>
      </c>
      <c r="I874">
        <v>1323.4486084</v>
      </c>
      <c r="J874">
        <v>1319.8839111</v>
      </c>
      <c r="K874">
        <v>1200</v>
      </c>
      <c r="L874">
        <v>0</v>
      </c>
      <c r="M874">
        <v>0</v>
      </c>
      <c r="N874">
        <v>1200</v>
      </c>
    </row>
    <row r="875" spans="1:14" x14ac:dyDescent="0.25">
      <c r="A875">
        <v>796.77585699999997</v>
      </c>
      <c r="B875" s="1">
        <f>DATE(2012,7,5) + TIME(18,37,14)</f>
        <v>41095.775856481479</v>
      </c>
      <c r="C875">
        <v>80</v>
      </c>
      <c r="D875">
        <v>79.755790709999999</v>
      </c>
      <c r="E875">
        <v>50</v>
      </c>
      <c r="F875">
        <v>42.923839569000002</v>
      </c>
      <c r="G875">
        <v>1372.5882568</v>
      </c>
      <c r="H875">
        <v>1357.9842529</v>
      </c>
      <c r="I875">
        <v>1323.4211425999999</v>
      </c>
      <c r="J875">
        <v>1319.8433838000001</v>
      </c>
      <c r="K875">
        <v>1200</v>
      </c>
      <c r="L875">
        <v>0</v>
      </c>
      <c r="M875">
        <v>0</v>
      </c>
      <c r="N875">
        <v>1200</v>
      </c>
    </row>
    <row r="876" spans="1:14" x14ac:dyDescent="0.25">
      <c r="A876">
        <v>798.414085</v>
      </c>
      <c r="B876" s="1">
        <f>DATE(2012,7,7) + TIME(9,56,16)</f>
        <v>41097.414074074077</v>
      </c>
      <c r="C876">
        <v>80</v>
      </c>
      <c r="D876">
        <v>79.756187439000001</v>
      </c>
      <c r="E876">
        <v>50</v>
      </c>
      <c r="F876">
        <v>42.810325622999997</v>
      </c>
      <c r="G876">
        <v>1372.5321045000001</v>
      </c>
      <c r="H876">
        <v>1357.9406738</v>
      </c>
      <c r="I876">
        <v>1323.3936768000001</v>
      </c>
      <c r="J876">
        <v>1319.8028564000001</v>
      </c>
      <c r="K876">
        <v>1200</v>
      </c>
      <c r="L876">
        <v>0</v>
      </c>
      <c r="M876">
        <v>0</v>
      </c>
      <c r="N876">
        <v>1200</v>
      </c>
    </row>
    <row r="877" spans="1:14" x14ac:dyDescent="0.25">
      <c r="A877">
        <v>800.06864900000005</v>
      </c>
      <c r="B877" s="1">
        <f>DATE(2012,7,9) + TIME(1,38,51)</f>
        <v>41099.068645833337</v>
      </c>
      <c r="C877">
        <v>80</v>
      </c>
      <c r="D877">
        <v>79.756584167</v>
      </c>
      <c r="E877">
        <v>50</v>
      </c>
      <c r="F877">
        <v>42.697525024000001</v>
      </c>
      <c r="G877">
        <v>1372.4766846</v>
      </c>
      <c r="H877">
        <v>1357.8974608999999</v>
      </c>
      <c r="I877">
        <v>1323.3663329999999</v>
      </c>
      <c r="J877">
        <v>1319.7623291</v>
      </c>
      <c r="K877">
        <v>1200</v>
      </c>
      <c r="L877">
        <v>0</v>
      </c>
      <c r="M877">
        <v>0</v>
      </c>
      <c r="N877">
        <v>1200</v>
      </c>
    </row>
    <row r="878" spans="1:14" x14ac:dyDescent="0.25">
      <c r="A878">
        <v>801.74553600000002</v>
      </c>
      <c r="B878" s="1">
        <f>DATE(2012,7,10) + TIME(17,53,34)</f>
        <v>41100.745532407411</v>
      </c>
      <c r="C878">
        <v>80</v>
      </c>
      <c r="D878">
        <v>79.756988524999997</v>
      </c>
      <c r="E878">
        <v>50</v>
      </c>
      <c r="F878">
        <v>42.585384369000003</v>
      </c>
      <c r="G878">
        <v>1372.4219971</v>
      </c>
      <c r="H878">
        <v>1357.8548584</v>
      </c>
      <c r="I878">
        <v>1323.3389893000001</v>
      </c>
      <c r="J878">
        <v>1319.7216797000001</v>
      </c>
      <c r="K878">
        <v>1200</v>
      </c>
      <c r="L878">
        <v>0</v>
      </c>
      <c r="M878">
        <v>0</v>
      </c>
      <c r="N878">
        <v>1200</v>
      </c>
    </row>
    <row r="879" spans="1:14" x14ac:dyDescent="0.25">
      <c r="A879">
        <v>803.45085200000005</v>
      </c>
      <c r="B879" s="1">
        <f>DATE(2012,7,12) + TIME(10,49,13)</f>
        <v>41102.450844907406</v>
      </c>
      <c r="C879">
        <v>80</v>
      </c>
      <c r="D879">
        <v>79.757400512999993</v>
      </c>
      <c r="E879">
        <v>50</v>
      </c>
      <c r="F879">
        <v>42.473773956000002</v>
      </c>
      <c r="G879">
        <v>1372.3675536999999</v>
      </c>
      <c r="H879">
        <v>1357.8122559000001</v>
      </c>
      <c r="I879">
        <v>1323.3116454999999</v>
      </c>
      <c r="J879">
        <v>1319.6807861</v>
      </c>
      <c r="K879">
        <v>1200</v>
      </c>
      <c r="L879">
        <v>0</v>
      </c>
      <c r="M879">
        <v>0</v>
      </c>
      <c r="N879">
        <v>1200</v>
      </c>
    </row>
    <row r="880" spans="1:14" x14ac:dyDescent="0.25">
      <c r="A880">
        <v>805.191012</v>
      </c>
      <c r="B880" s="1">
        <f>DATE(2012,7,14) + TIME(4,35,3)</f>
        <v>41104.191006944442</v>
      </c>
      <c r="C880">
        <v>80</v>
      </c>
      <c r="D880">
        <v>79.757820128999995</v>
      </c>
      <c r="E880">
        <v>50</v>
      </c>
      <c r="F880">
        <v>42.362525939999998</v>
      </c>
      <c r="G880">
        <v>1372.3132324000001</v>
      </c>
      <c r="H880">
        <v>1357.7698975000001</v>
      </c>
      <c r="I880">
        <v>1323.2841797000001</v>
      </c>
      <c r="J880">
        <v>1319.6396483999999</v>
      </c>
      <c r="K880">
        <v>1200</v>
      </c>
      <c r="L880">
        <v>0</v>
      </c>
      <c r="M880">
        <v>0</v>
      </c>
      <c r="N880">
        <v>1200</v>
      </c>
    </row>
    <row r="881" spans="1:14" x14ac:dyDescent="0.25">
      <c r="A881">
        <v>806.97289000000001</v>
      </c>
      <c r="B881" s="1">
        <f>DATE(2012,7,15) + TIME(23,20,57)</f>
        <v>41105.972881944443</v>
      </c>
      <c r="C881">
        <v>80</v>
      </c>
      <c r="D881">
        <v>79.758255004999995</v>
      </c>
      <c r="E881">
        <v>50</v>
      </c>
      <c r="F881">
        <v>42.251449585000003</v>
      </c>
      <c r="G881">
        <v>1372.2589111</v>
      </c>
      <c r="H881">
        <v>1357.7272949000001</v>
      </c>
      <c r="I881">
        <v>1323.2565918</v>
      </c>
      <c r="J881">
        <v>1319.5981445</v>
      </c>
      <c r="K881">
        <v>1200</v>
      </c>
      <c r="L881">
        <v>0</v>
      </c>
      <c r="M881">
        <v>0</v>
      </c>
      <c r="N881">
        <v>1200</v>
      </c>
    </row>
    <row r="882" spans="1:14" x14ac:dyDescent="0.25">
      <c r="A882">
        <v>808.80399</v>
      </c>
      <c r="B882" s="1">
        <f>DATE(2012,7,17) + TIME(19,17,44)</f>
        <v>41107.803981481484</v>
      </c>
      <c r="C882">
        <v>80</v>
      </c>
      <c r="D882">
        <v>79.758697510000005</v>
      </c>
      <c r="E882">
        <v>50</v>
      </c>
      <c r="F882">
        <v>42.140354156000001</v>
      </c>
      <c r="G882">
        <v>1372.2043457</v>
      </c>
      <c r="H882">
        <v>1357.6845702999999</v>
      </c>
      <c r="I882">
        <v>1323.2288818</v>
      </c>
      <c r="J882">
        <v>1319.5561522999999</v>
      </c>
      <c r="K882">
        <v>1200</v>
      </c>
      <c r="L882">
        <v>0</v>
      </c>
      <c r="M882">
        <v>0</v>
      </c>
      <c r="N882">
        <v>1200</v>
      </c>
    </row>
    <row r="883" spans="1:14" x14ac:dyDescent="0.25">
      <c r="A883">
        <v>810.693848</v>
      </c>
      <c r="B883" s="1">
        <f>DATE(2012,7,19) + TIME(16,39,8)</f>
        <v>41109.693842592591</v>
      </c>
      <c r="C883">
        <v>80</v>
      </c>
      <c r="D883">
        <v>79.759155273000005</v>
      </c>
      <c r="E883">
        <v>50</v>
      </c>
      <c r="F883">
        <v>42.029003142999997</v>
      </c>
      <c r="G883">
        <v>1372.1492920000001</v>
      </c>
      <c r="H883">
        <v>1357.6413574000001</v>
      </c>
      <c r="I883">
        <v>1323.2008057</v>
      </c>
      <c r="J883">
        <v>1319.5136719</v>
      </c>
      <c r="K883">
        <v>1200</v>
      </c>
      <c r="L883">
        <v>0</v>
      </c>
      <c r="M883">
        <v>0</v>
      </c>
      <c r="N883">
        <v>1200</v>
      </c>
    </row>
    <row r="884" spans="1:14" x14ac:dyDescent="0.25">
      <c r="A884">
        <v>812.65001400000006</v>
      </c>
      <c r="B884" s="1">
        <f>DATE(2012,7,21) + TIME(15,36,1)</f>
        <v>41111.650011574071</v>
      </c>
      <c r="C884">
        <v>80</v>
      </c>
      <c r="D884">
        <v>79.759628296000002</v>
      </c>
      <c r="E884">
        <v>50</v>
      </c>
      <c r="F884">
        <v>41.917259215999998</v>
      </c>
      <c r="G884">
        <v>1372.0935059000001</v>
      </c>
      <c r="H884">
        <v>1357.5975341999999</v>
      </c>
      <c r="I884">
        <v>1323.1723632999999</v>
      </c>
      <c r="J884">
        <v>1319.4704589999999</v>
      </c>
      <c r="K884">
        <v>1200</v>
      </c>
      <c r="L884">
        <v>0</v>
      </c>
      <c r="M884">
        <v>0</v>
      </c>
      <c r="N884">
        <v>1200</v>
      </c>
    </row>
    <row r="885" spans="1:14" x14ac:dyDescent="0.25">
      <c r="A885">
        <v>814.63884800000005</v>
      </c>
      <c r="B885" s="1">
        <f>DATE(2012,7,23) + TIME(15,19,56)</f>
        <v>41113.638842592591</v>
      </c>
      <c r="C885">
        <v>80</v>
      </c>
      <c r="D885">
        <v>79.760101317999997</v>
      </c>
      <c r="E885">
        <v>50</v>
      </c>
      <c r="F885">
        <v>41.806369781000001</v>
      </c>
      <c r="G885">
        <v>1372.0369873</v>
      </c>
      <c r="H885">
        <v>1357.5529785000001</v>
      </c>
      <c r="I885">
        <v>1323.1436768000001</v>
      </c>
      <c r="J885">
        <v>1319.4265137</v>
      </c>
      <c r="K885">
        <v>1200</v>
      </c>
      <c r="L885">
        <v>0</v>
      </c>
      <c r="M885">
        <v>0</v>
      </c>
      <c r="N885">
        <v>1200</v>
      </c>
    </row>
    <row r="886" spans="1:14" x14ac:dyDescent="0.25">
      <c r="A886">
        <v>816.65561000000002</v>
      </c>
      <c r="B886" s="1">
        <f>DATE(2012,7,25) + TIME(15,44,4)</f>
        <v>41115.655601851853</v>
      </c>
      <c r="C886">
        <v>80</v>
      </c>
      <c r="D886">
        <v>79.760581970000004</v>
      </c>
      <c r="E886">
        <v>50</v>
      </c>
      <c r="F886">
        <v>41.696975707999997</v>
      </c>
      <c r="G886">
        <v>1371.9804687999999</v>
      </c>
      <c r="H886">
        <v>1357.5083007999999</v>
      </c>
      <c r="I886">
        <v>1323.1148682</v>
      </c>
      <c r="J886">
        <v>1319.3825684000001</v>
      </c>
      <c r="K886">
        <v>1200</v>
      </c>
      <c r="L886">
        <v>0</v>
      </c>
      <c r="M886">
        <v>0</v>
      </c>
      <c r="N886">
        <v>1200</v>
      </c>
    </row>
    <row r="887" spans="1:14" x14ac:dyDescent="0.25">
      <c r="A887">
        <v>818.70859599999994</v>
      </c>
      <c r="B887" s="1">
        <f>DATE(2012,7,27) + TIME(17,0,22)</f>
        <v>41117.708587962959</v>
      </c>
      <c r="C887">
        <v>80</v>
      </c>
      <c r="D887">
        <v>79.761077881000006</v>
      </c>
      <c r="E887">
        <v>50</v>
      </c>
      <c r="F887">
        <v>41.589252471999998</v>
      </c>
      <c r="G887">
        <v>1371.9241943</v>
      </c>
      <c r="H887">
        <v>1357.4638672000001</v>
      </c>
      <c r="I887">
        <v>1323.0864257999999</v>
      </c>
      <c r="J887">
        <v>1319.3386230000001</v>
      </c>
      <c r="K887">
        <v>1200</v>
      </c>
      <c r="L887">
        <v>0</v>
      </c>
      <c r="M887">
        <v>0</v>
      </c>
      <c r="N887">
        <v>1200</v>
      </c>
    </row>
    <row r="888" spans="1:14" x14ac:dyDescent="0.25">
      <c r="A888">
        <v>820.78460900000005</v>
      </c>
      <c r="B888" s="1">
        <f>DATE(2012,7,29) + TIME(18,49,50)</f>
        <v>41119.78460648148</v>
      </c>
      <c r="C888">
        <v>80</v>
      </c>
      <c r="D888">
        <v>79.761566161999994</v>
      </c>
      <c r="E888">
        <v>50</v>
      </c>
      <c r="F888">
        <v>41.483898162999999</v>
      </c>
      <c r="G888">
        <v>1371.8680420000001</v>
      </c>
      <c r="H888">
        <v>1357.4194336</v>
      </c>
      <c r="I888">
        <v>1323.0581055</v>
      </c>
      <c r="J888">
        <v>1319.2947998</v>
      </c>
      <c r="K888">
        <v>1200</v>
      </c>
      <c r="L888">
        <v>0</v>
      </c>
      <c r="M888">
        <v>0</v>
      </c>
      <c r="N888">
        <v>1200</v>
      </c>
    </row>
    <row r="889" spans="1:14" x14ac:dyDescent="0.25">
      <c r="A889">
        <v>822.89040799999998</v>
      </c>
      <c r="B889" s="1">
        <f>DATE(2012,7,31) + TIME(21,22,11)</f>
        <v>41121.890405092592</v>
      </c>
      <c r="C889">
        <v>80</v>
      </c>
      <c r="D889">
        <v>79.762062072999996</v>
      </c>
      <c r="E889">
        <v>50</v>
      </c>
      <c r="F889">
        <v>41.381114959999998</v>
      </c>
      <c r="G889">
        <v>1371.8122559000001</v>
      </c>
      <c r="H889">
        <v>1357.3751221</v>
      </c>
      <c r="I889">
        <v>1323.0302733999999</v>
      </c>
      <c r="J889">
        <v>1319.2513428</v>
      </c>
      <c r="K889">
        <v>1200</v>
      </c>
      <c r="L889">
        <v>0</v>
      </c>
      <c r="M889">
        <v>0</v>
      </c>
      <c r="N889">
        <v>1200</v>
      </c>
    </row>
    <row r="890" spans="1:14" x14ac:dyDescent="0.25">
      <c r="A890">
        <v>823</v>
      </c>
      <c r="B890" s="1">
        <f>DATE(2012,8,1) + TIME(0,0,0)</f>
        <v>41122</v>
      </c>
      <c r="C890">
        <v>80</v>
      </c>
      <c r="D890">
        <v>79.762077332000004</v>
      </c>
      <c r="E890">
        <v>50</v>
      </c>
      <c r="F890">
        <v>41.372264862000002</v>
      </c>
      <c r="G890">
        <v>1371.7596435999999</v>
      </c>
      <c r="H890">
        <v>1357.3337402</v>
      </c>
      <c r="I890">
        <v>1323.0070800999999</v>
      </c>
      <c r="J890">
        <v>1319.2196045000001</v>
      </c>
      <c r="K890">
        <v>1200</v>
      </c>
      <c r="L890">
        <v>0</v>
      </c>
      <c r="M890">
        <v>0</v>
      </c>
      <c r="N890">
        <v>1200</v>
      </c>
    </row>
    <row r="891" spans="1:14" x14ac:dyDescent="0.25">
      <c r="A891">
        <v>825.14372800000001</v>
      </c>
      <c r="B891" s="1">
        <f>DATE(2012,8,3) + TIME(3,26,58)</f>
        <v>41124.143726851849</v>
      </c>
      <c r="C891">
        <v>80</v>
      </c>
      <c r="D891">
        <v>79.762588500999996</v>
      </c>
      <c r="E891">
        <v>50</v>
      </c>
      <c r="F891">
        <v>41.273994446000003</v>
      </c>
      <c r="G891">
        <v>1371.7535399999999</v>
      </c>
      <c r="H891">
        <v>1357.3283690999999</v>
      </c>
      <c r="I891">
        <v>1323.0008545000001</v>
      </c>
      <c r="J891">
        <v>1319.2053223</v>
      </c>
      <c r="K891">
        <v>1200</v>
      </c>
      <c r="L891">
        <v>0</v>
      </c>
      <c r="M891">
        <v>0</v>
      </c>
      <c r="N891">
        <v>1200</v>
      </c>
    </row>
    <row r="892" spans="1:14" x14ac:dyDescent="0.25">
      <c r="A892">
        <v>827.33673899999997</v>
      </c>
      <c r="B892" s="1">
        <f>DATE(2012,8,5) + TIME(8,4,54)</f>
        <v>41126.336736111109</v>
      </c>
      <c r="C892">
        <v>80</v>
      </c>
      <c r="D892">
        <v>79.763099670000003</v>
      </c>
      <c r="E892">
        <v>50</v>
      </c>
      <c r="F892">
        <v>41.177673339999998</v>
      </c>
      <c r="G892">
        <v>1371.6981201000001</v>
      </c>
      <c r="H892">
        <v>1357.2843018000001</v>
      </c>
      <c r="I892">
        <v>1322.973999</v>
      </c>
      <c r="J892">
        <v>1319.1629639</v>
      </c>
      <c r="K892">
        <v>1200</v>
      </c>
      <c r="L892">
        <v>0</v>
      </c>
      <c r="M892">
        <v>0</v>
      </c>
      <c r="N892">
        <v>1200</v>
      </c>
    </row>
    <row r="893" spans="1:14" x14ac:dyDescent="0.25">
      <c r="A893">
        <v>829.58592899999996</v>
      </c>
      <c r="B893" s="1">
        <f>DATE(2012,8,7) + TIME(14,3,44)</f>
        <v>41128.585925925923</v>
      </c>
      <c r="C893">
        <v>80</v>
      </c>
      <c r="D893">
        <v>79.763626099000007</v>
      </c>
      <c r="E893">
        <v>50</v>
      </c>
      <c r="F893">
        <v>41.083751677999999</v>
      </c>
      <c r="G893">
        <v>1371.6423339999999</v>
      </c>
      <c r="H893">
        <v>1357.239624</v>
      </c>
      <c r="I893">
        <v>1322.9473877</v>
      </c>
      <c r="J893">
        <v>1319.1206055</v>
      </c>
      <c r="K893">
        <v>1200</v>
      </c>
      <c r="L893">
        <v>0</v>
      </c>
      <c r="M893">
        <v>0</v>
      </c>
      <c r="N893">
        <v>1200</v>
      </c>
    </row>
    <row r="894" spans="1:14" x14ac:dyDescent="0.25">
      <c r="A894">
        <v>831.89970000000005</v>
      </c>
      <c r="B894" s="1">
        <f>DATE(2012,8,9) + TIME(21,35,34)</f>
        <v>41130.899699074071</v>
      </c>
      <c r="C894">
        <v>80</v>
      </c>
      <c r="D894">
        <v>79.764167786000002</v>
      </c>
      <c r="E894">
        <v>50</v>
      </c>
      <c r="F894">
        <v>40.992603301999999</v>
      </c>
      <c r="G894">
        <v>1371.5859375</v>
      </c>
      <c r="H894">
        <v>1357.1945800999999</v>
      </c>
      <c r="I894">
        <v>1322.9210204999999</v>
      </c>
      <c r="J894">
        <v>1319.0783690999999</v>
      </c>
      <c r="K894">
        <v>1200</v>
      </c>
      <c r="L894">
        <v>0</v>
      </c>
      <c r="M894">
        <v>0</v>
      </c>
      <c r="N894">
        <v>1200</v>
      </c>
    </row>
    <row r="895" spans="1:14" x14ac:dyDescent="0.25">
      <c r="A895">
        <v>834.23723199999995</v>
      </c>
      <c r="B895" s="1">
        <f>DATE(2012,8,12) + TIME(5,41,36)</f>
        <v>41133.237222222226</v>
      </c>
      <c r="C895">
        <v>80</v>
      </c>
      <c r="D895">
        <v>79.764701842999997</v>
      </c>
      <c r="E895">
        <v>50</v>
      </c>
      <c r="F895">
        <v>40.905593871999997</v>
      </c>
      <c r="G895">
        <v>1371.5289307</v>
      </c>
      <c r="H895">
        <v>1357.1488036999999</v>
      </c>
      <c r="I895">
        <v>1322.8948975000001</v>
      </c>
      <c r="J895">
        <v>1319.0363769999999</v>
      </c>
      <c r="K895">
        <v>1200</v>
      </c>
      <c r="L895">
        <v>0</v>
      </c>
      <c r="M895">
        <v>0</v>
      </c>
      <c r="N895">
        <v>1200</v>
      </c>
    </row>
    <row r="896" spans="1:14" x14ac:dyDescent="0.25">
      <c r="A896">
        <v>836.60861899999998</v>
      </c>
      <c r="B896" s="1">
        <f>DATE(2012,8,14) + TIME(14,36,24)</f>
        <v>41135.608611111114</v>
      </c>
      <c r="C896">
        <v>80</v>
      </c>
      <c r="D896">
        <v>79.765251160000005</v>
      </c>
      <c r="E896">
        <v>50</v>
      </c>
      <c r="F896">
        <v>40.823307036999999</v>
      </c>
      <c r="G896">
        <v>1371.4724120999999</v>
      </c>
      <c r="H896">
        <v>1357.1032714999999</v>
      </c>
      <c r="I896">
        <v>1322.8696289</v>
      </c>
      <c r="J896">
        <v>1318.9952393000001</v>
      </c>
      <c r="K896">
        <v>1200</v>
      </c>
      <c r="L896">
        <v>0</v>
      </c>
      <c r="M896">
        <v>0</v>
      </c>
      <c r="N896">
        <v>1200</v>
      </c>
    </row>
    <row r="897" spans="1:14" x14ac:dyDescent="0.25">
      <c r="A897">
        <v>839.02391799999998</v>
      </c>
      <c r="B897" s="1">
        <f>DATE(2012,8,17) + TIME(0,34,26)</f>
        <v>41138.023912037039</v>
      </c>
      <c r="C897">
        <v>80</v>
      </c>
      <c r="D897">
        <v>79.765800475999995</v>
      </c>
      <c r="E897">
        <v>50</v>
      </c>
      <c r="F897">
        <v>40.746177672999998</v>
      </c>
      <c r="G897">
        <v>1371.4158935999999</v>
      </c>
      <c r="H897">
        <v>1357.0577393000001</v>
      </c>
      <c r="I897">
        <v>1322.8452147999999</v>
      </c>
      <c r="J897">
        <v>1318.9550781</v>
      </c>
      <c r="K897">
        <v>1200</v>
      </c>
      <c r="L897">
        <v>0</v>
      </c>
      <c r="M897">
        <v>0</v>
      </c>
      <c r="N897">
        <v>1200</v>
      </c>
    </row>
    <row r="898" spans="1:14" x14ac:dyDescent="0.25">
      <c r="A898">
        <v>841.49475299999995</v>
      </c>
      <c r="B898" s="1">
        <f>DATE(2012,8,19) + TIME(11,52,26)</f>
        <v>41140.494745370372</v>
      </c>
      <c r="C898">
        <v>80</v>
      </c>
      <c r="D898">
        <v>79.766357421999999</v>
      </c>
      <c r="E898">
        <v>50</v>
      </c>
      <c r="F898">
        <v>40.674613952999998</v>
      </c>
      <c r="G898">
        <v>1371.3592529</v>
      </c>
      <c r="H898">
        <v>1357.0120850000001</v>
      </c>
      <c r="I898">
        <v>1322.8216553</v>
      </c>
      <c r="J898">
        <v>1318.9158935999999</v>
      </c>
      <c r="K898">
        <v>1200</v>
      </c>
      <c r="L898">
        <v>0</v>
      </c>
      <c r="M898">
        <v>0</v>
      </c>
      <c r="N898">
        <v>1200</v>
      </c>
    </row>
    <row r="899" spans="1:14" x14ac:dyDescent="0.25">
      <c r="A899">
        <v>844.02690900000005</v>
      </c>
      <c r="B899" s="1">
        <f>DATE(2012,8,22) + TIME(0,38,44)</f>
        <v>41143.026898148149</v>
      </c>
      <c r="C899">
        <v>80</v>
      </c>
      <c r="D899">
        <v>79.766921996999997</v>
      </c>
      <c r="E899">
        <v>50</v>
      </c>
      <c r="F899">
        <v>40.609191895000002</v>
      </c>
      <c r="G899">
        <v>1371.3023682</v>
      </c>
      <c r="H899">
        <v>1356.9659423999999</v>
      </c>
      <c r="I899">
        <v>1322.7988281</v>
      </c>
      <c r="J899">
        <v>1318.8775635</v>
      </c>
      <c r="K899">
        <v>1200</v>
      </c>
      <c r="L899">
        <v>0</v>
      </c>
      <c r="M899">
        <v>0</v>
      </c>
      <c r="N899">
        <v>1200</v>
      </c>
    </row>
    <row r="900" spans="1:14" x14ac:dyDescent="0.25">
      <c r="A900">
        <v>846.60371699999996</v>
      </c>
      <c r="B900" s="1">
        <f>DATE(2012,8,24) + TIME(14,29,21)</f>
        <v>41145.603715277779</v>
      </c>
      <c r="C900">
        <v>80</v>
      </c>
      <c r="D900">
        <v>79.767501831000004</v>
      </c>
      <c r="E900">
        <v>50</v>
      </c>
      <c r="F900">
        <v>40.550880432</v>
      </c>
      <c r="G900">
        <v>1371.2448730000001</v>
      </c>
      <c r="H900">
        <v>1356.9191894999999</v>
      </c>
      <c r="I900">
        <v>1322.7770995999999</v>
      </c>
      <c r="J900">
        <v>1318.8404541</v>
      </c>
      <c r="K900">
        <v>1200</v>
      </c>
      <c r="L900">
        <v>0</v>
      </c>
      <c r="M900">
        <v>0</v>
      </c>
      <c r="N900">
        <v>1200</v>
      </c>
    </row>
    <row r="901" spans="1:14" x14ac:dyDescent="0.25">
      <c r="A901">
        <v>849.23646499999995</v>
      </c>
      <c r="B901" s="1">
        <f>DATE(2012,8,27) + TIME(5,40,30)</f>
        <v>41148.236458333333</v>
      </c>
      <c r="C901">
        <v>80</v>
      </c>
      <c r="D901">
        <v>79.768081664999997</v>
      </c>
      <c r="E901">
        <v>50</v>
      </c>
      <c r="F901">
        <v>40.500473022000001</v>
      </c>
      <c r="G901">
        <v>1371.1872559000001</v>
      </c>
      <c r="H901">
        <v>1356.8723144999999</v>
      </c>
      <c r="I901">
        <v>1322.7564697</v>
      </c>
      <c r="J901">
        <v>1318.8048096</v>
      </c>
      <c r="K901">
        <v>1200</v>
      </c>
      <c r="L901">
        <v>0</v>
      </c>
      <c r="M901">
        <v>0</v>
      </c>
      <c r="N901">
        <v>1200</v>
      </c>
    </row>
    <row r="902" spans="1:14" x14ac:dyDescent="0.25">
      <c r="A902">
        <v>851.93705499999999</v>
      </c>
      <c r="B902" s="1">
        <f>DATE(2012,8,29) + TIME(22,29,21)</f>
        <v>41150.937048611115</v>
      </c>
      <c r="C902">
        <v>80</v>
      </c>
      <c r="D902">
        <v>79.768676757999998</v>
      </c>
      <c r="E902">
        <v>50</v>
      </c>
      <c r="F902">
        <v>40.458847046000002</v>
      </c>
      <c r="G902">
        <v>1371.1293945</v>
      </c>
      <c r="H902">
        <v>1356.8250731999999</v>
      </c>
      <c r="I902">
        <v>1322.7371826000001</v>
      </c>
      <c r="J902">
        <v>1318.7707519999999</v>
      </c>
      <c r="K902">
        <v>1200</v>
      </c>
      <c r="L902">
        <v>0</v>
      </c>
      <c r="M902">
        <v>0</v>
      </c>
      <c r="N902">
        <v>1200</v>
      </c>
    </row>
    <row r="903" spans="1:14" x14ac:dyDescent="0.25">
      <c r="A903">
        <v>854</v>
      </c>
      <c r="B903" s="1">
        <f>DATE(2012,9,1) + TIME(0,0,0)</f>
        <v>41153</v>
      </c>
      <c r="C903">
        <v>80</v>
      </c>
      <c r="D903">
        <v>79.769104003999999</v>
      </c>
      <c r="E903">
        <v>50</v>
      </c>
      <c r="F903">
        <v>40.431674956999998</v>
      </c>
      <c r="G903">
        <v>1371.0708007999999</v>
      </c>
      <c r="H903">
        <v>1356.7769774999999</v>
      </c>
      <c r="I903">
        <v>1322.7197266000001</v>
      </c>
      <c r="J903">
        <v>1318.7395019999999</v>
      </c>
      <c r="K903">
        <v>1200</v>
      </c>
      <c r="L903">
        <v>0</v>
      </c>
      <c r="M903">
        <v>0</v>
      </c>
      <c r="N903">
        <v>1200</v>
      </c>
    </row>
    <row r="904" spans="1:14" x14ac:dyDescent="0.25">
      <c r="A904">
        <v>856.73589800000002</v>
      </c>
      <c r="B904" s="1">
        <f>DATE(2012,9,3) + TIME(17,39,41)</f>
        <v>41155.735891203702</v>
      </c>
      <c r="C904">
        <v>80</v>
      </c>
      <c r="D904">
        <v>79.769714355000005</v>
      </c>
      <c r="E904">
        <v>50</v>
      </c>
      <c r="F904">
        <v>40.410427093999999</v>
      </c>
      <c r="G904">
        <v>1371.0268555</v>
      </c>
      <c r="H904">
        <v>1356.7408447</v>
      </c>
      <c r="I904">
        <v>1322.7060547000001</v>
      </c>
      <c r="J904">
        <v>1318.7143555</v>
      </c>
      <c r="K904">
        <v>1200</v>
      </c>
      <c r="L904">
        <v>0</v>
      </c>
      <c r="M904">
        <v>0</v>
      </c>
      <c r="N904">
        <v>1200</v>
      </c>
    </row>
    <row r="905" spans="1:14" x14ac:dyDescent="0.25">
      <c r="A905">
        <v>859.53601800000001</v>
      </c>
      <c r="B905" s="1">
        <f>DATE(2012,9,6) + TIME(12,51,51)</f>
        <v>41158.536006944443</v>
      </c>
      <c r="C905">
        <v>80</v>
      </c>
      <c r="D905">
        <v>79.770317078000005</v>
      </c>
      <c r="E905">
        <v>50</v>
      </c>
      <c r="F905">
        <v>40.400173187</v>
      </c>
      <c r="G905">
        <v>1370.9692382999999</v>
      </c>
      <c r="H905">
        <v>1356.6934814000001</v>
      </c>
      <c r="I905">
        <v>1322.6917725000001</v>
      </c>
      <c r="J905">
        <v>1318.6871338000001</v>
      </c>
      <c r="K905">
        <v>1200</v>
      </c>
      <c r="L905">
        <v>0</v>
      </c>
      <c r="M905">
        <v>0</v>
      </c>
      <c r="N905">
        <v>1200</v>
      </c>
    </row>
    <row r="906" spans="1:14" x14ac:dyDescent="0.25">
      <c r="A906">
        <v>862.38881400000002</v>
      </c>
      <c r="B906" s="1">
        <f>DATE(2012,9,9) + TIME(9,19,53)</f>
        <v>41161.388807870368</v>
      </c>
      <c r="C906">
        <v>80</v>
      </c>
      <c r="D906">
        <v>79.770927428999997</v>
      </c>
      <c r="E906">
        <v>50</v>
      </c>
      <c r="F906">
        <v>40.402622223000002</v>
      </c>
      <c r="G906">
        <v>1370.9111327999999</v>
      </c>
      <c r="H906">
        <v>1356.6456298999999</v>
      </c>
      <c r="I906">
        <v>1322.6790771000001</v>
      </c>
      <c r="J906">
        <v>1318.6619873</v>
      </c>
      <c r="K906">
        <v>1200</v>
      </c>
      <c r="L906">
        <v>0</v>
      </c>
      <c r="M906">
        <v>0</v>
      </c>
      <c r="N906">
        <v>1200</v>
      </c>
    </row>
    <row r="907" spans="1:14" x14ac:dyDescent="0.25">
      <c r="A907">
        <v>865.30806199999995</v>
      </c>
      <c r="B907" s="1">
        <f>DATE(2012,9,12) + TIME(7,23,36)</f>
        <v>41164.308055555557</v>
      </c>
      <c r="C907">
        <v>80</v>
      </c>
      <c r="D907">
        <v>79.771545410000002</v>
      </c>
      <c r="E907">
        <v>50</v>
      </c>
      <c r="F907">
        <v>40.419361115000001</v>
      </c>
      <c r="G907">
        <v>1370.8529053</v>
      </c>
      <c r="H907">
        <v>1356.5972899999999</v>
      </c>
      <c r="I907">
        <v>1322.6683350000001</v>
      </c>
      <c r="J907">
        <v>1318.6394043</v>
      </c>
      <c r="K907">
        <v>1200</v>
      </c>
      <c r="L907">
        <v>0</v>
      </c>
      <c r="M907">
        <v>0</v>
      </c>
      <c r="N907">
        <v>1200</v>
      </c>
    </row>
    <row r="908" spans="1:14" x14ac:dyDescent="0.25">
      <c r="A908">
        <v>868.309799</v>
      </c>
      <c r="B908" s="1">
        <f>DATE(2012,9,15) + TIME(7,26,6)</f>
        <v>41167.309791666667</v>
      </c>
      <c r="C908">
        <v>80</v>
      </c>
      <c r="D908">
        <v>79.772178650000001</v>
      </c>
      <c r="E908">
        <v>50</v>
      </c>
      <c r="F908">
        <v>40.452156066999997</v>
      </c>
      <c r="G908">
        <v>1370.7940673999999</v>
      </c>
      <c r="H908">
        <v>1356.5484618999999</v>
      </c>
      <c r="I908">
        <v>1322.659668</v>
      </c>
      <c r="J908">
        <v>1318.6199951000001</v>
      </c>
      <c r="K908">
        <v>1200</v>
      </c>
      <c r="L908">
        <v>0</v>
      </c>
      <c r="M908">
        <v>0</v>
      </c>
      <c r="N908">
        <v>1200</v>
      </c>
    </row>
    <row r="909" spans="1:14" x14ac:dyDescent="0.25">
      <c r="A909">
        <v>871.38896499999998</v>
      </c>
      <c r="B909" s="1">
        <f>DATE(2012,9,18) + TIME(9,20,6)</f>
        <v>41170.388958333337</v>
      </c>
      <c r="C909">
        <v>80</v>
      </c>
      <c r="D909">
        <v>79.772819518999995</v>
      </c>
      <c r="E909">
        <v>50</v>
      </c>
      <c r="F909">
        <v>40.502944946</v>
      </c>
      <c r="G909">
        <v>1370.7344971</v>
      </c>
      <c r="H909">
        <v>1356.4989014</v>
      </c>
      <c r="I909">
        <v>1322.6534423999999</v>
      </c>
      <c r="J909">
        <v>1318.6037598</v>
      </c>
      <c r="K909">
        <v>1200</v>
      </c>
      <c r="L909">
        <v>0</v>
      </c>
      <c r="M909">
        <v>0</v>
      </c>
      <c r="N909">
        <v>1200</v>
      </c>
    </row>
    <row r="910" spans="1:14" x14ac:dyDescent="0.25">
      <c r="A910">
        <v>874.50192600000003</v>
      </c>
      <c r="B910" s="1">
        <f>DATE(2012,9,21) + TIME(12,2,46)</f>
        <v>41173.501921296294</v>
      </c>
      <c r="C910">
        <v>80</v>
      </c>
      <c r="D910">
        <v>79.773460388000004</v>
      </c>
      <c r="E910">
        <v>50</v>
      </c>
      <c r="F910">
        <v>40.573299407999997</v>
      </c>
      <c r="G910">
        <v>1370.6744385</v>
      </c>
      <c r="H910">
        <v>1356.4487305</v>
      </c>
      <c r="I910">
        <v>1322.6499022999999</v>
      </c>
      <c r="J910">
        <v>1318.5914307</v>
      </c>
      <c r="K910">
        <v>1200</v>
      </c>
      <c r="L910">
        <v>0</v>
      </c>
      <c r="M910">
        <v>0</v>
      </c>
      <c r="N910">
        <v>1200</v>
      </c>
    </row>
    <row r="911" spans="1:14" x14ac:dyDescent="0.25">
      <c r="A911">
        <v>877.64259700000002</v>
      </c>
      <c r="B911" s="1">
        <f>DATE(2012,9,24) + TIME(15,25,20)</f>
        <v>41176.642592592594</v>
      </c>
      <c r="C911">
        <v>80</v>
      </c>
      <c r="D911">
        <v>79.774101256999998</v>
      </c>
      <c r="E911">
        <v>50</v>
      </c>
      <c r="F911">
        <v>40.664390564000001</v>
      </c>
      <c r="G911">
        <v>1370.6145019999999</v>
      </c>
      <c r="H911">
        <v>1356.3985596</v>
      </c>
      <c r="I911">
        <v>1322.6492920000001</v>
      </c>
      <c r="J911">
        <v>1318.583374</v>
      </c>
      <c r="K911">
        <v>1200</v>
      </c>
      <c r="L911">
        <v>0</v>
      </c>
      <c r="M911">
        <v>0</v>
      </c>
      <c r="N911">
        <v>1200</v>
      </c>
    </row>
    <row r="912" spans="1:14" x14ac:dyDescent="0.25">
      <c r="A912">
        <v>880.82583699999998</v>
      </c>
      <c r="B912" s="1">
        <f>DATE(2012,9,27) + TIME(19,49,12)</f>
        <v>41179.825833333336</v>
      </c>
      <c r="C912">
        <v>80</v>
      </c>
      <c r="D912">
        <v>79.774742126000007</v>
      </c>
      <c r="E912">
        <v>50</v>
      </c>
      <c r="F912">
        <v>40.777545928999999</v>
      </c>
      <c r="G912">
        <v>1370.5550536999999</v>
      </c>
      <c r="H912">
        <v>1356.3486327999999</v>
      </c>
      <c r="I912">
        <v>1322.6516113</v>
      </c>
      <c r="J912">
        <v>1318.5800781</v>
      </c>
      <c r="K912">
        <v>1200</v>
      </c>
      <c r="L912">
        <v>0</v>
      </c>
      <c r="M912">
        <v>0</v>
      </c>
      <c r="N912">
        <v>1200</v>
      </c>
    </row>
    <row r="913" spans="1:14" x14ac:dyDescent="0.25">
      <c r="A913">
        <v>884</v>
      </c>
      <c r="B913" s="1">
        <f>DATE(2012,10,1) + TIME(0,0,0)</f>
        <v>41183</v>
      </c>
      <c r="C913">
        <v>80</v>
      </c>
      <c r="D913">
        <v>79.775375366000006</v>
      </c>
      <c r="E913">
        <v>50</v>
      </c>
      <c r="F913">
        <v>40.913154601999999</v>
      </c>
      <c r="G913">
        <v>1370.4957274999999</v>
      </c>
      <c r="H913">
        <v>1356.2985839999999</v>
      </c>
      <c r="I913">
        <v>1322.6573486</v>
      </c>
      <c r="J913">
        <v>1318.5816649999999</v>
      </c>
      <c r="K913">
        <v>1200</v>
      </c>
      <c r="L913">
        <v>0</v>
      </c>
      <c r="M913">
        <v>0</v>
      </c>
      <c r="N913">
        <v>1200</v>
      </c>
    </row>
    <row r="914" spans="1:14" x14ac:dyDescent="0.25">
      <c r="A914">
        <v>887.24093800000003</v>
      </c>
      <c r="B914" s="1">
        <f>DATE(2012,10,4) + TIME(5,46,57)</f>
        <v>41186.240937499999</v>
      </c>
      <c r="C914">
        <v>80</v>
      </c>
      <c r="D914">
        <v>79.776016235</v>
      </c>
      <c r="E914">
        <v>50</v>
      </c>
      <c r="F914">
        <v>41.072738647000001</v>
      </c>
      <c r="G914">
        <v>1370.4373779</v>
      </c>
      <c r="H914">
        <v>1356.2493896000001</v>
      </c>
      <c r="I914">
        <v>1322.6661377</v>
      </c>
      <c r="J914">
        <v>1318.5882568</v>
      </c>
      <c r="K914">
        <v>1200</v>
      </c>
      <c r="L914">
        <v>0</v>
      </c>
      <c r="M914">
        <v>0</v>
      </c>
      <c r="N914">
        <v>1200</v>
      </c>
    </row>
    <row r="915" spans="1:14" x14ac:dyDescent="0.25">
      <c r="A915">
        <v>890.64561000000003</v>
      </c>
      <c r="B915" s="1">
        <f>DATE(2012,10,7) + TIME(15,29,40)</f>
        <v>41189.645601851851</v>
      </c>
      <c r="C915">
        <v>80</v>
      </c>
      <c r="D915">
        <v>79.776687621999997</v>
      </c>
      <c r="E915">
        <v>50</v>
      </c>
      <c r="F915">
        <v>41.260654449</v>
      </c>
      <c r="G915">
        <v>1370.3789062000001</v>
      </c>
      <c r="H915">
        <v>1356.1998291</v>
      </c>
      <c r="I915">
        <v>1322.6783447</v>
      </c>
      <c r="J915">
        <v>1318.6003418</v>
      </c>
      <c r="K915">
        <v>1200</v>
      </c>
      <c r="L915">
        <v>0</v>
      </c>
      <c r="M915">
        <v>0</v>
      </c>
      <c r="N915">
        <v>1200</v>
      </c>
    </row>
    <row r="916" spans="1:14" x14ac:dyDescent="0.25">
      <c r="A916">
        <v>894.11469899999997</v>
      </c>
      <c r="B916" s="1">
        <f>DATE(2012,10,11) + TIME(2,45,9)</f>
        <v>41193.114687499998</v>
      </c>
      <c r="C916">
        <v>80</v>
      </c>
      <c r="D916">
        <v>79.777359008999994</v>
      </c>
      <c r="E916">
        <v>50</v>
      </c>
      <c r="F916">
        <v>41.479019164999997</v>
      </c>
      <c r="G916">
        <v>1370.3184814000001</v>
      </c>
      <c r="H916">
        <v>1356.1485596</v>
      </c>
      <c r="I916">
        <v>1322.6948242000001</v>
      </c>
      <c r="J916">
        <v>1318.6185303</v>
      </c>
      <c r="K916">
        <v>1200</v>
      </c>
      <c r="L916">
        <v>0</v>
      </c>
      <c r="M916">
        <v>0</v>
      </c>
      <c r="N916">
        <v>1200</v>
      </c>
    </row>
    <row r="917" spans="1:14" x14ac:dyDescent="0.25">
      <c r="A917">
        <v>897.64633300000003</v>
      </c>
      <c r="B917" s="1">
        <f>DATE(2012,10,14) + TIME(15,30,43)</f>
        <v>41196.646331018521</v>
      </c>
      <c r="C917">
        <v>80</v>
      </c>
      <c r="D917">
        <v>79.778038025000001</v>
      </c>
      <c r="E917">
        <v>50</v>
      </c>
      <c r="F917">
        <v>41.728252411</v>
      </c>
      <c r="G917">
        <v>1370.2579346</v>
      </c>
      <c r="H917">
        <v>1356.0970459</v>
      </c>
      <c r="I917">
        <v>1322.7152100000001</v>
      </c>
      <c r="J917">
        <v>1318.6431885</v>
      </c>
      <c r="K917">
        <v>1200</v>
      </c>
      <c r="L917">
        <v>0</v>
      </c>
      <c r="M917">
        <v>0</v>
      </c>
      <c r="N917">
        <v>1200</v>
      </c>
    </row>
    <row r="918" spans="1:14" x14ac:dyDescent="0.25">
      <c r="A918">
        <v>901.25905499999999</v>
      </c>
      <c r="B918" s="1">
        <f>DATE(2012,10,18) + TIME(6,13,2)</f>
        <v>41200.259050925924</v>
      </c>
      <c r="C918">
        <v>80</v>
      </c>
      <c r="D918">
        <v>79.778724670000003</v>
      </c>
      <c r="E918">
        <v>50</v>
      </c>
      <c r="F918">
        <v>42.009513855000002</v>
      </c>
      <c r="G918">
        <v>1370.1973877</v>
      </c>
      <c r="H918">
        <v>1356.0454102000001</v>
      </c>
      <c r="I918">
        <v>1322.7398682</v>
      </c>
      <c r="J918">
        <v>1318.6744385</v>
      </c>
      <c r="K918">
        <v>1200</v>
      </c>
      <c r="L918">
        <v>0</v>
      </c>
      <c r="M918">
        <v>0</v>
      </c>
      <c r="N918">
        <v>1200</v>
      </c>
    </row>
    <row r="919" spans="1:14" x14ac:dyDescent="0.25">
      <c r="A919">
        <v>904.91790900000001</v>
      </c>
      <c r="B919" s="1">
        <f>DATE(2012,10,21) + TIME(22,1,47)</f>
        <v>41203.917905092596</v>
      </c>
      <c r="C919">
        <v>80</v>
      </c>
      <c r="D919">
        <v>79.779411315999994</v>
      </c>
      <c r="E919">
        <v>50</v>
      </c>
      <c r="F919">
        <v>42.322719573999997</v>
      </c>
      <c r="G919">
        <v>1370.1365966999999</v>
      </c>
      <c r="H919">
        <v>1355.9936522999999</v>
      </c>
      <c r="I919">
        <v>1322.769043</v>
      </c>
      <c r="J919">
        <v>1318.7126464999999</v>
      </c>
      <c r="K919">
        <v>1200</v>
      </c>
      <c r="L919">
        <v>0</v>
      </c>
      <c r="M919">
        <v>0</v>
      </c>
      <c r="N919">
        <v>1200</v>
      </c>
    </row>
    <row r="920" spans="1:14" x14ac:dyDescent="0.25">
      <c r="A920">
        <v>908.63641900000005</v>
      </c>
      <c r="B920" s="1">
        <f>DATE(2012,10,25) + TIME(15,16,26)</f>
        <v>41207.636412037034</v>
      </c>
      <c r="C920">
        <v>80</v>
      </c>
      <c r="D920">
        <v>79.780097960999996</v>
      </c>
      <c r="E920">
        <v>50</v>
      </c>
      <c r="F920">
        <v>42.667404175000001</v>
      </c>
      <c r="G920">
        <v>1370.0762939000001</v>
      </c>
      <c r="H920">
        <v>1355.9420166</v>
      </c>
      <c r="I920">
        <v>1322.8024902</v>
      </c>
      <c r="J920">
        <v>1318.7578125</v>
      </c>
      <c r="K920">
        <v>1200</v>
      </c>
      <c r="L920">
        <v>0</v>
      </c>
      <c r="M920">
        <v>0</v>
      </c>
      <c r="N920">
        <v>1200</v>
      </c>
    </row>
    <row r="921" spans="1:14" x14ac:dyDescent="0.25">
      <c r="A921">
        <v>912.38935700000002</v>
      </c>
      <c r="B921" s="1">
        <f>DATE(2012,10,29) + TIME(9,20,40)</f>
        <v>41211.389351851853</v>
      </c>
      <c r="C921">
        <v>80</v>
      </c>
      <c r="D921">
        <v>79.780784607000001</v>
      </c>
      <c r="E921">
        <v>50</v>
      </c>
      <c r="F921">
        <v>43.042087555000002</v>
      </c>
      <c r="G921">
        <v>1370.0163574000001</v>
      </c>
      <c r="H921">
        <v>1355.8907471</v>
      </c>
      <c r="I921">
        <v>1322.8402100000001</v>
      </c>
      <c r="J921">
        <v>1318.8099365</v>
      </c>
      <c r="K921">
        <v>1200</v>
      </c>
      <c r="L921">
        <v>0</v>
      </c>
      <c r="M921">
        <v>0</v>
      </c>
      <c r="N921">
        <v>1200</v>
      </c>
    </row>
    <row r="922" spans="1:14" x14ac:dyDescent="0.25">
      <c r="A922">
        <v>915</v>
      </c>
      <c r="B922" s="1">
        <f>DATE(2012,11,1) + TIME(0,0,0)</f>
        <v>41214</v>
      </c>
      <c r="C922">
        <v>80</v>
      </c>
      <c r="D922">
        <v>79.781234741000006</v>
      </c>
      <c r="E922">
        <v>50</v>
      </c>
      <c r="F922">
        <v>43.383964538999997</v>
      </c>
      <c r="G922">
        <v>1369.9572754000001</v>
      </c>
      <c r="H922">
        <v>1355.8400879000001</v>
      </c>
      <c r="I922">
        <v>1322.8840332</v>
      </c>
      <c r="J922">
        <v>1318.8671875</v>
      </c>
      <c r="K922">
        <v>1200</v>
      </c>
      <c r="L922">
        <v>0</v>
      </c>
      <c r="M922">
        <v>0</v>
      </c>
      <c r="N922">
        <v>1200</v>
      </c>
    </row>
    <row r="923" spans="1:14" x14ac:dyDescent="0.25">
      <c r="A923">
        <v>915.000001</v>
      </c>
      <c r="B923" s="1">
        <f>DATE(2012,11,1) + TIME(0,0,0)</f>
        <v>41214</v>
      </c>
      <c r="C923">
        <v>80</v>
      </c>
      <c r="D923">
        <v>79.781196593999994</v>
      </c>
      <c r="E923">
        <v>50</v>
      </c>
      <c r="F923">
        <v>43.384002686000002</v>
      </c>
      <c r="G923">
        <v>1355.5513916</v>
      </c>
      <c r="H923">
        <v>1342.9372559000001</v>
      </c>
      <c r="I923">
        <v>1327.1123047000001</v>
      </c>
      <c r="J923">
        <v>1323.1848144999999</v>
      </c>
      <c r="K923">
        <v>0</v>
      </c>
      <c r="L923">
        <v>1200</v>
      </c>
      <c r="M923">
        <v>1200</v>
      </c>
      <c r="N923">
        <v>0</v>
      </c>
    </row>
    <row r="924" spans="1:14" x14ac:dyDescent="0.25">
      <c r="A924">
        <v>915.00000399999999</v>
      </c>
      <c r="B924" s="1">
        <f>DATE(2012,11,1) + TIME(0,0,0)</f>
        <v>41214</v>
      </c>
      <c r="C924">
        <v>80</v>
      </c>
      <c r="D924">
        <v>79.781082153</v>
      </c>
      <c r="E924">
        <v>50</v>
      </c>
      <c r="F924">
        <v>43.384113311999997</v>
      </c>
      <c r="G924">
        <v>1354.7506103999999</v>
      </c>
      <c r="H924">
        <v>1342.1350098</v>
      </c>
      <c r="I924">
        <v>1327.8973389</v>
      </c>
      <c r="J924">
        <v>1324.005249</v>
      </c>
      <c r="K924">
        <v>0</v>
      </c>
      <c r="L924">
        <v>1200</v>
      </c>
      <c r="M924">
        <v>1200</v>
      </c>
      <c r="N924">
        <v>0</v>
      </c>
    </row>
    <row r="925" spans="1:14" x14ac:dyDescent="0.25">
      <c r="A925">
        <v>915.00001299999997</v>
      </c>
      <c r="B925" s="1">
        <f>DATE(2012,11,1) + TIME(0,0,1)</f>
        <v>41214.000011574077</v>
      </c>
      <c r="C925">
        <v>80</v>
      </c>
      <c r="D925">
        <v>79.780799865999995</v>
      </c>
      <c r="E925">
        <v>50</v>
      </c>
      <c r="F925">
        <v>43.384372710999997</v>
      </c>
      <c r="G925">
        <v>1352.7847899999999</v>
      </c>
      <c r="H925">
        <v>1340.1668701000001</v>
      </c>
      <c r="I925">
        <v>1329.7651367000001</v>
      </c>
      <c r="J925">
        <v>1325.9300536999999</v>
      </c>
      <c r="K925">
        <v>0</v>
      </c>
      <c r="L925">
        <v>1200</v>
      </c>
      <c r="M925">
        <v>1200</v>
      </c>
      <c r="N925">
        <v>0</v>
      </c>
    </row>
    <row r="926" spans="1:14" x14ac:dyDescent="0.25">
      <c r="A926">
        <v>915.00004000000001</v>
      </c>
      <c r="B926" s="1">
        <f>DATE(2012,11,1) + TIME(0,0,3)</f>
        <v>41214.000034722223</v>
      </c>
      <c r="C926">
        <v>80</v>
      </c>
      <c r="D926">
        <v>79.780250549000002</v>
      </c>
      <c r="E926">
        <v>50</v>
      </c>
      <c r="F926">
        <v>43.384853362999998</v>
      </c>
      <c r="G926">
        <v>1348.9328613</v>
      </c>
      <c r="H926">
        <v>1336.3133545000001</v>
      </c>
      <c r="I926">
        <v>1333.0952147999999</v>
      </c>
      <c r="J926">
        <v>1329.2850341999999</v>
      </c>
      <c r="K926">
        <v>0</v>
      </c>
      <c r="L926">
        <v>1200</v>
      </c>
      <c r="M926">
        <v>1200</v>
      </c>
      <c r="N926">
        <v>0</v>
      </c>
    </row>
    <row r="927" spans="1:14" x14ac:dyDescent="0.25">
      <c r="A927">
        <v>915.00012100000004</v>
      </c>
      <c r="B927" s="1">
        <f>DATE(2012,11,1) + TIME(0,0,10)</f>
        <v>41214.000115740739</v>
      </c>
      <c r="C927">
        <v>80</v>
      </c>
      <c r="D927">
        <v>79.779434203999998</v>
      </c>
      <c r="E927">
        <v>50</v>
      </c>
      <c r="F927">
        <v>43.385555267000001</v>
      </c>
      <c r="G927">
        <v>1343.2434082</v>
      </c>
      <c r="H927">
        <v>1330.6311035000001</v>
      </c>
      <c r="I927">
        <v>1337.1889647999999</v>
      </c>
      <c r="J927">
        <v>1333.3553466999999</v>
      </c>
      <c r="K927">
        <v>0</v>
      </c>
      <c r="L927">
        <v>1200</v>
      </c>
      <c r="M927">
        <v>1200</v>
      </c>
      <c r="N927">
        <v>0</v>
      </c>
    </row>
    <row r="928" spans="1:14" x14ac:dyDescent="0.25">
      <c r="A928">
        <v>915.00036399999999</v>
      </c>
      <c r="B928" s="1">
        <f>DATE(2012,11,1) + TIME(0,0,31)</f>
        <v>41214.000358796293</v>
      </c>
      <c r="C928">
        <v>80</v>
      </c>
      <c r="D928">
        <v>79.778427124000004</v>
      </c>
      <c r="E928">
        <v>50</v>
      </c>
      <c r="F928">
        <v>43.386650084999999</v>
      </c>
      <c r="G928">
        <v>1336.5367432</v>
      </c>
      <c r="H928">
        <v>1323.9384766000001</v>
      </c>
      <c r="I928">
        <v>1341.0383300999999</v>
      </c>
      <c r="J928">
        <v>1337.182251</v>
      </c>
      <c r="K928">
        <v>0</v>
      </c>
      <c r="L928">
        <v>1200</v>
      </c>
      <c r="M928">
        <v>1200</v>
      </c>
      <c r="N928">
        <v>0</v>
      </c>
    </row>
    <row r="929" spans="1:14" x14ac:dyDescent="0.25">
      <c r="A929">
        <v>915.00109299999997</v>
      </c>
      <c r="B929" s="1">
        <f>DATE(2012,11,1) + TIME(0,1,34)</f>
        <v>41214.001087962963</v>
      </c>
      <c r="C929">
        <v>80</v>
      </c>
      <c r="D929">
        <v>79.777267456000004</v>
      </c>
      <c r="E929">
        <v>50</v>
      </c>
      <c r="F929">
        <v>43.388942718999999</v>
      </c>
      <c r="G929">
        <v>1329.5847168</v>
      </c>
      <c r="H929">
        <v>1316.9718018000001</v>
      </c>
      <c r="I929">
        <v>1344.4385986</v>
      </c>
      <c r="J929">
        <v>1340.5689697</v>
      </c>
      <c r="K929">
        <v>0</v>
      </c>
      <c r="L929">
        <v>1200</v>
      </c>
      <c r="M929">
        <v>1200</v>
      </c>
      <c r="N929">
        <v>0</v>
      </c>
    </row>
    <row r="930" spans="1:14" x14ac:dyDescent="0.25">
      <c r="A930">
        <v>915.00328000000002</v>
      </c>
      <c r="B930" s="1">
        <f>DATE(2012,11,1) + TIME(0,4,43)</f>
        <v>41214.003275462965</v>
      </c>
      <c r="C930">
        <v>80</v>
      </c>
      <c r="D930">
        <v>79.775840759000005</v>
      </c>
      <c r="E930">
        <v>50</v>
      </c>
      <c r="F930">
        <v>43.394889831999997</v>
      </c>
      <c r="G930">
        <v>1323.3414307</v>
      </c>
      <c r="H930">
        <v>1310.6101074000001</v>
      </c>
      <c r="I930">
        <v>1346.7495117000001</v>
      </c>
      <c r="J930">
        <v>1342.8599853999999</v>
      </c>
      <c r="K930">
        <v>0</v>
      </c>
      <c r="L930">
        <v>1200</v>
      </c>
      <c r="M930">
        <v>1200</v>
      </c>
      <c r="N930">
        <v>0</v>
      </c>
    </row>
    <row r="931" spans="1:14" x14ac:dyDescent="0.25">
      <c r="A931">
        <v>915.00984100000005</v>
      </c>
      <c r="B931" s="1">
        <f>DATE(2012,11,1) + TIME(0,14,10)</f>
        <v>41214.009837962964</v>
      </c>
      <c r="C931">
        <v>80</v>
      </c>
      <c r="D931">
        <v>79.773551940999994</v>
      </c>
      <c r="E931">
        <v>50</v>
      </c>
      <c r="F931">
        <v>43.411930083999998</v>
      </c>
      <c r="G931">
        <v>1318.7193603999999</v>
      </c>
      <c r="H931">
        <v>1305.8491211</v>
      </c>
      <c r="I931">
        <v>1347.0170897999999</v>
      </c>
      <c r="J931">
        <v>1343.1168213000001</v>
      </c>
      <c r="K931">
        <v>0</v>
      </c>
      <c r="L931">
        <v>1200</v>
      </c>
      <c r="M931">
        <v>1200</v>
      </c>
      <c r="N931">
        <v>0</v>
      </c>
    </row>
    <row r="932" spans="1:14" x14ac:dyDescent="0.25">
      <c r="A932">
        <v>915.02952400000004</v>
      </c>
      <c r="B932" s="1">
        <f>DATE(2012,11,1) + TIME(0,42,30)</f>
        <v>41214.029513888891</v>
      </c>
      <c r="C932">
        <v>80</v>
      </c>
      <c r="D932">
        <v>79.768211364999999</v>
      </c>
      <c r="E932">
        <v>50</v>
      </c>
      <c r="F932">
        <v>43.462440491000002</v>
      </c>
      <c r="G932">
        <v>1315.7432861</v>
      </c>
      <c r="H932">
        <v>1302.8146973</v>
      </c>
      <c r="I932">
        <v>1345.8598632999999</v>
      </c>
      <c r="J932">
        <v>1341.9604492000001</v>
      </c>
      <c r="K932">
        <v>0</v>
      </c>
      <c r="L932">
        <v>1200</v>
      </c>
      <c r="M932">
        <v>1200</v>
      </c>
      <c r="N932">
        <v>0</v>
      </c>
    </row>
    <row r="933" spans="1:14" x14ac:dyDescent="0.25">
      <c r="A933">
        <v>915.088573</v>
      </c>
      <c r="B933" s="1">
        <f>DATE(2012,11,1) + TIME(2,7,32)</f>
        <v>41214.088564814818</v>
      </c>
      <c r="C933">
        <v>80</v>
      </c>
      <c r="D933">
        <v>79.753448485999996</v>
      </c>
      <c r="E933">
        <v>50</v>
      </c>
      <c r="F933">
        <v>43.610683440999999</v>
      </c>
      <c r="G933">
        <v>1313.9544678</v>
      </c>
      <c r="H933">
        <v>1301.0125731999999</v>
      </c>
      <c r="I933">
        <v>1344.5378418</v>
      </c>
      <c r="J933">
        <v>1340.6484375</v>
      </c>
      <c r="K933">
        <v>0</v>
      </c>
      <c r="L933">
        <v>1200</v>
      </c>
      <c r="M933">
        <v>1200</v>
      </c>
      <c r="N933">
        <v>0</v>
      </c>
    </row>
    <row r="934" spans="1:14" x14ac:dyDescent="0.25">
      <c r="A934">
        <v>915.24587899999995</v>
      </c>
      <c r="B934" s="1">
        <f>DATE(2012,11,1) + TIME(5,54,3)</f>
        <v>41214.245868055557</v>
      </c>
      <c r="C934">
        <v>80</v>
      </c>
      <c r="D934">
        <v>79.716178893999995</v>
      </c>
      <c r="E934">
        <v>50</v>
      </c>
      <c r="F934">
        <v>43.982170105000002</v>
      </c>
      <c r="G934">
        <v>1312.9801024999999</v>
      </c>
      <c r="H934">
        <v>1300.0345459</v>
      </c>
      <c r="I934">
        <v>1343.605957</v>
      </c>
      <c r="J934">
        <v>1339.7420654</v>
      </c>
      <c r="K934">
        <v>0</v>
      </c>
      <c r="L934">
        <v>1200</v>
      </c>
      <c r="M934">
        <v>1200</v>
      </c>
      <c r="N934">
        <v>0</v>
      </c>
    </row>
    <row r="935" spans="1:14" x14ac:dyDescent="0.25">
      <c r="A935">
        <v>915.40970500000003</v>
      </c>
      <c r="B935" s="1">
        <f>DATE(2012,11,1) + TIME(9,49,58)</f>
        <v>41214.409699074073</v>
      </c>
      <c r="C935">
        <v>80</v>
      </c>
      <c r="D935">
        <v>79.677909850999995</v>
      </c>
      <c r="E935">
        <v>50</v>
      </c>
      <c r="F935">
        <v>44.345478057999998</v>
      </c>
      <c r="G935">
        <v>1312.6550293</v>
      </c>
      <c r="H935">
        <v>1299.7078856999999</v>
      </c>
      <c r="I935">
        <v>1343.2576904</v>
      </c>
      <c r="J935">
        <v>1339.4134521000001</v>
      </c>
      <c r="K935">
        <v>0</v>
      </c>
      <c r="L935">
        <v>1200</v>
      </c>
      <c r="M935">
        <v>1200</v>
      </c>
      <c r="N935">
        <v>0</v>
      </c>
    </row>
    <row r="936" spans="1:14" x14ac:dyDescent="0.25">
      <c r="A936">
        <v>915.58103700000004</v>
      </c>
      <c r="B936" s="1">
        <f>DATE(2012,11,1) + TIME(13,56,41)</f>
        <v>41214.581030092595</v>
      </c>
      <c r="C936">
        <v>80</v>
      </c>
      <c r="D936">
        <v>79.638389587000006</v>
      </c>
      <c r="E936">
        <v>50</v>
      </c>
      <c r="F936">
        <v>44.701183319000002</v>
      </c>
      <c r="G936">
        <v>1312.5288086</v>
      </c>
      <c r="H936">
        <v>1299.5802002</v>
      </c>
      <c r="I936">
        <v>1343.0964355000001</v>
      </c>
      <c r="J936">
        <v>1339.2711182</v>
      </c>
      <c r="K936">
        <v>0</v>
      </c>
      <c r="L936">
        <v>1200</v>
      </c>
      <c r="M936">
        <v>1200</v>
      </c>
      <c r="N936">
        <v>0</v>
      </c>
    </row>
    <row r="937" spans="1:14" x14ac:dyDescent="0.25">
      <c r="A937">
        <v>915.76072099999999</v>
      </c>
      <c r="B937" s="1">
        <f>DATE(2012,11,1) + TIME(18,15,26)</f>
        <v>41214.760717592595</v>
      </c>
      <c r="C937">
        <v>80</v>
      </c>
      <c r="D937">
        <v>79.597457886000001</v>
      </c>
      <c r="E937">
        <v>50</v>
      </c>
      <c r="F937">
        <v>45.049259186</v>
      </c>
      <c r="G937">
        <v>1312.4768065999999</v>
      </c>
      <c r="H937">
        <v>1299.5268555</v>
      </c>
      <c r="I937">
        <v>1343.0076904</v>
      </c>
      <c r="J937">
        <v>1339.2005615</v>
      </c>
      <c r="K937">
        <v>0</v>
      </c>
      <c r="L937">
        <v>1200</v>
      </c>
      <c r="M937">
        <v>1200</v>
      </c>
      <c r="N937">
        <v>0</v>
      </c>
    </row>
    <row r="938" spans="1:14" x14ac:dyDescent="0.25">
      <c r="A938">
        <v>915.94972700000005</v>
      </c>
      <c r="B938" s="1">
        <f>DATE(2012,11,1) + TIME(22,47,36)</f>
        <v>41214.94972222222</v>
      </c>
      <c r="C938">
        <v>80</v>
      </c>
      <c r="D938">
        <v>79.554946899000001</v>
      </c>
      <c r="E938">
        <v>50</v>
      </c>
      <c r="F938">
        <v>45.389636993000003</v>
      </c>
      <c r="G938">
        <v>1312.4536132999999</v>
      </c>
      <c r="H938">
        <v>1299.5021973</v>
      </c>
      <c r="I938">
        <v>1342.9484863</v>
      </c>
      <c r="J938">
        <v>1339.1586914</v>
      </c>
      <c r="K938">
        <v>0</v>
      </c>
      <c r="L938">
        <v>1200</v>
      </c>
      <c r="M938">
        <v>1200</v>
      </c>
      <c r="N938">
        <v>0</v>
      </c>
    </row>
    <row r="939" spans="1:14" x14ac:dyDescent="0.25">
      <c r="A939">
        <v>916.14917400000002</v>
      </c>
      <c r="B939" s="1">
        <f>DATE(2012,11,2) + TIME(3,34,48)</f>
        <v>41215.14916666667</v>
      </c>
      <c r="C939">
        <v>80</v>
      </c>
      <c r="D939">
        <v>79.510665893999999</v>
      </c>
      <c r="E939">
        <v>50</v>
      </c>
      <c r="F939">
        <v>45.722190857000001</v>
      </c>
      <c r="G939">
        <v>1312.4412841999999</v>
      </c>
      <c r="H939">
        <v>1299.4884033000001</v>
      </c>
      <c r="I939">
        <v>1342.9014893000001</v>
      </c>
      <c r="J939">
        <v>1339.128418</v>
      </c>
      <c r="K939">
        <v>0</v>
      </c>
      <c r="L939">
        <v>1200</v>
      </c>
      <c r="M939">
        <v>1200</v>
      </c>
      <c r="N939">
        <v>0</v>
      </c>
    </row>
    <row r="940" spans="1:14" x14ac:dyDescent="0.25">
      <c r="A940">
        <v>916.36037699999997</v>
      </c>
      <c r="B940" s="1">
        <f>DATE(2012,11,2) + TIME(8,38,56)</f>
        <v>41215.36037037037</v>
      </c>
      <c r="C940">
        <v>80</v>
      </c>
      <c r="D940">
        <v>79.464401245000005</v>
      </c>
      <c r="E940">
        <v>50</v>
      </c>
      <c r="F940">
        <v>46.046756744</v>
      </c>
      <c r="G940">
        <v>1312.4329834</v>
      </c>
      <c r="H940">
        <v>1299.4783935999999</v>
      </c>
      <c r="I940">
        <v>1342.8602295000001</v>
      </c>
      <c r="J940">
        <v>1339.1031493999999</v>
      </c>
      <c r="K940">
        <v>0</v>
      </c>
      <c r="L940">
        <v>1200</v>
      </c>
      <c r="M940">
        <v>1200</v>
      </c>
      <c r="N940">
        <v>0</v>
      </c>
    </row>
    <row r="941" spans="1:14" x14ac:dyDescent="0.25">
      <c r="A941">
        <v>916.58490200000006</v>
      </c>
      <c r="B941" s="1">
        <f>DATE(2012,11,2) + TIME(14,2,15)</f>
        <v>41215.58489583333</v>
      </c>
      <c r="C941">
        <v>80</v>
      </c>
      <c r="D941">
        <v>79.415908813000001</v>
      </c>
      <c r="E941">
        <v>50</v>
      </c>
      <c r="F941">
        <v>46.363132477000001</v>
      </c>
      <c r="G941">
        <v>1312.4257812000001</v>
      </c>
      <c r="H941">
        <v>1299.4694824000001</v>
      </c>
      <c r="I941">
        <v>1342.8217772999999</v>
      </c>
      <c r="J941">
        <v>1339.0800781</v>
      </c>
      <c r="K941">
        <v>0</v>
      </c>
      <c r="L941">
        <v>1200</v>
      </c>
      <c r="M941">
        <v>1200</v>
      </c>
      <c r="N941">
        <v>0</v>
      </c>
    </row>
    <row r="942" spans="1:14" x14ac:dyDescent="0.25">
      <c r="A942">
        <v>916.82462399999997</v>
      </c>
      <c r="B942" s="1">
        <f>DATE(2012,11,2) + TIME(19,47,27)</f>
        <v>41215.824618055558</v>
      </c>
      <c r="C942">
        <v>80</v>
      </c>
      <c r="D942">
        <v>79.364875792999996</v>
      </c>
      <c r="E942">
        <v>50</v>
      </c>
      <c r="F942">
        <v>46.671058655000003</v>
      </c>
      <c r="G942">
        <v>1312.4187012</v>
      </c>
      <c r="H942">
        <v>1299.4604492000001</v>
      </c>
      <c r="I942">
        <v>1342.7851562000001</v>
      </c>
      <c r="J942">
        <v>1339.0581055</v>
      </c>
      <c r="K942">
        <v>0</v>
      </c>
      <c r="L942">
        <v>1200</v>
      </c>
      <c r="M942">
        <v>1200</v>
      </c>
      <c r="N942">
        <v>0</v>
      </c>
    </row>
    <row r="943" spans="1:14" x14ac:dyDescent="0.25">
      <c r="A943">
        <v>917.08182199999999</v>
      </c>
      <c r="B943" s="1">
        <f>DATE(2012,11,3) + TIME(1,57,49)</f>
        <v>41216.081817129627</v>
      </c>
      <c r="C943">
        <v>80</v>
      </c>
      <c r="D943">
        <v>79.310943604000002</v>
      </c>
      <c r="E943">
        <v>50</v>
      </c>
      <c r="F943">
        <v>46.970222473</v>
      </c>
      <c r="G943">
        <v>1312.4112548999999</v>
      </c>
      <c r="H943">
        <v>1299.4509277</v>
      </c>
      <c r="I943">
        <v>1342.75</v>
      </c>
      <c r="J943">
        <v>1339.0369873</v>
      </c>
      <c r="K943">
        <v>0</v>
      </c>
      <c r="L943">
        <v>1200</v>
      </c>
      <c r="M943">
        <v>1200</v>
      </c>
      <c r="N943">
        <v>0</v>
      </c>
    </row>
    <row r="944" spans="1:14" x14ac:dyDescent="0.25">
      <c r="A944">
        <v>917.35929799999997</v>
      </c>
      <c r="B944" s="1">
        <f>DATE(2012,11,3) + TIME(8,37,23)</f>
        <v>41216.359293981484</v>
      </c>
      <c r="C944">
        <v>80</v>
      </c>
      <c r="D944">
        <v>79.253700256000002</v>
      </c>
      <c r="E944">
        <v>50</v>
      </c>
      <c r="F944">
        <v>47.260257721000002</v>
      </c>
      <c r="G944">
        <v>1312.4034423999999</v>
      </c>
      <c r="H944">
        <v>1299.4407959</v>
      </c>
      <c r="I944">
        <v>1342.7160644999999</v>
      </c>
      <c r="J944">
        <v>1339.0166016000001</v>
      </c>
      <c r="K944">
        <v>0</v>
      </c>
      <c r="L944">
        <v>1200</v>
      </c>
      <c r="M944">
        <v>1200</v>
      </c>
      <c r="N944">
        <v>0</v>
      </c>
    </row>
    <row r="945" spans="1:14" x14ac:dyDescent="0.25">
      <c r="A945">
        <v>917.66054599999995</v>
      </c>
      <c r="B945" s="1">
        <f>DATE(2012,11,3) + TIME(15,51,11)</f>
        <v>41216.660543981481</v>
      </c>
      <c r="C945">
        <v>80</v>
      </c>
      <c r="D945">
        <v>79.192596436000002</v>
      </c>
      <c r="E945">
        <v>50</v>
      </c>
      <c r="F945">
        <v>47.540710449000002</v>
      </c>
      <c r="G945">
        <v>1312.3948975000001</v>
      </c>
      <c r="H945">
        <v>1299.4299315999999</v>
      </c>
      <c r="I945">
        <v>1342.6833495999999</v>
      </c>
      <c r="J945">
        <v>1338.996582</v>
      </c>
      <c r="K945">
        <v>0</v>
      </c>
      <c r="L945">
        <v>1200</v>
      </c>
      <c r="M945">
        <v>1200</v>
      </c>
      <c r="N945">
        <v>0</v>
      </c>
    </row>
    <row r="946" spans="1:14" x14ac:dyDescent="0.25">
      <c r="A946">
        <v>917.98999200000003</v>
      </c>
      <c r="B946" s="1">
        <f>DATE(2012,11,3) + TIME(23,45,35)</f>
        <v>41216.989988425928</v>
      </c>
      <c r="C946">
        <v>80</v>
      </c>
      <c r="D946">
        <v>79.126983643000003</v>
      </c>
      <c r="E946">
        <v>50</v>
      </c>
      <c r="F946">
        <v>47.811046599999997</v>
      </c>
      <c r="G946">
        <v>1312.3856201000001</v>
      </c>
      <c r="H946">
        <v>1299.4179687999999</v>
      </c>
      <c r="I946">
        <v>1342.6516113</v>
      </c>
      <c r="J946">
        <v>1338.9769286999999</v>
      </c>
      <c r="K946">
        <v>0</v>
      </c>
      <c r="L946">
        <v>1200</v>
      </c>
      <c r="M946">
        <v>1200</v>
      </c>
      <c r="N946">
        <v>0</v>
      </c>
    </row>
    <row r="947" spans="1:14" x14ac:dyDescent="0.25">
      <c r="A947">
        <v>918.35328100000004</v>
      </c>
      <c r="B947" s="1">
        <f>DATE(2012,11,4) + TIME(8,28,43)</f>
        <v>41217.353275462963</v>
      </c>
      <c r="C947">
        <v>80</v>
      </c>
      <c r="D947">
        <v>79.056045531999999</v>
      </c>
      <c r="E947">
        <v>50</v>
      </c>
      <c r="F947">
        <v>48.070575714</v>
      </c>
      <c r="G947">
        <v>1312.3754882999999</v>
      </c>
      <c r="H947">
        <v>1299.4049072</v>
      </c>
      <c r="I947">
        <v>1342.6207274999999</v>
      </c>
      <c r="J947">
        <v>1338.9576416</v>
      </c>
      <c r="K947">
        <v>0</v>
      </c>
      <c r="L947">
        <v>1200</v>
      </c>
      <c r="M947">
        <v>1200</v>
      </c>
      <c r="N947">
        <v>0</v>
      </c>
    </row>
    <row r="948" spans="1:14" x14ac:dyDescent="0.25">
      <c r="A948">
        <v>918.75803499999995</v>
      </c>
      <c r="B948" s="1">
        <f>DATE(2012,11,4) + TIME(18,11,34)</f>
        <v>41217.758032407408</v>
      </c>
      <c r="C948">
        <v>80</v>
      </c>
      <c r="D948">
        <v>78.978698730000005</v>
      </c>
      <c r="E948">
        <v>50</v>
      </c>
      <c r="F948">
        <v>48.318588257000002</v>
      </c>
      <c r="G948">
        <v>1312.3643798999999</v>
      </c>
      <c r="H948">
        <v>1299.3905029</v>
      </c>
      <c r="I948">
        <v>1342.5908202999999</v>
      </c>
      <c r="J948">
        <v>1338.9385986</v>
      </c>
      <c r="K948">
        <v>0</v>
      </c>
      <c r="L948">
        <v>1200</v>
      </c>
      <c r="M948">
        <v>1200</v>
      </c>
      <c r="N948">
        <v>0</v>
      </c>
    </row>
    <row r="949" spans="1:14" x14ac:dyDescent="0.25">
      <c r="A949">
        <v>919.21449500000006</v>
      </c>
      <c r="B949" s="1">
        <f>DATE(2012,11,5) + TIME(5,8,52)</f>
        <v>41218.214490740742</v>
      </c>
      <c r="C949">
        <v>80</v>
      </c>
      <c r="D949">
        <v>78.893531799000002</v>
      </c>
      <c r="E949">
        <v>50</v>
      </c>
      <c r="F949">
        <v>48.554164886000002</v>
      </c>
      <c r="G949">
        <v>1312.3519286999999</v>
      </c>
      <c r="H949">
        <v>1299.3743896000001</v>
      </c>
      <c r="I949">
        <v>1342.5615233999999</v>
      </c>
      <c r="J949">
        <v>1338.9195557</v>
      </c>
      <c r="K949">
        <v>0</v>
      </c>
      <c r="L949">
        <v>1200</v>
      </c>
      <c r="M949">
        <v>1200</v>
      </c>
      <c r="N949">
        <v>0</v>
      </c>
    </row>
    <row r="950" spans="1:14" x14ac:dyDescent="0.25">
      <c r="A950">
        <v>919.73698300000001</v>
      </c>
      <c r="B950" s="1">
        <f>DATE(2012,11,5) + TIME(17,41,15)</f>
        <v>41218.736979166664</v>
      </c>
      <c r="C950">
        <v>80</v>
      </c>
      <c r="D950">
        <v>78.798645019999995</v>
      </c>
      <c r="E950">
        <v>50</v>
      </c>
      <c r="F950">
        <v>48.776184082</v>
      </c>
      <c r="G950">
        <v>1312.3378906</v>
      </c>
      <c r="H950">
        <v>1299.3563231999999</v>
      </c>
      <c r="I950">
        <v>1342.5329589999999</v>
      </c>
      <c r="J950">
        <v>1338.9003906</v>
      </c>
      <c r="K950">
        <v>0</v>
      </c>
      <c r="L950">
        <v>1200</v>
      </c>
      <c r="M950">
        <v>1200</v>
      </c>
      <c r="N950">
        <v>0</v>
      </c>
    </row>
    <row r="951" spans="1:14" x14ac:dyDescent="0.25">
      <c r="A951">
        <v>920.346272</v>
      </c>
      <c r="B951" s="1">
        <f>DATE(2012,11,6) + TIME(8,18,37)</f>
        <v>41219.346261574072</v>
      </c>
      <c r="C951">
        <v>80</v>
      </c>
      <c r="D951">
        <v>78.691398621000005</v>
      </c>
      <c r="E951">
        <v>50</v>
      </c>
      <c r="F951">
        <v>48.983280182000001</v>
      </c>
      <c r="G951">
        <v>1312.3218993999999</v>
      </c>
      <c r="H951">
        <v>1299.3354492000001</v>
      </c>
      <c r="I951">
        <v>1342.5047606999999</v>
      </c>
      <c r="J951">
        <v>1338.8811035000001</v>
      </c>
      <c r="K951">
        <v>0</v>
      </c>
      <c r="L951">
        <v>1200</v>
      </c>
      <c r="M951">
        <v>1200</v>
      </c>
      <c r="N951">
        <v>0</v>
      </c>
    </row>
    <row r="952" spans="1:14" x14ac:dyDescent="0.25">
      <c r="A952">
        <v>921.07391399999995</v>
      </c>
      <c r="B952" s="1">
        <f>DATE(2012,11,7) + TIME(1,46,26)</f>
        <v>41220.073912037034</v>
      </c>
      <c r="C952">
        <v>80</v>
      </c>
      <c r="D952">
        <v>78.567993164000001</v>
      </c>
      <c r="E952">
        <v>50</v>
      </c>
      <c r="F952">
        <v>49.173778534</v>
      </c>
      <c r="G952">
        <v>1312.3032227000001</v>
      </c>
      <c r="H952">
        <v>1299.3112793</v>
      </c>
      <c r="I952">
        <v>1342.4768065999999</v>
      </c>
      <c r="J952">
        <v>1338.8613281</v>
      </c>
      <c r="K952">
        <v>0</v>
      </c>
      <c r="L952">
        <v>1200</v>
      </c>
      <c r="M952">
        <v>1200</v>
      </c>
      <c r="N952">
        <v>0</v>
      </c>
    </row>
    <row r="953" spans="1:14" x14ac:dyDescent="0.25">
      <c r="A953">
        <v>921.97066500000005</v>
      </c>
      <c r="B953" s="1">
        <f>DATE(2012,11,7) + TIME(23,17,45)</f>
        <v>41220.970659722225</v>
      </c>
      <c r="C953">
        <v>80</v>
      </c>
      <c r="D953">
        <v>78.422706603999998</v>
      </c>
      <c r="E953">
        <v>50</v>
      </c>
      <c r="F953">
        <v>49.345588683999999</v>
      </c>
      <c r="G953">
        <v>1312.2808838000001</v>
      </c>
      <c r="H953">
        <v>1299.2823486</v>
      </c>
      <c r="I953">
        <v>1342.4489745999999</v>
      </c>
      <c r="J953">
        <v>1338.8406981999999</v>
      </c>
      <c r="K953">
        <v>0</v>
      </c>
      <c r="L953">
        <v>1200</v>
      </c>
      <c r="M953">
        <v>1200</v>
      </c>
      <c r="N953">
        <v>0</v>
      </c>
    </row>
    <row r="954" spans="1:14" x14ac:dyDescent="0.25">
      <c r="A954">
        <v>922.89849100000004</v>
      </c>
      <c r="B954" s="1">
        <f>DATE(2012,11,8) + TIME(21,33,49)</f>
        <v>41221.8984837963</v>
      </c>
      <c r="C954">
        <v>80</v>
      </c>
      <c r="D954">
        <v>78.271987914999997</v>
      </c>
      <c r="E954">
        <v>50</v>
      </c>
      <c r="F954">
        <v>49.474697112999998</v>
      </c>
      <c r="G954">
        <v>1312.2523193</v>
      </c>
      <c r="H954">
        <v>1299.2473144999999</v>
      </c>
      <c r="I954">
        <v>1342.4254149999999</v>
      </c>
      <c r="J954">
        <v>1338.8217772999999</v>
      </c>
      <c r="K954">
        <v>0</v>
      </c>
      <c r="L954">
        <v>1200</v>
      </c>
      <c r="M954">
        <v>1200</v>
      </c>
      <c r="N954">
        <v>0</v>
      </c>
    </row>
    <row r="955" spans="1:14" x14ac:dyDescent="0.25">
      <c r="A955">
        <v>923.85816599999998</v>
      </c>
      <c r="B955" s="1">
        <f>DATE(2012,11,9) + TIME(20,35,45)</f>
        <v>41222.858159722222</v>
      </c>
      <c r="C955">
        <v>80</v>
      </c>
      <c r="D955">
        <v>78.116645813000005</v>
      </c>
      <c r="E955">
        <v>50</v>
      </c>
      <c r="F955">
        <v>49.570964813000003</v>
      </c>
      <c r="G955">
        <v>1312.2226562000001</v>
      </c>
      <c r="H955">
        <v>1299.2108154</v>
      </c>
      <c r="I955">
        <v>1342.4041748</v>
      </c>
      <c r="J955">
        <v>1338.8039550999999</v>
      </c>
      <c r="K955">
        <v>0</v>
      </c>
      <c r="L955">
        <v>1200</v>
      </c>
      <c r="M955">
        <v>1200</v>
      </c>
      <c r="N955">
        <v>0</v>
      </c>
    </row>
    <row r="956" spans="1:14" x14ac:dyDescent="0.25">
      <c r="A956">
        <v>924.84965399999999</v>
      </c>
      <c r="B956" s="1">
        <f>DATE(2012,11,10) + TIME(20,23,30)</f>
        <v>41223.849652777775</v>
      </c>
      <c r="C956">
        <v>80</v>
      </c>
      <c r="D956">
        <v>77.957412719999994</v>
      </c>
      <c r="E956">
        <v>50</v>
      </c>
      <c r="F956">
        <v>49.642211914000001</v>
      </c>
      <c r="G956">
        <v>1312.1918945</v>
      </c>
      <c r="H956">
        <v>1299.1727295000001</v>
      </c>
      <c r="I956">
        <v>1342.3847656</v>
      </c>
      <c r="J956">
        <v>1338.7869873</v>
      </c>
      <c r="K956">
        <v>0</v>
      </c>
      <c r="L956">
        <v>1200</v>
      </c>
      <c r="M956">
        <v>1200</v>
      </c>
      <c r="N956">
        <v>0</v>
      </c>
    </row>
    <row r="957" spans="1:14" x14ac:dyDescent="0.25">
      <c r="A957">
        <v>925.882025</v>
      </c>
      <c r="B957" s="1">
        <f>DATE(2012,11,11) + TIME(21,10,6)</f>
        <v>41224.882013888891</v>
      </c>
      <c r="C957">
        <v>80</v>
      </c>
      <c r="D957">
        <v>77.793884277000004</v>
      </c>
      <c r="E957">
        <v>50</v>
      </c>
      <c r="F957">
        <v>49.694953918000003</v>
      </c>
      <c r="G957">
        <v>1312.1599120999999</v>
      </c>
      <c r="H957">
        <v>1299.1329346</v>
      </c>
      <c r="I957">
        <v>1342.3668213000001</v>
      </c>
      <c r="J957">
        <v>1338.7709961</v>
      </c>
      <c r="K957">
        <v>0</v>
      </c>
      <c r="L957">
        <v>1200</v>
      </c>
      <c r="M957">
        <v>1200</v>
      </c>
      <c r="N957">
        <v>0</v>
      </c>
    </row>
    <row r="958" spans="1:14" x14ac:dyDescent="0.25">
      <c r="A958">
        <v>926.96427900000003</v>
      </c>
      <c r="B958" s="1">
        <f>DATE(2012,11,12) + TIME(23,8,33)</f>
        <v>41225.964270833334</v>
      </c>
      <c r="C958">
        <v>80</v>
      </c>
      <c r="D958">
        <v>77.625511169000006</v>
      </c>
      <c r="E958">
        <v>50</v>
      </c>
      <c r="F958">
        <v>49.733940124999997</v>
      </c>
      <c r="G958">
        <v>1312.1265868999999</v>
      </c>
      <c r="H958">
        <v>1299.0910644999999</v>
      </c>
      <c r="I958">
        <v>1342.3499756000001</v>
      </c>
      <c r="J958">
        <v>1338.7554932</v>
      </c>
      <c r="K958">
        <v>0</v>
      </c>
      <c r="L958">
        <v>1200</v>
      </c>
      <c r="M958">
        <v>1200</v>
      </c>
      <c r="N958">
        <v>0</v>
      </c>
    </row>
    <row r="959" spans="1:14" x14ac:dyDescent="0.25">
      <c r="A959">
        <v>928.10641299999997</v>
      </c>
      <c r="B959" s="1">
        <f>DATE(2012,11,14) + TIME(2,33,14)</f>
        <v>41227.106412037036</v>
      </c>
      <c r="C959">
        <v>80</v>
      </c>
      <c r="D959">
        <v>77.451599121000001</v>
      </c>
      <c r="E959">
        <v>50</v>
      </c>
      <c r="F959">
        <v>49.762714385999999</v>
      </c>
      <c r="G959">
        <v>1312.0913086</v>
      </c>
      <c r="H959">
        <v>1299.046875</v>
      </c>
      <c r="I959">
        <v>1342.3339844</v>
      </c>
      <c r="J959">
        <v>1338.7403564000001</v>
      </c>
      <c r="K959">
        <v>0</v>
      </c>
      <c r="L959">
        <v>1200</v>
      </c>
      <c r="M959">
        <v>1200</v>
      </c>
      <c r="N959">
        <v>0</v>
      </c>
    </row>
    <row r="960" spans="1:14" x14ac:dyDescent="0.25">
      <c r="A960">
        <v>929.31989599999997</v>
      </c>
      <c r="B960" s="1">
        <f>DATE(2012,11,15) + TIME(7,40,38)</f>
        <v>41228.319884259261</v>
      </c>
      <c r="C960">
        <v>80</v>
      </c>
      <c r="D960">
        <v>77.271263122999997</v>
      </c>
      <c r="E960">
        <v>50</v>
      </c>
      <c r="F960">
        <v>49.783927917</v>
      </c>
      <c r="G960">
        <v>1312.0539550999999</v>
      </c>
      <c r="H960">
        <v>1298.9996338000001</v>
      </c>
      <c r="I960">
        <v>1342.3187256000001</v>
      </c>
      <c r="J960">
        <v>1338.7257079999999</v>
      </c>
      <c r="K960">
        <v>0</v>
      </c>
      <c r="L960">
        <v>1200</v>
      </c>
      <c r="M960">
        <v>1200</v>
      </c>
      <c r="N960">
        <v>0</v>
      </c>
    </row>
    <row r="961" spans="1:14" x14ac:dyDescent="0.25">
      <c r="A961">
        <v>930.61828600000001</v>
      </c>
      <c r="B961" s="1">
        <f>DATE(2012,11,16) + TIME(14,50,19)</f>
        <v>41229.618275462963</v>
      </c>
      <c r="C961">
        <v>80</v>
      </c>
      <c r="D961">
        <v>77.083427428999997</v>
      </c>
      <c r="E961">
        <v>50</v>
      </c>
      <c r="F961">
        <v>49.799583435000002</v>
      </c>
      <c r="G961">
        <v>1312.0137939000001</v>
      </c>
      <c r="H961">
        <v>1298.9489745999999</v>
      </c>
      <c r="I961">
        <v>1342.3039550999999</v>
      </c>
      <c r="J961">
        <v>1338.7111815999999</v>
      </c>
      <c r="K961">
        <v>0</v>
      </c>
      <c r="L961">
        <v>1200</v>
      </c>
      <c r="M961">
        <v>1200</v>
      </c>
      <c r="N961">
        <v>0</v>
      </c>
    </row>
    <row r="962" spans="1:14" x14ac:dyDescent="0.25">
      <c r="A962">
        <v>932.01802899999996</v>
      </c>
      <c r="B962" s="1">
        <f>DATE(2012,11,18) + TIME(0,25,57)</f>
        <v>41231.018020833333</v>
      </c>
      <c r="C962">
        <v>80</v>
      </c>
      <c r="D962">
        <v>76.886756896999998</v>
      </c>
      <c r="E962">
        <v>50</v>
      </c>
      <c r="F962">
        <v>49.811187744000001</v>
      </c>
      <c r="G962">
        <v>1311.9705810999999</v>
      </c>
      <c r="H962">
        <v>1298.8941649999999</v>
      </c>
      <c r="I962">
        <v>1342.2894286999999</v>
      </c>
      <c r="J962">
        <v>1338.6967772999999</v>
      </c>
      <c r="K962">
        <v>0</v>
      </c>
      <c r="L962">
        <v>1200</v>
      </c>
      <c r="M962">
        <v>1200</v>
      </c>
      <c r="N962">
        <v>0</v>
      </c>
    </row>
    <row r="963" spans="1:14" x14ac:dyDescent="0.25">
      <c r="A963">
        <v>933.53956400000004</v>
      </c>
      <c r="B963" s="1">
        <f>DATE(2012,11,19) + TIME(12,56,58)</f>
        <v>41232.539560185185</v>
      </c>
      <c r="C963">
        <v>80</v>
      </c>
      <c r="D963">
        <v>76.679664611999996</v>
      </c>
      <c r="E963">
        <v>50</v>
      </c>
      <c r="F963">
        <v>49.819869994999998</v>
      </c>
      <c r="G963">
        <v>1311.9233397999999</v>
      </c>
      <c r="H963">
        <v>1298.8343506000001</v>
      </c>
      <c r="I963">
        <v>1342.2751464999999</v>
      </c>
      <c r="J963">
        <v>1338.6823730000001</v>
      </c>
      <c r="K963">
        <v>0</v>
      </c>
      <c r="L963">
        <v>1200</v>
      </c>
      <c r="M963">
        <v>1200</v>
      </c>
      <c r="N963">
        <v>0</v>
      </c>
    </row>
    <row r="964" spans="1:14" x14ac:dyDescent="0.25">
      <c r="A964">
        <v>935.20883500000002</v>
      </c>
      <c r="B964" s="1">
        <f>DATE(2012,11,21) + TIME(5,0,43)</f>
        <v>41234.208831018521</v>
      </c>
      <c r="C964">
        <v>80</v>
      </c>
      <c r="D964">
        <v>76.460136414000004</v>
      </c>
      <c r="E964">
        <v>50</v>
      </c>
      <c r="F964">
        <v>49.826469420999999</v>
      </c>
      <c r="G964">
        <v>1311.8714600000001</v>
      </c>
      <c r="H964">
        <v>1298.7683105000001</v>
      </c>
      <c r="I964">
        <v>1342.2609863</v>
      </c>
      <c r="J964">
        <v>1338.6679687999999</v>
      </c>
      <c r="K964">
        <v>0</v>
      </c>
      <c r="L964">
        <v>1200</v>
      </c>
      <c r="M964">
        <v>1200</v>
      </c>
      <c r="N964">
        <v>0</v>
      </c>
    </row>
    <row r="965" spans="1:14" x14ac:dyDescent="0.25">
      <c r="A965">
        <v>937.05956600000002</v>
      </c>
      <c r="B965" s="1">
        <f>DATE(2012,11,23) + TIME(1,25,46)</f>
        <v>41236.059560185182</v>
      </c>
      <c r="C965">
        <v>80</v>
      </c>
      <c r="D965">
        <v>76.225685119999994</v>
      </c>
      <c r="E965">
        <v>50</v>
      </c>
      <c r="F965">
        <v>49.831604003999999</v>
      </c>
      <c r="G965">
        <v>1311.8135986</v>
      </c>
      <c r="H965">
        <v>1298.6945800999999</v>
      </c>
      <c r="I965">
        <v>1342.2467041</v>
      </c>
      <c r="J965">
        <v>1338.6531981999999</v>
      </c>
      <c r="K965">
        <v>0</v>
      </c>
      <c r="L965">
        <v>1200</v>
      </c>
      <c r="M965">
        <v>1200</v>
      </c>
      <c r="N965">
        <v>0</v>
      </c>
    </row>
    <row r="966" spans="1:14" x14ac:dyDescent="0.25">
      <c r="A966">
        <v>939.13763100000006</v>
      </c>
      <c r="B966" s="1">
        <f>DATE(2012,11,25) + TIME(3,18,11)</f>
        <v>41238.137627314813</v>
      </c>
      <c r="C966">
        <v>80</v>
      </c>
      <c r="D966">
        <v>75.973060607999997</v>
      </c>
      <c r="E966">
        <v>50</v>
      </c>
      <c r="F966">
        <v>49.835731506000002</v>
      </c>
      <c r="G966">
        <v>1311.7485352000001</v>
      </c>
      <c r="H966">
        <v>1298.6112060999999</v>
      </c>
      <c r="I966">
        <v>1342.2322998</v>
      </c>
      <c r="J966">
        <v>1338.6381836</v>
      </c>
      <c r="K966">
        <v>0</v>
      </c>
      <c r="L966">
        <v>1200</v>
      </c>
      <c r="M966">
        <v>1200</v>
      </c>
      <c r="N966">
        <v>0</v>
      </c>
    </row>
    <row r="967" spans="1:14" x14ac:dyDescent="0.25">
      <c r="A967">
        <v>941.32774400000005</v>
      </c>
      <c r="B967" s="1">
        <f>DATE(2012,11,27) + TIME(7,51,57)</f>
        <v>41240.327743055554</v>
      </c>
      <c r="C967">
        <v>80</v>
      </c>
      <c r="D967">
        <v>75.709495544000006</v>
      </c>
      <c r="E967">
        <v>50</v>
      </c>
      <c r="F967">
        <v>49.838962555000002</v>
      </c>
      <c r="G967">
        <v>1311.6735839999999</v>
      </c>
      <c r="H967">
        <v>1298.5161132999999</v>
      </c>
      <c r="I967">
        <v>1342.2175293</v>
      </c>
      <c r="J967">
        <v>1338.6225586</v>
      </c>
      <c r="K967">
        <v>0</v>
      </c>
      <c r="L967">
        <v>1200</v>
      </c>
      <c r="M967">
        <v>1200</v>
      </c>
      <c r="N967">
        <v>0</v>
      </c>
    </row>
    <row r="968" spans="1:14" x14ac:dyDescent="0.25">
      <c r="A968">
        <v>943.67160799999999</v>
      </c>
      <c r="B968" s="1">
        <f>DATE(2012,11,29) + TIME(16,7,6)</f>
        <v>41242.671597222223</v>
      </c>
      <c r="C968">
        <v>80</v>
      </c>
      <c r="D968">
        <v>75.434967040999993</v>
      </c>
      <c r="E968">
        <v>50</v>
      </c>
      <c r="F968">
        <v>49.841609955000003</v>
      </c>
      <c r="G968">
        <v>1311.5928954999999</v>
      </c>
      <c r="H968">
        <v>1298.4124756000001</v>
      </c>
      <c r="I968">
        <v>1342.2034911999999</v>
      </c>
      <c r="J968">
        <v>1338.6074219</v>
      </c>
      <c r="K968">
        <v>0</v>
      </c>
      <c r="L968">
        <v>1200</v>
      </c>
      <c r="M968">
        <v>1200</v>
      </c>
      <c r="N968">
        <v>0</v>
      </c>
    </row>
    <row r="969" spans="1:14" x14ac:dyDescent="0.25">
      <c r="A969">
        <v>945</v>
      </c>
      <c r="B969" s="1">
        <f>DATE(2012,12,1) + TIME(0,0,0)</f>
        <v>41244</v>
      </c>
      <c r="C969">
        <v>80</v>
      </c>
      <c r="D969">
        <v>75.239936829000001</v>
      </c>
      <c r="E969">
        <v>50</v>
      </c>
      <c r="F969">
        <v>49.842899322999997</v>
      </c>
      <c r="G969">
        <v>1311.5017089999999</v>
      </c>
      <c r="H969">
        <v>1298.3046875</v>
      </c>
      <c r="I969">
        <v>1342.1890868999999</v>
      </c>
      <c r="J969">
        <v>1338.5916748</v>
      </c>
      <c r="K969">
        <v>0</v>
      </c>
      <c r="L969">
        <v>1200</v>
      </c>
      <c r="M969">
        <v>1200</v>
      </c>
      <c r="N969">
        <v>0</v>
      </c>
    </row>
    <row r="970" spans="1:14" x14ac:dyDescent="0.25">
      <c r="A970">
        <v>947.39056600000004</v>
      </c>
      <c r="B970" s="1">
        <f>DATE(2012,12,3) + TIME(9,22,24)</f>
        <v>41246.390555555554</v>
      </c>
      <c r="C970">
        <v>80</v>
      </c>
      <c r="D970">
        <v>74.982154846</v>
      </c>
      <c r="E970">
        <v>50</v>
      </c>
      <c r="F970">
        <v>49.844783782999997</v>
      </c>
      <c r="G970">
        <v>1311.4520264</v>
      </c>
      <c r="H970">
        <v>1298.2279053</v>
      </c>
      <c r="I970">
        <v>1342.1828613</v>
      </c>
      <c r="J970">
        <v>1338.5847168</v>
      </c>
      <c r="K970">
        <v>0</v>
      </c>
      <c r="L970">
        <v>1200</v>
      </c>
      <c r="M970">
        <v>1200</v>
      </c>
      <c r="N970">
        <v>0</v>
      </c>
    </row>
    <row r="971" spans="1:14" x14ac:dyDescent="0.25">
      <c r="A971">
        <v>949.838212</v>
      </c>
      <c r="B971" s="1">
        <f>DATE(2012,12,5) + TIME(20,7,1)</f>
        <v>41248.838206018518</v>
      </c>
      <c r="C971">
        <v>80</v>
      </c>
      <c r="D971">
        <v>74.716178893999995</v>
      </c>
      <c r="E971">
        <v>50</v>
      </c>
      <c r="F971">
        <v>49.846401215</v>
      </c>
      <c r="G971">
        <v>1311.3579102000001</v>
      </c>
      <c r="H971">
        <v>1298.1062012</v>
      </c>
      <c r="I971">
        <v>1342.1708983999999</v>
      </c>
      <c r="J971">
        <v>1338.5714111</v>
      </c>
      <c r="K971">
        <v>0</v>
      </c>
      <c r="L971">
        <v>1200</v>
      </c>
      <c r="M971">
        <v>1200</v>
      </c>
      <c r="N971">
        <v>0</v>
      </c>
    </row>
    <row r="972" spans="1:14" x14ac:dyDescent="0.25">
      <c r="A972">
        <v>952.31586400000003</v>
      </c>
      <c r="B972" s="1">
        <f>DATE(2012,12,8) + TIME(7,34,50)</f>
        <v>41251.31585648148</v>
      </c>
      <c r="C972">
        <v>80</v>
      </c>
      <c r="D972">
        <v>74.448295592999997</v>
      </c>
      <c r="E972">
        <v>50</v>
      </c>
      <c r="F972">
        <v>49.847797393999997</v>
      </c>
      <c r="G972">
        <v>1311.2585449000001</v>
      </c>
      <c r="H972">
        <v>1297.9759521000001</v>
      </c>
      <c r="I972">
        <v>1342.1597899999999</v>
      </c>
      <c r="J972">
        <v>1338.5587158000001</v>
      </c>
      <c r="K972">
        <v>0</v>
      </c>
      <c r="L972">
        <v>1200</v>
      </c>
      <c r="M972">
        <v>1200</v>
      </c>
      <c r="N972">
        <v>0</v>
      </c>
    </row>
    <row r="973" spans="1:14" x14ac:dyDescent="0.25">
      <c r="A973">
        <v>954.83149800000001</v>
      </c>
      <c r="B973" s="1">
        <f>DATE(2012,12,10) + TIME(19,57,21)</f>
        <v>41253.831493055557</v>
      </c>
      <c r="C973">
        <v>80</v>
      </c>
      <c r="D973">
        <v>74.181037903000004</v>
      </c>
      <c r="E973">
        <v>50</v>
      </c>
      <c r="F973">
        <v>49.849037170000003</v>
      </c>
      <c r="G973">
        <v>1311.1549072</v>
      </c>
      <c r="H973">
        <v>1297.838501</v>
      </c>
      <c r="I973">
        <v>1342.1495361</v>
      </c>
      <c r="J973">
        <v>1338.546875</v>
      </c>
      <c r="K973">
        <v>0</v>
      </c>
      <c r="L973">
        <v>1200</v>
      </c>
      <c r="M973">
        <v>1200</v>
      </c>
      <c r="N973">
        <v>0</v>
      </c>
    </row>
    <row r="974" spans="1:14" x14ac:dyDescent="0.25">
      <c r="A974">
        <v>957.39241400000003</v>
      </c>
      <c r="B974" s="1">
        <f>DATE(2012,12,13) + TIME(9,25,4)</f>
        <v>41256.392407407409</v>
      </c>
      <c r="C974">
        <v>80</v>
      </c>
      <c r="D974">
        <v>73.915252686000002</v>
      </c>
      <c r="E974">
        <v>50</v>
      </c>
      <c r="F974">
        <v>49.850154877000001</v>
      </c>
      <c r="G974">
        <v>1311.0463867000001</v>
      </c>
      <c r="H974">
        <v>1297.6931152</v>
      </c>
      <c r="I974">
        <v>1342.1400146000001</v>
      </c>
      <c r="J974">
        <v>1338.5356445</v>
      </c>
      <c r="K974">
        <v>0</v>
      </c>
      <c r="L974">
        <v>1200</v>
      </c>
      <c r="M974">
        <v>1200</v>
      </c>
      <c r="N974">
        <v>0</v>
      </c>
    </row>
    <row r="975" spans="1:14" x14ac:dyDescent="0.25">
      <c r="A975">
        <v>960.00470399999995</v>
      </c>
      <c r="B975" s="1">
        <f>DATE(2012,12,16) + TIME(0,6,46)</f>
        <v>41259.004699074074</v>
      </c>
      <c r="C975">
        <v>80</v>
      </c>
      <c r="D975">
        <v>73.650955199999999</v>
      </c>
      <c r="E975">
        <v>50</v>
      </c>
      <c r="F975">
        <v>49.851181029999999</v>
      </c>
      <c r="G975">
        <v>1310.9326172000001</v>
      </c>
      <c r="H975">
        <v>1297.5391846</v>
      </c>
      <c r="I975">
        <v>1342.1312256000001</v>
      </c>
      <c r="J975">
        <v>1338.5250243999999</v>
      </c>
      <c r="K975">
        <v>0</v>
      </c>
      <c r="L975">
        <v>1200</v>
      </c>
      <c r="M975">
        <v>1200</v>
      </c>
      <c r="N975">
        <v>0</v>
      </c>
    </row>
    <row r="976" spans="1:14" x14ac:dyDescent="0.25">
      <c r="A976">
        <v>962.63886600000001</v>
      </c>
      <c r="B976" s="1">
        <f>DATE(2012,12,18) + TIME(15,19,57)</f>
        <v>41261.638854166667</v>
      </c>
      <c r="C976">
        <v>80</v>
      </c>
      <c r="D976">
        <v>73.389564514</v>
      </c>
      <c r="E976">
        <v>50</v>
      </c>
      <c r="F976">
        <v>49.852127074999999</v>
      </c>
      <c r="G976">
        <v>1310.8128661999999</v>
      </c>
      <c r="H976">
        <v>1297.3760986</v>
      </c>
      <c r="I976">
        <v>1342.1229248</v>
      </c>
      <c r="J976">
        <v>1338.5148925999999</v>
      </c>
      <c r="K976">
        <v>0</v>
      </c>
      <c r="L976">
        <v>1200</v>
      </c>
      <c r="M976">
        <v>1200</v>
      </c>
      <c r="N976">
        <v>0</v>
      </c>
    </row>
    <row r="977" spans="1:14" x14ac:dyDescent="0.25">
      <c r="A977">
        <v>965.30361800000003</v>
      </c>
      <c r="B977" s="1">
        <f>DATE(2012,12,21) + TIME(7,17,12)</f>
        <v>41264.303611111114</v>
      </c>
      <c r="C977">
        <v>80</v>
      </c>
      <c r="D977">
        <v>73.130996703999998</v>
      </c>
      <c r="E977">
        <v>50</v>
      </c>
      <c r="F977">
        <v>49.853015900000003</v>
      </c>
      <c r="G977">
        <v>1310.6883545000001</v>
      </c>
      <c r="H977">
        <v>1297.2049560999999</v>
      </c>
      <c r="I977">
        <v>1342.1153564000001</v>
      </c>
      <c r="J977">
        <v>1338.5053711</v>
      </c>
      <c r="K977">
        <v>0</v>
      </c>
      <c r="L977">
        <v>1200</v>
      </c>
      <c r="M977">
        <v>1200</v>
      </c>
      <c r="N977">
        <v>0</v>
      </c>
    </row>
    <row r="978" spans="1:14" x14ac:dyDescent="0.25">
      <c r="A978">
        <v>968.00734</v>
      </c>
      <c r="B978" s="1">
        <f>DATE(2012,12,24) + TIME(0,10,34)</f>
        <v>41267.007337962961</v>
      </c>
      <c r="C978">
        <v>80</v>
      </c>
      <c r="D978">
        <v>72.874633789000001</v>
      </c>
      <c r="E978">
        <v>50</v>
      </c>
      <c r="F978">
        <v>49.853858948000003</v>
      </c>
      <c r="G978">
        <v>1310.5584716999999</v>
      </c>
      <c r="H978">
        <v>1297.0249022999999</v>
      </c>
      <c r="I978">
        <v>1342.1082764</v>
      </c>
      <c r="J978">
        <v>1338.4963379000001</v>
      </c>
      <c r="K978">
        <v>0</v>
      </c>
      <c r="L978">
        <v>1200</v>
      </c>
      <c r="M978">
        <v>1200</v>
      </c>
      <c r="N978">
        <v>0</v>
      </c>
    </row>
    <row r="979" spans="1:14" x14ac:dyDescent="0.25">
      <c r="A979">
        <v>970.75763099999995</v>
      </c>
      <c r="B979" s="1">
        <f>DATE(2012,12,26) + TIME(18,10,59)</f>
        <v>41269.757627314815</v>
      </c>
      <c r="C979">
        <v>80</v>
      </c>
      <c r="D979">
        <v>72.619606017999999</v>
      </c>
      <c r="E979">
        <v>50</v>
      </c>
      <c r="F979">
        <v>49.854671478</v>
      </c>
      <c r="G979">
        <v>1310.4226074000001</v>
      </c>
      <c r="H979">
        <v>1296.8352050999999</v>
      </c>
      <c r="I979">
        <v>1342.1018065999999</v>
      </c>
      <c r="J979">
        <v>1338.4876709</v>
      </c>
      <c r="K979">
        <v>0</v>
      </c>
      <c r="L979">
        <v>1200</v>
      </c>
      <c r="M979">
        <v>1200</v>
      </c>
      <c r="N979">
        <v>0</v>
      </c>
    </row>
    <row r="980" spans="1:14" x14ac:dyDescent="0.25">
      <c r="A980">
        <v>973.56221500000004</v>
      </c>
      <c r="B980" s="1">
        <f>DATE(2012,12,29) + TIME(13,29,35)</f>
        <v>41272.562210648146</v>
      </c>
      <c r="C980">
        <v>80</v>
      </c>
      <c r="D980">
        <v>72.364936829000001</v>
      </c>
      <c r="E980">
        <v>50</v>
      </c>
      <c r="F980">
        <v>49.855461120999998</v>
      </c>
      <c r="G980">
        <v>1310.2805175999999</v>
      </c>
      <c r="H980">
        <v>1296.6351318</v>
      </c>
      <c r="I980">
        <v>1342.0957031</v>
      </c>
      <c r="J980">
        <v>1338.4794922000001</v>
      </c>
      <c r="K980">
        <v>0</v>
      </c>
      <c r="L980">
        <v>1200</v>
      </c>
      <c r="M980">
        <v>1200</v>
      </c>
      <c r="N980">
        <v>0</v>
      </c>
    </row>
    <row r="981" spans="1:14" x14ac:dyDescent="0.25">
      <c r="A981">
        <v>976</v>
      </c>
      <c r="B981" s="1">
        <f>DATE(2013,1,1) + TIME(0,0,0)</f>
        <v>41275</v>
      </c>
      <c r="C981">
        <v>80</v>
      </c>
      <c r="D981">
        <v>72.129837035999998</v>
      </c>
      <c r="E981">
        <v>50</v>
      </c>
      <c r="F981">
        <v>49.856124878000003</v>
      </c>
      <c r="G981">
        <v>1310.1319579999999</v>
      </c>
      <c r="H981">
        <v>1296.4281006000001</v>
      </c>
      <c r="I981">
        <v>1342.0895995999999</v>
      </c>
      <c r="J981">
        <v>1338.4713135</v>
      </c>
      <c r="K981">
        <v>0</v>
      </c>
      <c r="L981">
        <v>1200</v>
      </c>
      <c r="M981">
        <v>1200</v>
      </c>
      <c r="N981">
        <v>0</v>
      </c>
    </row>
    <row r="982" spans="1:14" x14ac:dyDescent="0.25">
      <c r="A982">
        <v>978.83769500000005</v>
      </c>
      <c r="B982" s="1">
        <f>DATE(2013,1,3) + TIME(20,6,16)</f>
        <v>41277.837685185186</v>
      </c>
      <c r="C982">
        <v>80</v>
      </c>
      <c r="D982">
        <v>71.885749817000004</v>
      </c>
      <c r="E982">
        <v>50</v>
      </c>
      <c r="F982">
        <v>49.856864928999997</v>
      </c>
      <c r="G982">
        <v>1309.9968262</v>
      </c>
      <c r="H982">
        <v>1296.2301024999999</v>
      </c>
      <c r="I982">
        <v>1342.0854492000001</v>
      </c>
      <c r="J982">
        <v>1338.4652100000001</v>
      </c>
      <c r="K982">
        <v>0</v>
      </c>
      <c r="L982">
        <v>1200</v>
      </c>
      <c r="M982">
        <v>1200</v>
      </c>
      <c r="N982">
        <v>0</v>
      </c>
    </row>
    <row r="983" spans="1:14" x14ac:dyDescent="0.25">
      <c r="A983">
        <v>981.75844199999995</v>
      </c>
      <c r="B983" s="1">
        <f>DATE(2013,1,6) + TIME(18,12,9)</f>
        <v>41280.758437500001</v>
      </c>
      <c r="C983">
        <v>80</v>
      </c>
      <c r="D983">
        <v>71.636047363000003</v>
      </c>
      <c r="E983">
        <v>50</v>
      </c>
      <c r="F983">
        <v>49.857597351000003</v>
      </c>
      <c r="G983">
        <v>1309.8386230000001</v>
      </c>
      <c r="H983">
        <v>1296.003418</v>
      </c>
      <c r="I983">
        <v>1342.0805664</v>
      </c>
      <c r="J983">
        <v>1338.4582519999999</v>
      </c>
      <c r="K983">
        <v>0</v>
      </c>
      <c r="L983">
        <v>1200</v>
      </c>
      <c r="M983">
        <v>1200</v>
      </c>
      <c r="N983">
        <v>0</v>
      </c>
    </row>
    <row r="984" spans="1:14" x14ac:dyDescent="0.25">
      <c r="A984">
        <v>984.71063300000003</v>
      </c>
      <c r="B984" s="1">
        <f>DATE(2013,1,9) + TIME(17,3,18)</f>
        <v>41283.710625</v>
      </c>
      <c r="C984">
        <v>80</v>
      </c>
      <c r="D984">
        <v>71.383163452000005</v>
      </c>
      <c r="E984">
        <v>50</v>
      </c>
      <c r="F984">
        <v>49.858322143999999</v>
      </c>
      <c r="G984">
        <v>1309.6713867000001</v>
      </c>
      <c r="H984">
        <v>1295.7623291</v>
      </c>
      <c r="I984">
        <v>1342.0759277</v>
      </c>
      <c r="J984">
        <v>1338.4514160000001</v>
      </c>
      <c r="K984">
        <v>0</v>
      </c>
      <c r="L984">
        <v>1200</v>
      </c>
      <c r="M984">
        <v>1200</v>
      </c>
      <c r="N984">
        <v>0</v>
      </c>
    </row>
    <row r="985" spans="1:14" x14ac:dyDescent="0.25">
      <c r="A985">
        <v>987.69954399999995</v>
      </c>
      <c r="B985" s="1">
        <f>DATE(2013,1,12) + TIME(16,47,20)</f>
        <v>41286.699537037035</v>
      </c>
      <c r="C985">
        <v>80</v>
      </c>
      <c r="D985">
        <v>71.127922057999996</v>
      </c>
      <c r="E985">
        <v>50</v>
      </c>
      <c r="F985">
        <v>49.859031676999997</v>
      </c>
      <c r="G985">
        <v>1309.4978027</v>
      </c>
      <c r="H985">
        <v>1295.5098877</v>
      </c>
      <c r="I985">
        <v>1342.0716553</v>
      </c>
      <c r="J985">
        <v>1338.4449463000001</v>
      </c>
      <c r="K985">
        <v>0</v>
      </c>
      <c r="L985">
        <v>1200</v>
      </c>
      <c r="M985">
        <v>1200</v>
      </c>
      <c r="N985">
        <v>0</v>
      </c>
    </row>
    <row r="986" spans="1:14" x14ac:dyDescent="0.25">
      <c r="A986">
        <v>990.733835</v>
      </c>
      <c r="B986" s="1">
        <f>DATE(2013,1,15) + TIME(17,36,43)</f>
        <v>41289.733831018515</v>
      </c>
      <c r="C986">
        <v>80</v>
      </c>
      <c r="D986">
        <v>70.870063782000003</v>
      </c>
      <c r="E986">
        <v>50</v>
      </c>
      <c r="F986">
        <v>49.859733581999997</v>
      </c>
      <c r="G986">
        <v>1309.317749</v>
      </c>
      <c r="H986">
        <v>1295.2460937999999</v>
      </c>
      <c r="I986">
        <v>1342.067749</v>
      </c>
      <c r="J986">
        <v>1338.4387207</v>
      </c>
      <c r="K986">
        <v>0</v>
      </c>
      <c r="L986">
        <v>1200</v>
      </c>
      <c r="M986">
        <v>1200</v>
      </c>
      <c r="N986">
        <v>0</v>
      </c>
    </row>
    <row r="987" spans="1:14" x14ac:dyDescent="0.25">
      <c r="A987">
        <v>993.82055200000002</v>
      </c>
      <c r="B987" s="1">
        <f>DATE(2013,1,18) + TIME(19,41,35)</f>
        <v>41292.820543981485</v>
      </c>
      <c r="C987">
        <v>80</v>
      </c>
      <c r="D987">
        <v>70.608848571999999</v>
      </c>
      <c r="E987">
        <v>50</v>
      </c>
      <c r="F987">
        <v>49.860431671000001</v>
      </c>
      <c r="G987">
        <v>1309.1307373</v>
      </c>
      <c r="H987">
        <v>1294.9703368999999</v>
      </c>
      <c r="I987">
        <v>1342.0640868999999</v>
      </c>
      <c r="J987">
        <v>1338.4329834</v>
      </c>
      <c r="K987">
        <v>0</v>
      </c>
      <c r="L987">
        <v>1200</v>
      </c>
      <c r="M987">
        <v>1200</v>
      </c>
      <c r="N987">
        <v>0</v>
      </c>
    </row>
    <row r="988" spans="1:14" x14ac:dyDescent="0.25">
      <c r="A988">
        <v>996.95870100000002</v>
      </c>
      <c r="B988" s="1">
        <f>DATE(2013,1,21) + TIME(23,0,31)</f>
        <v>41295.958692129629</v>
      </c>
      <c r="C988">
        <v>80</v>
      </c>
      <c r="D988">
        <v>70.343612671000002</v>
      </c>
      <c r="E988">
        <v>50</v>
      </c>
      <c r="F988">
        <v>49.861122131000002</v>
      </c>
      <c r="G988">
        <v>1308.9364014</v>
      </c>
      <c r="H988">
        <v>1294.6821289</v>
      </c>
      <c r="I988">
        <v>1342.0607910000001</v>
      </c>
      <c r="J988">
        <v>1338.4273682</v>
      </c>
      <c r="K988">
        <v>0</v>
      </c>
      <c r="L988">
        <v>1200</v>
      </c>
      <c r="M988">
        <v>1200</v>
      </c>
      <c r="N988">
        <v>0</v>
      </c>
    </row>
    <row r="989" spans="1:14" x14ac:dyDescent="0.25">
      <c r="A989">
        <v>1000.131768</v>
      </c>
      <c r="B989" s="1">
        <f>DATE(2013,1,25) + TIME(3,9,44)</f>
        <v>41299.13175925926</v>
      </c>
      <c r="C989">
        <v>80</v>
      </c>
      <c r="D989">
        <v>70.074417113999999</v>
      </c>
      <c r="E989">
        <v>50</v>
      </c>
      <c r="F989">
        <v>49.861804962000001</v>
      </c>
      <c r="G989">
        <v>1308.7349853999999</v>
      </c>
      <c r="H989">
        <v>1294.3815918</v>
      </c>
      <c r="I989">
        <v>1342.0576172000001</v>
      </c>
      <c r="J989">
        <v>1338.4221190999999</v>
      </c>
      <c r="K989">
        <v>0</v>
      </c>
      <c r="L989">
        <v>1200</v>
      </c>
      <c r="M989">
        <v>1200</v>
      </c>
      <c r="N989">
        <v>0</v>
      </c>
    </row>
    <row r="990" spans="1:14" x14ac:dyDescent="0.25">
      <c r="A990">
        <v>1003.344811</v>
      </c>
      <c r="B990" s="1">
        <f>DATE(2013,1,28) + TIME(8,16,31)</f>
        <v>41302.34480324074</v>
      </c>
      <c r="C990">
        <v>80</v>
      </c>
      <c r="D990">
        <v>69.800605774000005</v>
      </c>
      <c r="E990">
        <v>50</v>
      </c>
      <c r="F990">
        <v>49.862483978</v>
      </c>
      <c r="G990">
        <v>1308.5272216999999</v>
      </c>
      <c r="H990">
        <v>1294.0698242000001</v>
      </c>
      <c r="I990">
        <v>1342.0548096</v>
      </c>
      <c r="J990">
        <v>1338.4171143000001</v>
      </c>
      <c r="K990">
        <v>0</v>
      </c>
      <c r="L990">
        <v>1200</v>
      </c>
      <c r="M990">
        <v>1200</v>
      </c>
      <c r="N990">
        <v>0</v>
      </c>
    </row>
    <row r="991" spans="1:14" x14ac:dyDescent="0.25">
      <c r="A991">
        <v>1006.6062030000001</v>
      </c>
      <c r="B991" s="1">
        <f>DATE(2013,1,31) + TIME(14,32,55)</f>
        <v>41305.606192129628</v>
      </c>
      <c r="C991">
        <v>80</v>
      </c>
      <c r="D991">
        <v>69.521217346</v>
      </c>
      <c r="E991">
        <v>50</v>
      </c>
      <c r="F991">
        <v>49.863151549999998</v>
      </c>
      <c r="G991">
        <v>1308.3131103999999</v>
      </c>
      <c r="H991">
        <v>1293.746582</v>
      </c>
      <c r="I991">
        <v>1342.0522461</v>
      </c>
      <c r="J991">
        <v>1338.4123535000001</v>
      </c>
      <c r="K991">
        <v>0</v>
      </c>
      <c r="L991">
        <v>1200</v>
      </c>
      <c r="M991">
        <v>1200</v>
      </c>
      <c r="N991">
        <v>0</v>
      </c>
    </row>
    <row r="992" spans="1:14" x14ac:dyDescent="0.25">
      <c r="A992">
        <v>1007</v>
      </c>
      <c r="B992" s="1">
        <f>DATE(2013,2,1) + TIME(0,0,0)</f>
        <v>41306</v>
      </c>
      <c r="C992">
        <v>80</v>
      </c>
      <c r="D992">
        <v>69.454895019999995</v>
      </c>
      <c r="E992">
        <v>50</v>
      </c>
      <c r="F992">
        <v>49.863239288000003</v>
      </c>
      <c r="G992">
        <v>1308.1136475000001</v>
      </c>
      <c r="H992">
        <v>1293.4942627</v>
      </c>
      <c r="I992">
        <v>1342.0462646000001</v>
      </c>
      <c r="J992">
        <v>1338.4046631000001</v>
      </c>
      <c r="K992">
        <v>0</v>
      </c>
      <c r="L992">
        <v>1200</v>
      </c>
      <c r="M992">
        <v>1200</v>
      </c>
      <c r="N992">
        <v>0</v>
      </c>
    </row>
    <row r="993" spans="1:14" x14ac:dyDescent="0.25">
      <c r="A993">
        <v>1010.317303</v>
      </c>
      <c r="B993" s="1">
        <f>DATE(2013,2,4) + TIME(7,36,55)</f>
        <v>41309.317303240743</v>
      </c>
      <c r="C993">
        <v>80</v>
      </c>
      <c r="D993">
        <v>69.185989379999995</v>
      </c>
      <c r="E993">
        <v>50</v>
      </c>
      <c r="F993">
        <v>49.863899230999998</v>
      </c>
      <c r="G993">
        <v>1308.0604248</v>
      </c>
      <c r="H993">
        <v>1293.3576660000001</v>
      </c>
      <c r="I993">
        <v>1342.0498047000001</v>
      </c>
      <c r="J993">
        <v>1338.4074707</v>
      </c>
      <c r="K993">
        <v>0</v>
      </c>
      <c r="L993">
        <v>1200</v>
      </c>
      <c r="M993">
        <v>1200</v>
      </c>
      <c r="N993">
        <v>0</v>
      </c>
    </row>
    <row r="994" spans="1:14" x14ac:dyDescent="0.25">
      <c r="A994">
        <v>1013.709782</v>
      </c>
      <c r="B994" s="1">
        <f>DATE(2013,2,7) + TIME(17,2,5)</f>
        <v>41312.709780092591</v>
      </c>
      <c r="C994">
        <v>80</v>
      </c>
      <c r="D994">
        <v>68.898880004999995</v>
      </c>
      <c r="E994">
        <v>50</v>
      </c>
      <c r="F994">
        <v>49.864562988000003</v>
      </c>
      <c r="G994">
        <v>1307.8350829999999</v>
      </c>
      <c r="H994">
        <v>1293.0158690999999</v>
      </c>
      <c r="I994">
        <v>1342.0476074000001</v>
      </c>
      <c r="J994">
        <v>1338.4033202999999</v>
      </c>
      <c r="K994">
        <v>0</v>
      </c>
      <c r="L994">
        <v>1200</v>
      </c>
      <c r="M994">
        <v>1200</v>
      </c>
      <c r="N994">
        <v>0</v>
      </c>
    </row>
    <row r="995" spans="1:14" x14ac:dyDescent="0.25">
      <c r="A995">
        <v>1017.1698709999999</v>
      </c>
      <c r="B995" s="1">
        <f>DATE(2013,2,11) + TIME(4,4,36)</f>
        <v>41316.169861111113</v>
      </c>
      <c r="C995">
        <v>80</v>
      </c>
      <c r="D995">
        <v>68.597747803000004</v>
      </c>
      <c r="E995">
        <v>50</v>
      </c>
      <c r="F995">
        <v>49.865222930999998</v>
      </c>
      <c r="G995">
        <v>1307.5999756000001</v>
      </c>
      <c r="H995">
        <v>1292.6557617000001</v>
      </c>
      <c r="I995">
        <v>1342.0456543</v>
      </c>
      <c r="J995">
        <v>1338.3992920000001</v>
      </c>
      <c r="K995">
        <v>0</v>
      </c>
      <c r="L995">
        <v>1200</v>
      </c>
      <c r="M995">
        <v>1200</v>
      </c>
      <c r="N995">
        <v>0</v>
      </c>
    </row>
    <row r="996" spans="1:14" x14ac:dyDescent="0.25">
      <c r="A996">
        <v>1020.679651</v>
      </c>
      <c r="B996" s="1">
        <f>DATE(2013,2,14) + TIME(16,18,41)</f>
        <v>41319.6796412037</v>
      </c>
      <c r="C996">
        <v>80</v>
      </c>
      <c r="D996">
        <v>68.284835814999994</v>
      </c>
      <c r="E996">
        <v>50</v>
      </c>
      <c r="F996">
        <v>49.865875244000001</v>
      </c>
      <c r="G996">
        <v>1307.3565673999999</v>
      </c>
      <c r="H996">
        <v>1292.2806396000001</v>
      </c>
      <c r="I996">
        <v>1342.0438231999999</v>
      </c>
      <c r="J996">
        <v>1338.3955077999999</v>
      </c>
      <c r="K996">
        <v>0</v>
      </c>
      <c r="L996">
        <v>1200</v>
      </c>
      <c r="M996">
        <v>1200</v>
      </c>
      <c r="N996">
        <v>0</v>
      </c>
    </row>
    <row r="997" spans="1:14" x14ac:dyDescent="0.25">
      <c r="A997">
        <v>1024.2430850000001</v>
      </c>
      <c r="B997" s="1">
        <f>DATE(2013,2,18) + TIME(5,50,2)</f>
        <v>41323.243078703701</v>
      </c>
      <c r="C997">
        <v>80</v>
      </c>
      <c r="D997">
        <v>67.960815429999997</v>
      </c>
      <c r="E997">
        <v>50</v>
      </c>
      <c r="F997">
        <v>49.866523743000002</v>
      </c>
      <c r="G997">
        <v>1307.1066894999999</v>
      </c>
      <c r="H997">
        <v>1291.8928223</v>
      </c>
      <c r="I997">
        <v>1342.0421143000001</v>
      </c>
      <c r="J997">
        <v>1338.3919678</v>
      </c>
      <c r="K997">
        <v>0</v>
      </c>
      <c r="L997">
        <v>1200</v>
      </c>
      <c r="M997">
        <v>1200</v>
      </c>
      <c r="N997">
        <v>0</v>
      </c>
    </row>
    <row r="998" spans="1:14" x14ac:dyDescent="0.25">
      <c r="A998">
        <v>1027.868696</v>
      </c>
      <c r="B998" s="1">
        <f>DATE(2013,2,21) + TIME(20,50,55)</f>
        <v>41326.868692129632</v>
      </c>
      <c r="C998">
        <v>80</v>
      </c>
      <c r="D998">
        <v>67.625221252000003</v>
      </c>
      <c r="E998">
        <v>50</v>
      </c>
      <c r="F998">
        <v>49.867168427000003</v>
      </c>
      <c r="G998">
        <v>1306.8504639</v>
      </c>
      <c r="H998">
        <v>1291.4926757999999</v>
      </c>
      <c r="I998">
        <v>1342.0406493999999</v>
      </c>
      <c r="J998">
        <v>1338.3886719</v>
      </c>
      <c r="K998">
        <v>0</v>
      </c>
      <c r="L998">
        <v>1200</v>
      </c>
      <c r="M998">
        <v>1200</v>
      </c>
      <c r="N998">
        <v>0</v>
      </c>
    </row>
    <row r="999" spans="1:14" x14ac:dyDescent="0.25">
      <c r="A999">
        <v>1031.557511</v>
      </c>
      <c r="B999" s="1">
        <f>DATE(2013,2,25) + TIME(13,22,48)</f>
        <v>41330.557500000003</v>
      </c>
      <c r="C999">
        <v>80</v>
      </c>
      <c r="D999">
        <v>67.277267456000004</v>
      </c>
      <c r="E999">
        <v>50</v>
      </c>
      <c r="F999">
        <v>49.867809295999997</v>
      </c>
      <c r="G999">
        <v>1306.5878906</v>
      </c>
      <c r="H999">
        <v>1291.0800781</v>
      </c>
      <c r="I999">
        <v>1342.0393065999999</v>
      </c>
      <c r="J999">
        <v>1338.3856201000001</v>
      </c>
      <c r="K999">
        <v>0</v>
      </c>
      <c r="L999">
        <v>1200</v>
      </c>
      <c r="M999">
        <v>1200</v>
      </c>
      <c r="N999">
        <v>0</v>
      </c>
    </row>
    <row r="1000" spans="1:14" x14ac:dyDescent="0.25">
      <c r="A1000">
        <v>1035</v>
      </c>
      <c r="B1000" s="1">
        <f>DATE(2013,3,1) + TIME(0,0,0)</f>
        <v>41334</v>
      </c>
      <c r="C1000">
        <v>80</v>
      </c>
      <c r="D1000">
        <v>66.929039001000007</v>
      </c>
      <c r="E1000">
        <v>50</v>
      </c>
      <c r="F1000">
        <v>49.868396758999999</v>
      </c>
      <c r="G1000">
        <v>1306.3200684000001</v>
      </c>
      <c r="H1000">
        <v>1290.6606445</v>
      </c>
      <c r="I1000">
        <v>1342.0379639</v>
      </c>
      <c r="J1000">
        <v>1338.3825684000001</v>
      </c>
      <c r="K1000">
        <v>0</v>
      </c>
      <c r="L1000">
        <v>1200</v>
      </c>
      <c r="M1000">
        <v>1200</v>
      </c>
      <c r="N1000">
        <v>0</v>
      </c>
    </row>
    <row r="1001" spans="1:14" x14ac:dyDescent="0.25">
      <c r="A1001">
        <v>1038.7387900000001</v>
      </c>
      <c r="B1001" s="1">
        <f>DATE(2013,3,4) + TIME(17,43,51)</f>
        <v>41337.73878472222</v>
      </c>
      <c r="C1001">
        <v>80</v>
      </c>
      <c r="D1001">
        <v>66.568084717000005</v>
      </c>
      <c r="E1001">
        <v>50</v>
      </c>
      <c r="F1001">
        <v>49.869014739999997</v>
      </c>
      <c r="G1001">
        <v>1306.0646973</v>
      </c>
      <c r="H1001">
        <v>1290.2498779</v>
      </c>
      <c r="I1001">
        <v>1342.0372314000001</v>
      </c>
      <c r="J1001">
        <v>1338.3803711</v>
      </c>
      <c r="K1001">
        <v>0</v>
      </c>
      <c r="L1001">
        <v>1200</v>
      </c>
      <c r="M1001">
        <v>1200</v>
      </c>
      <c r="N1001">
        <v>0</v>
      </c>
    </row>
    <row r="1002" spans="1:14" x14ac:dyDescent="0.25">
      <c r="A1002">
        <v>1042.6496159999999</v>
      </c>
      <c r="B1002" s="1">
        <f>DATE(2013,3,8) + TIME(15,35,26)</f>
        <v>41341.649606481478</v>
      </c>
      <c r="C1002">
        <v>80</v>
      </c>
      <c r="D1002">
        <v>66.185264587000006</v>
      </c>
      <c r="E1002">
        <v>50</v>
      </c>
      <c r="F1002">
        <v>49.869644164999997</v>
      </c>
      <c r="G1002">
        <v>1305.7905272999999</v>
      </c>
      <c r="H1002">
        <v>1289.8121338000001</v>
      </c>
      <c r="I1002">
        <v>1342.0362548999999</v>
      </c>
      <c r="J1002">
        <v>1338.3780518000001</v>
      </c>
      <c r="K1002">
        <v>0</v>
      </c>
      <c r="L1002">
        <v>1200</v>
      </c>
      <c r="M1002">
        <v>1200</v>
      </c>
      <c r="N1002">
        <v>0</v>
      </c>
    </row>
    <row r="1003" spans="1:14" x14ac:dyDescent="0.25">
      <c r="A1003">
        <v>1046.6571120000001</v>
      </c>
      <c r="B1003" s="1">
        <f>DATE(2013,3,12) + TIME(15,46,14)</f>
        <v>41345.657106481478</v>
      </c>
      <c r="C1003">
        <v>80</v>
      </c>
      <c r="D1003">
        <v>65.780677795000003</v>
      </c>
      <c r="E1003">
        <v>50</v>
      </c>
      <c r="F1003">
        <v>49.870273589999996</v>
      </c>
      <c r="G1003">
        <v>1305.5040283000001</v>
      </c>
      <c r="H1003">
        <v>1289.3530272999999</v>
      </c>
      <c r="I1003">
        <v>1342.0352783000001</v>
      </c>
      <c r="J1003">
        <v>1338.3757324000001</v>
      </c>
      <c r="K1003">
        <v>0</v>
      </c>
      <c r="L1003">
        <v>1200</v>
      </c>
      <c r="M1003">
        <v>1200</v>
      </c>
      <c r="N1003">
        <v>0</v>
      </c>
    </row>
    <row r="1004" spans="1:14" x14ac:dyDescent="0.25">
      <c r="A1004">
        <v>1050.744005</v>
      </c>
      <c r="B1004" s="1">
        <f>DATE(2013,3,16) + TIME(17,51,22)</f>
        <v>41349.744004629632</v>
      </c>
      <c r="C1004">
        <v>80</v>
      </c>
      <c r="D1004">
        <v>65.356262207</v>
      </c>
      <c r="E1004">
        <v>50</v>
      </c>
      <c r="F1004">
        <v>49.870899199999997</v>
      </c>
      <c r="G1004">
        <v>1305.2100829999999</v>
      </c>
      <c r="H1004">
        <v>1288.8786620999999</v>
      </c>
      <c r="I1004">
        <v>1342.0344238</v>
      </c>
      <c r="J1004">
        <v>1338.3735352000001</v>
      </c>
      <c r="K1004">
        <v>0</v>
      </c>
      <c r="L1004">
        <v>1200</v>
      </c>
      <c r="M1004">
        <v>1200</v>
      </c>
      <c r="N1004">
        <v>0</v>
      </c>
    </row>
    <row r="1005" spans="1:14" x14ac:dyDescent="0.25">
      <c r="A1005">
        <v>1054.909555</v>
      </c>
      <c r="B1005" s="1">
        <f>DATE(2013,3,20) + TIME(21,49,45)</f>
        <v>41353.909548611111</v>
      </c>
      <c r="C1005">
        <v>80</v>
      </c>
      <c r="D1005">
        <v>64.912963867000002</v>
      </c>
      <c r="E1005">
        <v>50</v>
      </c>
      <c r="F1005">
        <v>49.871520996000001</v>
      </c>
      <c r="G1005">
        <v>1304.9104004000001</v>
      </c>
      <c r="H1005">
        <v>1288.3920897999999</v>
      </c>
      <c r="I1005">
        <v>1342.0336914</v>
      </c>
      <c r="J1005">
        <v>1338.371582</v>
      </c>
      <c r="K1005">
        <v>0</v>
      </c>
      <c r="L1005">
        <v>1200</v>
      </c>
      <c r="M1005">
        <v>1200</v>
      </c>
      <c r="N1005">
        <v>0</v>
      </c>
    </row>
    <row r="1006" spans="1:14" x14ac:dyDescent="0.25">
      <c r="A1006">
        <v>1059.17327</v>
      </c>
      <c r="B1006" s="1">
        <f>DATE(2013,3,25) + TIME(4,9,30)</f>
        <v>41358.173263888886</v>
      </c>
      <c r="C1006">
        <v>80</v>
      </c>
      <c r="D1006">
        <v>64.450431824000006</v>
      </c>
      <c r="E1006">
        <v>50</v>
      </c>
      <c r="F1006">
        <v>49.872138976999999</v>
      </c>
      <c r="G1006">
        <v>1304.605957</v>
      </c>
      <c r="H1006">
        <v>1287.8941649999999</v>
      </c>
      <c r="I1006">
        <v>1342.0329589999999</v>
      </c>
      <c r="J1006">
        <v>1338.3698730000001</v>
      </c>
      <c r="K1006">
        <v>0</v>
      </c>
      <c r="L1006">
        <v>1200</v>
      </c>
      <c r="M1006">
        <v>1200</v>
      </c>
      <c r="N1006">
        <v>0</v>
      </c>
    </row>
    <row r="1007" spans="1:14" x14ac:dyDescent="0.25">
      <c r="A1007">
        <v>1063.53593</v>
      </c>
      <c r="B1007" s="1">
        <f>DATE(2013,3,29) + TIME(12,51,44)</f>
        <v>41362.535925925928</v>
      </c>
      <c r="C1007">
        <v>80</v>
      </c>
      <c r="D1007">
        <v>63.967651367000002</v>
      </c>
      <c r="E1007">
        <v>50</v>
      </c>
      <c r="F1007">
        <v>49.872753142999997</v>
      </c>
      <c r="G1007">
        <v>1304.2961425999999</v>
      </c>
      <c r="H1007">
        <v>1287.3843993999999</v>
      </c>
      <c r="I1007">
        <v>1342.0323486</v>
      </c>
      <c r="J1007">
        <v>1338.3682861</v>
      </c>
      <c r="K1007">
        <v>0</v>
      </c>
      <c r="L1007">
        <v>1200</v>
      </c>
      <c r="M1007">
        <v>1200</v>
      </c>
      <c r="N1007">
        <v>0</v>
      </c>
    </row>
    <row r="1008" spans="1:14" x14ac:dyDescent="0.25">
      <c r="A1008">
        <v>1066</v>
      </c>
      <c r="B1008" s="1">
        <f>DATE(2013,4,1) + TIME(0,0,0)</f>
        <v>41365</v>
      </c>
      <c r="C1008">
        <v>80</v>
      </c>
      <c r="D1008">
        <v>63.577804565000001</v>
      </c>
      <c r="E1008">
        <v>50</v>
      </c>
      <c r="F1008">
        <v>49.873096466</v>
      </c>
      <c r="G1008">
        <v>1303.9895019999999</v>
      </c>
      <c r="H1008">
        <v>1286.9086914</v>
      </c>
      <c r="I1008">
        <v>1342.0300293</v>
      </c>
      <c r="J1008">
        <v>1338.3653564000001</v>
      </c>
      <c r="K1008">
        <v>0</v>
      </c>
      <c r="L1008">
        <v>1200</v>
      </c>
      <c r="M1008">
        <v>1200</v>
      </c>
      <c r="N1008">
        <v>0</v>
      </c>
    </row>
    <row r="1009" spans="1:14" x14ac:dyDescent="0.25">
      <c r="A1009">
        <v>1070.473244</v>
      </c>
      <c r="B1009" s="1">
        <f>DATE(2013,4,5) + TIME(11,21,28)</f>
        <v>41369.473240740743</v>
      </c>
      <c r="C1009">
        <v>80</v>
      </c>
      <c r="D1009">
        <v>63.135974883999999</v>
      </c>
      <c r="E1009">
        <v>50</v>
      </c>
      <c r="F1009">
        <v>49.873703003000003</v>
      </c>
      <c r="G1009">
        <v>1303.7939452999999</v>
      </c>
      <c r="H1009">
        <v>1286.536499</v>
      </c>
      <c r="I1009">
        <v>1342.0317382999999</v>
      </c>
      <c r="J1009">
        <v>1338.3663329999999</v>
      </c>
      <c r="K1009">
        <v>0</v>
      </c>
      <c r="L1009">
        <v>1200</v>
      </c>
      <c r="M1009">
        <v>1200</v>
      </c>
      <c r="N1009">
        <v>0</v>
      </c>
    </row>
    <row r="1010" spans="1:14" x14ac:dyDescent="0.25">
      <c r="A1010">
        <v>1075.243054</v>
      </c>
      <c r="B1010" s="1">
        <f>DATE(2013,4,10) + TIME(5,49,59)</f>
        <v>41374.243043981478</v>
      </c>
      <c r="C1010">
        <v>80</v>
      </c>
      <c r="D1010">
        <v>62.622398376</v>
      </c>
      <c r="E1010">
        <v>50</v>
      </c>
      <c r="F1010">
        <v>49.874324799</v>
      </c>
      <c r="G1010">
        <v>1303.4842529</v>
      </c>
      <c r="H1010">
        <v>1286.0247803</v>
      </c>
      <c r="I1010">
        <v>1342.0308838000001</v>
      </c>
      <c r="J1010">
        <v>1338.3651123</v>
      </c>
      <c r="K1010">
        <v>0</v>
      </c>
      <c r="L1010">
        <v>1200</v>
      </c>
      <c r="M1010">
        <v>1200</v>
      </c>
      <c r="N1010">
        <v>0</v>
      </c>
    </row>
    <row r="1011" spans="1:14" x14ac:dyDescent="0.25">
      <c r="A1011">
        <v>1080.1511390000001</v>
      </c>
      <c r="B1011" s="1">
        <f>DATE(2013,4,15) + TIME(3,37,38)</f>
        <v>41379.151134259257</v>
      </c>
      <c r="C1011">
        <v>80</v>
      </c>
      <c r="D1011">
        <v>62.060249329000001</v>
      </c>
      <c r="E1011">
        <v>50</v>
      </c>
      <c r="F1011">
        <v>49.874950409</v>
      </c>
      <c r="G1011">
        <v>1303.1552733999999</v>
      </c>
      <c r="H1011">
        <v>1285.4748535000001</v>
      </c>
      <c r="I1011">
        <v>1342.0301514</v>
      </c>
      <c r="J1011">
        <v>1338.3638916</v>
      </c>
      <c r="K1011">
        <v>0</v>
      </c>
      <c r="L1011">
        <v>1200</v>
      </c>
      <c r="M1011">
        <v>1200</v>
      </c>
      <c r="N1011">
        <v>0</v>
      </c>
    </row>
    <row r="1012" spans="1:14" x14ac:dyDescent="0.25">
      <c r="A1012">
        <v>1085.224494</v>
      </c>
      <c r="B1012" s="1">
        <f>DATE(2013,4,20) + TIME(5,23,16)</f>
        <v>41384.224490740744</v>
      </c>
      <c r="C1012">
        <v>80</v>
      </c>
      <c r="D1012">
        <v>61.464023589999996</v>
      </c>
      <c r="E1012">
        <v>50</v>
      </c>
      <c r="F1012">
        <v>49.875576019</v>
      </c>
      <c r="G1012">
        <v>1302.8199463000001</v>
      </c>
      <c r="H1012">
        <v>1284.9066161999999</v>
      </c>
      <c r="I1012">
        <v>1342.0294189000001</v>
      </c>
      <c r="J1012">
        <v>1338.3629149999999</v>
      </c>
      <c r="K1012">
        <v>0</v>
      </c>
      <c r="L1012">
        <v>1200</v>
      </c>
      <c r="M1012">
        <v>1200</v>
      </c>
      <c r="N1012">
        <v>0</v>
      </c>
    </row>
    <row r="1013" spans="1:14" x14ac:dyDescent="0.25">
      <c r="A1013">
        <v>1090.430848</v>
      </c>
      <c r="B1013" s="1">
        <f>DATE(2013,4,25) + TIME(10,20,25)</f>
        <v>41389.430844907409</v>
      </c>
      <c r="C1013">
        <v>80</v>
      </c>
      <c r="D1013">
        <v>60.839721679999997</v>
      </c>
      <c r="E1013">
        <v>50</v>
      </c>
      <c r="F1013">
        <v>49.876197814999998</v>
      </c>
      <c r="G1013">
        <v>1302.4798584</v>
      </c>
      <c r="H1013">
        <v>1284.3250731999999</v>
      </c>
      <c r="I1013">
        <v>1342.0286865</v>
      </c>
      <c r="J1013">
        <v>1338.3620605000001</v>
      </c>
      <c r="K1013">
        <v>0</v>
      </c>
      <c r="L1013">
        <v>1200</v>
      </c>
      <c r="M1013">
        <v>1200</v>
      </c>
      <c r="N1013">
        <v>0</v>
      </c>
    </row>
    <row r="1014" spans="1:14" x14ac:dyDescent="0.25">
      <c r="A1014">
        <v>1093.215424</v>
      </c>
      <c r="B1014" s="1">
        <f>DATE(2013,4,28) + TIME(5,10,12)</f>
        <v>41392.215416666666</v>
      </c>
      <c r="C1014">
        <v>80</v>
      </c>
      <c r="D1014">
        <v>60.337043762</v>
      </c>
      <c r="E1014">
        <v>50</v>
      </c>
      <c r="F1014">
        <v>49.876522064</v>
      </c>
      <c r="G1014">
        <v>1302.1442870999999</v>
      </c>
      <c r="H1014">
        <v>1283.7897949000001</v>
      </c>
      <c r="I1014">
        <v>1342.0263672000001</v>
      </c>
      <c r="J1014">
        <v>1338.3597411999999</v>
      </c>
      <c r="K1014">
        <v>0</v>
      </c>
      <c r="L1014">
        <v>1200</v>
      </c>
      <c r="M1014">
        <v>1200</v>
      </c>
      <c r="N1014">
        <v>0</v>
      </c>
    </row>
    <row r="1015" spans="1:14" x14ac:dyDescent="0.25">
      <c r="A1015">
        <v>1096</v>
      </c>
      <c r="B1015" s="1">
        <f>DATE(2013,5,1) + TIME(0,0,0)</f>
        <v>41395</v>
      </c>
      <c r="C1015">
        <v>80</v>
      </c>
      <c r="D1015">
        <v>59.915355681999998</v>
      </c>
      <c r="E1015">
        <v>50</v>
      </c>
      <c r="F1015">
        <v>49.876842498999999</v>
      </c>
      <c r="G1015">
        <v>1301.9525146000001</v>
      </c>
      <c r="H1015">
        <v>1283.4296875</v>
      </c>
      <c r="I1015">
        <v>1342.0266113</v>
      </c>
      <c r="J1015">
        <v>1338.3599853999999</v>
      </c>
      <c r="K1015">
        <v>0</v>
      </c>
      <c r="L1015">
        <v>1200</v>
      </c>
      <c r="M1015">
        <v>1200</v>
      </c>
      <c r="N1015">
        <v>0</v>
      </c>
    </row>
    <row r="1016" spans="1:14" x14ac:dyDescent="0.25">
      <c r="A1016">
        <v>1096.0000010000001</v>
      </c>
      <c r="B1016" s="1">
        <f>DATE(2013,5,1) + TIME(0,0,0)</f>
        <v>41395</v>
      </c>
      <c r="C1016">
        <v>80</v>
      </c>
      <c r="D1016">
        <v>59.915405272999998</v>
      </c>
      <c r="E1016">
        <v>50</v>
      </c>
      <c r="F1016">
        <v>49.876808167</v>
      </c>
      <c r="G1016">
        <v>1321.6080322</v>
      </c>
      <c r="H1016">
        <v>1302.2658690999999</v>
      </c>
      <c r="I1016">
        <v>1338.0788574000001</v>
      </c>
      <c r="J1016">
        <v>1335.0667725000001</v>
      </c>
      <c r="K1016">
        <v>1200</v>
      </c>
      <c r="L1016">
        <v>0</v>
      </c>
      <c r="M1016">
        <v>0</v>
      </c>
      <c r="N1016">
        <v>1200</v>
      </c>
    </row>
    <row r="1017" spans="1:14" x14ac:dyDescent="0.25">
      <c r="A1017">
        <v>1096.000004</v>
      </c>
      <c r="B1017" s="1">
        <f>DATE(2013,5,1) + TIME(0,0,0)</f>
        <v>41395</v>
      </c>
      <c r="C1017">
        <v>80</v>
      </c>
      <c r="D1017">
        <v>59.915546417000002</v>
      </c>
      <c r="E1017">
        <v>50</v>
      </c>
      <c r="F1017">
        <v>49.876712799000003</v>
      </c>
      <c r="G1017">
        <v>1322.4344481999999</v>
      </c>
      <c r="H1017">
        <v>1303.1501464999999</v>
      </c>
      <c r="I1017">
        <v>1337.3176269999999</v>
      </c>
      <c r="J1017">
        <v>1334.3046875</v>
      </c>
      <c r="K1017">
        <v>1200</v>
      </c>
      <c r="L1017">
        <v>0</v>
      </c>
      <c r="M1017">
        <v>0</v>
      </c>
      <c r="N1017">
        <v>1200</v>
      </c>
    </row>
    <row r="1018" spans="1:14" x14ac:dyDescent="0.25">
      <c r="A1018">
        <v>1096.0000130000001</v>
      </c>
      <c r="B1018" s="1">
        <f>DATE(2013,5,1) + TIME(0,0,1)</f>
        <v>41395.000011574077</v>
      </c>
      <c r="C1018">
        <v>80</v>
      </c>
      <c r="D1018">
        <v>59.915920258</v>
      </c>
      <c r="E1018">
        <v>50</v>
      </c>
      <c r="F1018">
        <v>49.876491547000001</v>
      </c>
      <c r="G1018">
        <v>1324.5649414</v>
      </c>
      <c r="H1018">
        <v>1305.40625</v>
      </c>
      <c r="I1018">
        <v>1335.5646973</v>
      </c>
      <c r="J1018">
        <v>1332.5507812000001</v>
      </c>
      <c r="K1018">
        <v>1200</v>
      </c>
      <c r="L1018">
        <v>0</v>
      </c>
      <c r="M1018">
        <v>0</v>
      </c>
      <c r="N1018">
        <v>1200</v>
      </c>
    </row>
    <row r="1019" spans="1:14" x14ac:dyDescent="0.25">
      <c r="A1019">
        <v>1096.0000399999999</v>
      </c>
      <c r="B1019" s="1">
        <f>DATE(2013,5,1) + TIME(0,0,3)</f>
        <v>41395.000034722223</v>
      </c>
      <c r="C1019">
        <v>80</v>
      </c>
      <c r="D1019">
        <v>59.916767120000003</v>
      </c>
      <c r="E1019">
        <v>50</v>
      </c>
      <c r="F1019">
        <v>49.876113891999999</v>
      </c>
      <c r="G1019">
        <v>1329.1043701000001</v>
      </c>
      <c r="H1019">
        <v>1310.1202393000001</v>
      </c>
      <c r="I1019">
        <v>1332.5930175999999</v>
      </c>
      <c r="J1019">
        <v>1329.5792236</v>
      </c>
      <c r="K1019">
        <v>1200</v>
      </c>
      <c r="L1019">
        <v>0</v>
      </c>
      <c r="M1019">
        <v>0</v>
      </c>
      <c r="N1019">
        <v>1200</v>
      </c>
    </row>
    <row r="1020" spans="1:14" x14ac:dyDescent="0.25">
      <c r="A1020">
        <v>1096.000121</v>
      </c>
      <c r="B1020" s="1">
        <f>DATE(2013,5,1) + TIME(0,0,10)</f>
        <v>41395.000115740739</v>
      </c>
      <c r="C1020">
        <v>80</v>
      </c>
      <c r="D1020">
        <v>59.918434142999999</v>
      </c>
      <c r="E1020">
        <v>50</v>
      </c>
      <c r="F1020">
        <v>49.875667571999998</v>
      </c>
      <c r="G1020">
        <v>1336.4517822</v>
      </c>
      <c r="H1020">
        <v>1317.5753173999999</v>
      </c>
      <c r="I1020">
        <v>1329.1427002</v>
      </c>
      <c r="J1020">
        <v>1326.1348877</v>
      </c>
      <c r="K1020">
        <v>1200</v>
      </c>
      <c r="L1020">
        <v>0</v>
      </c>
      <c r="M1020">
        <v>0</v>
      </c>
      <c r="N1020">
        <v>1200</v>
      </c>
    </row>
    <row r="1021" spans="1:14" x14ac:dyDescent="0.25">
      <c r="A1021">
        <v>1096.000364</v>
      </c>
      <c r="B1021" s="1">
        <f>DATE(2013,5,1) + TIME(0,0,31)</f>
        <v>41395.000358796293</v>
      </c>
      <c r="C1021">
        <v>80</v>
      </c>
      <c r="D1021">
        <v>59.921710967999999</v>
      </c>
      <c r="E1021">
        <v>50</v>
      </c>
      <c r="F1021">
        <v>49.875217438</v>
      </c>
      <c r="G1021">
        <v>1345.7259521000001</v>
      </c>
      <c r="H1021">
        <v>1326.8459473</v>
      </c>
      <c r="I1021">
        <v>1325.9584961</v>
      </c>
      <c r="J1021">
        <v>1322.9495850000001</v>
      </c>
      <c r="K1021">
        <v>1200</v>
      </c>
      <c r="L1021">
        <v>0</v>
      </c>
      <c r="M1021">
        <v>0</v>
      </c>
      <c r="N1021">
        <v>1200</v>
      </c>
    </row>
    <row r="1022" spans="1:14" x14ac:dyDescent="0.25">
      <c r="A1022">
        <v>1096.0010930000001</v>
      </c>
      <c r="B1022" s="1">
        <f>DATE(2013,5,1) + TIME(0,1,34)</f>
        <v>41395.001087962963</v>
      </c>
      <c r="C1022">
        <v>80</v>
      </c>
      <c r="D1022">
        <v>59.929218292000002</v>
      </c>
      <c r="E1022">
        <v>50</v>
      </c>
      <c r="F1022">
        <v>49.87468338</v>
      </c>
      <c r="G1022">
        <v>1355.8760986</v>
      </c>
      <c r="H1022">
        <v>1336.9272461</v>
      </c>
      <c r="I1022">
        <v>1322.9772949000001</v>
      </c>
      <c r="J1022">
        <v>1319.9442139</v>
      </c>
      <c r="K1022">
        <v>1200</v>
      </c>
      <c r="L1022">
        <v>0</v>
      </c>
      <c r="M1022">
        <v>0</v>
      </c>
      <c r="N1022">
        <v>1200</v>
      </c>
    </row>
    <row r="1023" spans="1:14" x14ac:dyDescent="0.25">
      <c r="A1023">
        <v>1096.0032799999999</v>
      </c>
      <c r="B1023" s="1">
        <f>DATE(2013,5,1) + TIME(0,4,43)</f>
        <v>41395.003275462965</v>
      </c>
      <c r="C1023">
        <v>80</v>
      </c>
      <c r="D1023">
        <v>59.949150084999999</v>
      </c>
      <c r="E1023">
        <v>50</v>
      </c>
      <c r="F1023">
        <v>49.873905182000001</v>
      </c>
      <c r="G1023">
        <v>1365.6931152</v>
      </c>
      <c r="H1023">
        <v>1346.6212158000001</v>
      </c>
      <c r="I1023">
        <v>1320.6536865</v>
      </c>
      <c r="J1023">
        <v>1317.5653076000001</v>
      </c>
      <c r="K1023">
        <v>1200</v>
      </c>
      <c r="L1023">
        <v>0</v>
      </c>
      <c r="M1023">
        <v>0</v>
      </c>
      <c r="N1023">
        <v>1200</v>
      </c>
    </row>
    <row r="1024" spans="1:14" x14ac:dyDescent="0.25">
      <c r="A1024">
        <v>1096.0098410000001</v>
      </c>
      <c r="B1024" s="1">
        <f>DATE(2013,5,1) + TIME(0,14,10)</f>
        <v>41395.009837962964</v>
      </c>
      <c r="C1024">
        <v>80</v>
      </c>
      <c r="D1024">
        <v>60.006301880000002</v>
      </c>
      <c r="E1024">
        <v>50</v>
      </c>
      <c r="F1024">
        <v>49.872394561999997</v>
      </c>
      <c r="G1024">
        <v>1373.1683350000001</v>
      </c>
      <c r="H1024">
        <v>1353.9785156</v>
      </c>
      <c r="I1024">
        <v>1320.2749022999999</v>
      </c>
      <c r="J1024">
        <v>1317.1394043</v>
      </c>
      <c r="K1024">
        <v>1200</v>
      </c>
      <c r="L1024">
        <v>0</v>
      </c>
      <c r="M1024">
        <v>0</v>
      </c>
      <c r="N1024">
        <v>1200</v>
      </c>
    </row>
    <row r="1025" spans="1:14" x14ac:dyDescent="0.25">
      <c r="A1025">
        <v>1096.029524</v>
      </c>
      <c r="B1025" s="1">
        <f>DATE(2013,5,1) + TIME(0,42,30)</f>
        <v>41395.029513888891</v>
      </c>
      <c r="C1025">
        <v>80</v>
      </c>
      <c r="D1025">
        <v>60.174484253000003</v>
      </c>
      <c r="E1025">
        <v>50</v>
      </c>
      <c r="F1025">
        <v>49.868190765000001</v>
      </c>
      <c r="G1025">
        <v>1377.4971923999999</v>
      </c>
      <c r="H1025">
        <v>1358.2861327999999</v>
      </c>
      <c r="I1025">
        <v>1321.5545654</v>
      </c>
      <c r="J1025">
        <v>1318.4061279</v>
      </c>
      <c r="K1025">
        <v>1200</v>
      </c>
      <c r="L1025">
        <v>0</v>
      </c>
      <c r="M1025">
        <v>0</v>
      </c>
      <c r="N1025">
        <v>1200</v>
      </c>
    </row>
    <row r="1026" spans="1:14" x14ac:dyDescent="0.25">
      <c r="A1026">
        <v>1096.088573</v>
      </c>
      <c r="B1026" s="1">
        <f>DATE(2013,5,1) + TIME(2,7,32)</f>
        <v>41395.088564814818</v>
      </c>
      <c r="C1026">
        <v>80</v>
      </c>
      <c r="D1026">
        <v>60.665542602999999</v>
      </c>
      <c r="E1026">
        <v>50</v>
      </c>
      <c r="F1026">
        <v>49.855548859000002</v>
      </c>
      <c r="G1026">
        <v>1379.5814209</v>
      </c>
      <c r="H1026">
        <v>1360.4895019999999</v>
      </c>
      <c r="I1026">
        <v>1323.0333252</v>
      </c>
      <c r="J1026">
        <v>1319.8847656</v>
      </c>
      <c r="K1026">
        <v>1200</v>
      </c>
      <c r="L1026">
        <v>0</v>
      </c>
      <c r="M1026">
        <v>0</v>
      </c>
      <c r="N1026">
        <v>1200</v>
      </c>
    </row>
    <row r="1027" spans="1:14" x14ac:dyDescent="0.25">
      <c r="A1027">
        <v>1096.175103</v>
      </c>
      <c r="B1027" s="1">
        <f>DATE(2013,5,1) + TIME(4,12,8)</f>
        <v>41395.175092592595</v>
      </c>
      <c r="C1027">
        <v>80</v>
      </c>
      <c r="D1027">
        <v>61.359466552999997</v>
      </c>
      <c r="E1027">
        <v>50</v>
      </c>
      <c r="F1027">
        <v>49.837215424</v>
      </c>
      <c r="G1027">
        <v>1380.2354736</v>
      </c>
      <c r="H1027">
        <v>1361.3197021000001</v>
      </c>
      <c r="I1027">
        <v>1323.7980957</v>
      </c>
      <c r="J1027">
        <v>1320.6496582</v>
      </c>
      <c r="K1027">
        <v>1200</v>
      </c>
      <c r="L1027">
        <v>0</v>
      </c>
      <c r="M1027">
        <v>0</v>
      </c>
      <c r="N1027">
        <v>1200</v>
      </c>
    </row>
    <row r="1028" spans="1:14" x14ac:dyDescent="0.25">
      <c r="A1028">
        <v>1096.2636110000001</v>
      </c>
      <c r="B1028" s="1">
        <f>DATE(2013,5,1) + TIME(6,19,36)</f>
        <v>41395.263611111113</v>
      </c>
      <c r="C1028">
        <v>80</v>
      </c>
      <c r="D1028">
        <v>62.043952941999997</v>
      </c>
      <c r="E1028">
        <v>50</v>
      </c>
      <c r="F1028">
        <v>49.81867218</v>
      </c>
      <c r="G1028">
        <v>1380.3966064000001</v>
      </c>
      <c r="H1028">
        <v>1361.6425781</v>
      </c>
      <c r="I1028">
        <v>1324.1506348</v>
      </c>
      <c r="J1028">
        <v>1321.0018310999999</v>
      </c>
      <c r="K1028">
        <v>1200</v>
      </c>
      <c r="L1028">
        <v>0</v>
      </c>
      <c r="M1028">
        <v>0</v>
      </c>
      <c r="N1028">
        <v>1200</v>
      </c>
    </row>
    <row r="1029" spans="1:14" x14ac:dyDescent="0.25">
      <c r="A1029">
        <v>1096.3542210000001</v>
      </c>
      <c r="B1029" s="1">
        <f>DATE(2013,5,1) + TIME(8,30,4)</f>
        <v>41395.354212962964</v>
      </c>
      <c r="C1029">
        <v>80</v>
      </c>
      <c r="D1029">
        <v>62.719081879000001</v>
      </c>
      <c r="E1029">
        <v>50</v>
      </c>
      <c r="F1029">
        <v>49.799934387</v>
      </c>
      <c r="G1029">
        <v>1380.3743896000001</v>
      </c>
      <c r="H1029">
        <v>1361.7770995999999</v>
      </c>
      <c r="I1029">
        <v>1324.3331298999999</v>
      </c>
      <c r="J1029">
        <v>1321.1839600000001</v>
      </c>
      <c r="K1029">
        <v>1200</v>
      </c>
      <c r="L1029">
        <v>0</v>
      </c>
      <c r="M1029">
        <v>0</v>
      </c>
      <c r="N1029">
        <v>1200</v>
      </c>
    </row>
    <row r="1030" spans="1:14" x14ac:dyDescent="0.25">
      <c r="A1030">
        <v>1096.447044</v>
      </c>
      <c r="B1030" s="1">
        <f>DATE(2013,5,1) + TIME(10,43,44)</f>
        <v>41395.44703703704</v>
      </c>
      <c r="C1030">
        <v>80</v>
      </c>
      <c r="D1030">
        <v>63.384784697999997</v>
      </c>
      <c r="E1030">
        <v>50</v>
      </c>
      <c r="F1030">
        <v>49.780994415000002</v>
      </c>
      <c r="G1030">
        <v>1380.2684326000001</v>
      </c>
      <c r="H1030">
        <v>1361.8227539</v>
      </c>
      <c r="I1030">
        <v>1324.4315185999999</v>
      </c>
      <c r="J1030">
        <v>1321.2817382999999</v>
      </c>
      <c r="K1030">
        <v>1200</v>
      </c>
      <c r="L1030">
        <v>0</v>
      </c>
      <c r="M1030">
        <v>0</v>
      </c>
      <c r="N1030">
        <v>1200</v>
      </c>
    </row>
    <row r="1031" spans="1:14" x14ac:dyDescent="0.25">
      <c r="A1031">
        <v>1096.542211</v>
      </c>
      <c r="B1031" s="1">
        <f>DATE(2013,5,1) + TIME(13,0,47)</f>
        <v>41395.542210648149</v>
      </c>
      <c r="C1031">
        <v>80</v>
      </c>
      <c r="D1031">
        <v>64.041030883999994</v>
      </c>
      <c r="E1031">
        <v>50</v>
      </c>
      <c r="F1031">
        <v>49.761848450000002</v>
      </c>
      <c r="G1031">
        <v>1380.1214600000001</v>
      </c>
      <c r="H1031">
        <v>1361.8221435999999</v>
      </c>
      <c r="I1031">
        <v>1324.4847411999999</v>
      </c>
      <c r="J1031">
        <v>1321.3344727000001</v>
      </c>
      <c r="K1031">
        <v>1200</v>
      </c>
      <c r="L1031">
        <v>0</v>
      </c>
      <c r="M1031">
        <v>0</v>
      </c>
      <c r="N1031">
        <v>1200</v>
      </c>
    </row>
    <row r="1032" spans="1:14" x14ac:dyDescent="0.25">
      <c r="A1032">
        <v>1096.639862</v>
      </c>
      <c r="B1032" s="1">
        <f>DATE(2013,5,1) + TIME(15,21,24)</f>
        <v>41395.639861111114</v>
      </c>
      <c r="C1032">
        <v>80</v>
      </c>
      <c r="D1032">
        <v>64.687767029</v>
      </c>
      <c r="E1032">
        <v>50</v>
      </c>
      <c r="F1032">
        <v>49.742473601999997</v>
      </c>
      <c r="G1032">
        <v>1379.9549560999999</v>
      </c>
      <c r="H1032">
        <v>1361.7973632999999</v>
      </c>
      <c r="I1032">
        <v>1324.5134277</v>
      </c>
      <c r="J1032">
        <v>1321.3626709</v>
      </c>
      <c r="K1032">
        <v>1200</v>
      </c>
      <c r="L1032">
        <v>0</v>
      </c>
      <c r="M1032">
        <v>0</v>
      </c>
      <c r="N1032">
        <v>1200</v>
      </c>
    </row>
    <row r="1033" spans="1:14" x14ac:dyDescent="0.25">
      <c r="A1033">
        <v>1096.740151</v>
      </c>
      <c r="B1033" s="1">
        <f>DATE(2013,5,1) + TIME(17,45,49)</f>
        <v>41395.74015046296</v>
      </c>
      <c r="C1033">
        <v>80</v>
      </c>
      <c r="D1033">
        <v>65.325019835999996</v>
      </c>
      <c r="E1033">
        <v>50</v>
      </c>
      <c r="F1033">
        <v>49.722866058000001</v>
      </c>
      <c r="G1033">
        <v>1379.7805175999999</v>
      </c>
      <c r="H1033">
        <v>1361.7597656</v>
      </c>
      <c r="I1033">
        <v>1324.5286865</v>
      </c>
      <c r="J1033">
        <v>1321.3773193</v>
      </c>
      <c r="K1033">
        <v>1200</v>
      </c>
      <c r="L1033">
        <v>0</v>
      </c>
      <c r="M1033">
        <v>0</v>
      </c>
      <c r="N1033">
        <v>1200</v>
      </c>
    </row>
    <row r="1034" spans="1:14" x14ac:dyDescent="0.25">
      <c r="A1034">
        <v>1096.843243</v>
      </c>
      <c r="B1034" s="1">
        <f>DATE(2013,5,1) + TIME(20,14,16)</f>
        <v>41395.843240740738</v>
      </c>
      <c r="C1034">
        <v>80</v>
      </c>
      <c r="D1034">
        <v>65.952720642000003</v>
      </c>
      <c r="E1034">
        <v>50</v>
      </c>
      <c r="F1034">
        <v>49.702995299999998</v>
      </c>
      <c r="G1034">
        <v>1379.6043701000001</v>
      </c>
      <c r="H1034">
        <v>1361.7158202999999</v>
      </c>
      <c r="I1034">
        <v>1324.5367432</v>
      </c>
      <c r="J1034">
        <v>1321.3847656</v>
      </c>
      <c r="K1034">
        <v>1200</v>
      </c>
      <c r="L1034">
        <v>0</v>
      </c>
      <c r="M1034">
        <v>0</v>
      </c>
      <c r="N1034">
        <v>1200</v>
      </c>
    </row>
    <row r="1035" spans="1:14" x14ac:dyDescent="0.25">
      <c r="A1035">
        <v>1096.9493219999999</v>
      </c>
      <c r="B1035" s="1">
        <f>DATE(2013,5,1) + TIME(22,47,1)</f>
        <v>41395.949317129627</v>
      </c>
      <c r="C1035">
        <v>80</v>
      </c>
      <c r="D1035">
        <v>66.570709229000002</v>
      </c>
      <c r="E1035">
        <v>50</v>
      </c>
      <c r="F1035">
        <v>49.682849883999999</v>
      </c>
      <c r="G1035">
        <v>1379.4295654</v>
      </c>
      <c r="H1035">
        <v>1361.6689452999999</v>
      </c>
      <c r="I1035">
        <v>1324.5407714999999</v>
      </c>
      <c r="J1035">
        <v>1321.3881836</v>
      </c>
      <c r="K1035">
        <v>1200</v>
      </c>
      <c r="L1035">
        <v>0</v>
      </c>
      <c r="M1035">
        <v>0</v>
      </c>
      <c r="N1035">
        <v>1200</v>
      </c>
    </row>
    <row r="1036" spans="1:14" x14ac:dyDescent="0.25">
      <c r="A1036">
        <v>1097.0585840000001</v>
      </c>
      <c r="B1036" s="1">
        <f>DATE(2013,5,2) + TIME(1,24,21)</f>
        <v>41396.058576388888</v>
      </c>
      <c r="C1036">
        <v>80</v>
      </c>
      <c r="D1036">
        <v>67.178901671999995</v>
      </c>
      <c r="E1036">
        <v>50</v>
      </c>
      <c r="F1036">
        <v>49.662406920999999</v>
      </c>
      <c r="G1036">
        <v>1379.2578125</v>
      </c>
      <c r="H1036">
        <v>1361.6209716999999</v>
      </c>
      <c r="I1036">
        <v>1324.5427245999999</v>
      </c>
      <c r="J1036">
        <v>1321.3895264</v>
      </c>
      <c r="K1036">
        <v>1200</v>
      </c>
      <c r="L1036">
        <v>0</v>
      </c>
      <c r="M1036">
        <v>0</v>
      </c>
      <c r="N1036">
        <v>1200</v>
      </c>
    </row>
    <row r="1037" spans="1:14" x14ac:dyDescent="0.25">
      <c r="A1037">
        <v>1097.171263</v>
      </c>
      <c r="B1037" s="1">
        <f>DATE(2013,5,2) + TIME(4,6,37)</f>
        <v>41396.171261574076</v>
      </c>
      <c r="C1037">
        <v>80</v>
      </c>
      <c r="D1037">
        <v>67.777252196999996</v>
      </c>
      <c r="E1037">
        <v>50</v>
      </c>
      <c r="F1037">
        <v>49.641635895</v>
      </c>
      <c r="G1037">
        <v>1379.0899658000001</v>
      </c>
      <c r="H1037">
        <v>1361.5727539</v>
      </c>
      <c r="I1037">
        <v>1324.5435791</v>
      </c>
      <c r="J1037">
        <v>1321.3895264</v>
      </c>
      <c r="K1037">
        <v>1200</v>
      </c>
      <c r="L1037">
        <v>0</v>
      </c>
      <c r="M1037">
        <v>0</v>
      </c>
      <c r="N1037">
        <v>1200</v>
      </c>
    </row>
    <row r="1038" spans="1:14" x14ac:dyDescent="0.25">
      <c r="A1038">
        <v>1097.2876220000001</v>
      </c>
      <c r="B1038" s="1">
        <f>DATE(2013,5,2) + TIME(6,54,10)</f>
        <v>41396.287615740737</v>
      </c>
      <c r="C1038">
        <v>80</v>
      </c>
      <c r="D1038">
        <v>68.365745544000006</v>
      </c>
      <c r="E1038">
        <v>50</v>
      </c>
      <c r="F1038">
        <v>49.620513916</v>
      </c>
      <c r="G1038">
        <v>1378.9261475000001</v>
      </c>
      <c r="H1038">
        <v>1361.5246582</v>
      </c>
      <c r="I1038">
        <v>1324.5437012</v>
      </c>
      <c r="J1038">
        <v>1321.3890381000001</v>
      </c>
      <c r="K1038">
        <v>1200</v>
      </c>
      <c r="L1038">
        <v>0</v>
      </c>
      <c r="M1038">
        <v>0</v>
      </c>
      <c r="N1038">
        <v>1200</v>
      </c>
    </row>
    <row r="1039" spans="1:14" x14ac:dyDescent="0.25">
      <c r="A1039">
        <v>1097.40789</v>
      </c>
      <c r="B1039" s="1">
        <f>DATE(2013,5,2) + TIME(9,47,21)</f>
        <v>41396.407881944448</v>
      </c>
      <c r="C1039">
        <v>80</v>
      </c>
      <c r="D1039">
        <v>68.944061278999996</v>
      </c>
      <c r="E1039">
        <v>50</v>
      </c>
      <c r="F1039">
        <v>49.599014281999999</v>
      </c>
      <c r="G1039">
        <v>1378.7664795000001</v>
      </c>
      <c r="H1039">
        <v>1361.4769286999999</v>
      </c>
      <c r="I1039">
        <v>1324.543457</v>
      </c>
      <c r="J1039">
        <v>1321.3880615</v>
      </c>
      <c r="K1039">
        <v>1200</v>
      </c>
      <c r="L1039">
        <v>0</v>
      </c>
      <c r="M1039">
        <v>0</v>
      </c>
      <c r="N1039">
        <v>1200</v>
      </c>
    </row>
    <row r="1040" spans="1:14" x14ac:dyDescent="0.25">
      <c r="A1040">
        <v>1097.5323559999999</v>
      </c>
      <c r="B1040" s="1">
        <f>DATE(2013,5,2) + TIME(12,46,35)</f>
        <v>41396.532349537039</v>
      </c>
      <c r="C1040">
        <v>80</v>
      </c>
      <c r="D1040">
        <v>69.512031554999993</v>
      </c>
      <c r="E1040">
        <v>50</v>
      </c>
      <c r="F1040">
        <v>49.577106475999997</v>
      </c>
      <c r="G1040">
        <v>1378.6108397999999</v>
      </c>
      <c r="H1040">
        <v>1361.4295654</v>
      </c>
      <c r="I1040">
        <v>1324.5430908000001</v>
      </c>
      <c r="J1040">
        <v>1321.3869629000001</v>
      </c>
      <c r="K1040">
        <v>1200</v>
      </c>
      <c r="L1040">
        <v>0</v>
      </c>
      <c r="M1040">
        <v>0</v>
      </c>
      <c r="N1040">
        <v>1200</v>
      </c>
    </row>
    <row r="1041" spans="1:14" x14ac:dyDescent="0.25">
      <c r="A1041">
        <v>1097.661343</v>
      </c>
      <c r="B1041" s="1">
        <f>DATE(2013,5,2) + TIME(15,52,20)</f>
        <v>41396.66134259259</v>
      </c>
      <c r="C1041">
        <v>80</v>
      </c>
      <c r="D1041">
        <v>70.069427489999995</v>
      </c>
      <c r="E1041">
        <v>50</v>
      </c>
      <c r="F1041">
        <v>49.554759979000004</v>
      </c>
      <c r="G1041">
        <v>1378.4592285000001</v>
      </c>
      <c r="H1041">
        <v>1361.3825684000001</v>
      </c>
      <c r="I1041">
        <v>1324.5423584</v>
      </c>
      <c r="J1041">
        <v>1321.3854980000001</v>
      </c>
      <c r="K1041">
        <v>1200</v>
      </c>
      <c r="L1041">
        <v>0</v>
      </c>
      <c r="M1041">
        <v>0</v>
      </c>
      <c r="N1041">
        <v>1200</v>
      </c>
    </row>
    <row r="1042" spans="1:14" x14ac:dyDescent="0.25">
      <c r="A1042">
        <v>1097.7952090000001</v>
      </c>
      <c r="B1042" s="1">
        <f>DATE(2013,5,2) + TIME(19,5,6)</f>
        <v>41396.795208333337</v>
      </c>
      <c r="C1042">
        <v>80</v>
      </c>
      <c r="D1042">
        <v>70.615745544000006</v>
      </c>
      <c r="E1042">
        <v>50</v>
      </c>
      <c r="F1042">
        <v>49.531932830999999</v>
      </c>
      <c r="G1042">
        <v>1378.3111572</v>
      </c>
      <c r="H1042">
        <v>1361.3359375</v>
      </c>
      <c r="I1042">
        <v>1324.541626</v>
      </c>
      <c r="J1042">
        <v>1321.3840332</v>
      </c>
      <c r="K1042">
        <v>1200</v>
      </c>
      <c r="L1042">
        <v>0</v>
      </c>
      <c r="M1042">
        <v>0</v>
      </c>
      <c r="N1042">
        <v>1200</v>
      </c>
    </row>
    <row r="1043" spans="1:14" x14ac:dyDescent="0.25">
      <c r="A1043">
        <v>1097.934354</v>
      </c>
      <c r="B1043" s="1">
        <f>DATE(2013,5,2) + TIME(22,25,28)</f>
        <v>41396.934351851851</v>
      </c>
      <c r="C1043">
        <v>80</v>
      </c>
      <c r="D1043">
        <v>71.151115417</v>
      </c>
      <c r="E1043">
        <v>50</v>
      </c>
      <c r="F1043">
        <v>49.508590697999999</v>
      </c>
      <c r="G1043">
        <v>1378.1667480000001</v>
      </c>
      <c r="H1043">
        <v>1361.2893065999999</v>
      </c>
      <c r="I1043">
        <v>1324.5407714999999</v>
      </c>
      <c r="J1043">
        <v>1321.3823242000001</v>
      </c>
      <c r="K1043">
        <v>1200</v>
      </c>
      <c r="L1043">
        <v>0</v>
      </c>
      <c r="M1043">
        <v>0</v>
      </c>
      <c r="N1043">
        <v>1200</v>
      </c>
    </row>
    <row r="1044" spans="1:14" x14ac:dyDescent="0.25">
      <c r="A1044">
        <v>1098.0792289999999</v>
      </c>
      <c r="B1044" s="1">
        <f>DATE(2013,5,3) + TIME(1,54,5)</f>
        <v>41397.079224537039</v>
      </c>
      <c r="C1044">
        <v>80</v>
      </c>
      <c r="D1044">
        <v>71.675300598000007</v>
      </c>
      <c r="E1044">
        <v>50</v>
      </c>
      <c r="F1044">
        <v>49.484680175999998</v>
      </c>
      <c r="G1044">
        <v>1378.0255127</v>
      </c>
      <c r="H1044">
        <v>1361.2429199000001</v>
      </c>
      <c r="I1044">
        <v>1324.5397949000001</v>
      </c>
      <c r="J1044">
        <v>1321.3804932</v>
      </c>
      <c r="K1044">
        <v>1200</v>
      </c>
      <c r="L1044">
        <v>0</v>
      </c>
      <c r="M1044">
        <v>0</v>
      </c>
      <c r="N1044">
        <v>1200</v>
      </c>
    </row>
    <row r="1045" spans="1:14" x14ac:dyDescent="0.25">
      <c r="A1045">
        <v>1098.230339</v>
      </c>
      <c r="B1045" s="1">
        <f>DATE(2013,5,3) + TIME(5,31,41)</f>
        <v>41397.23033564815</v>
      </c>
      <c r="C1045">
        <v>80</v>
      </c>
      <c r="D1045">
        <v>72.188056946000003</v>
      </c>
      <c r="E1045">
        <v>50</v>
      </c>
      <c r="F1045">
        <v>49.460155487000002</v>
      </c>
      <c r="G1045">
        <v>1377.8873291</v>
      </c>
      <c r="H1045">
        <v>1361.1964111</v>
      </c>
      <c r="I1045">
        <v>1324.5386963000001</v>
      </c>
      <c r="J1045">
        <v>1321.3785399999999</v>
      </c>
      <c r="K1045">
        <v>1200</v>
      </c>
      <c r="L1045">
        <v>0</v>
      </c>
      <c r="M1045">
        <v>0</v>
      </c>
      <c r="N1045">
        <v>1200</v>
      </c>
    </row>
    <row r="1046" spans="1:14" x14ac:dyDescent="0.25">
      <c r="A1046">
        <v>1098.388258</v>
      </c>
      <c r="B1046" s="1">
        <f>DATE(2013,5,3) + TIME(9,19,5)</f>
        <v>41397.388252314813</v>
      </c>
      <c r="C1046">
        <v>80</v>
      </c>
      <c r="D1046">
        <v>72.689086914000001</v>
      </c>
      <c r="E1046">
        <v>50</v>
      </c>
      <c r="F1046">
        <v>49.434951781999999</v>
      </c>
      <c r="G1046">
        <v>1377.7520752</v>
      </c>
      <c r="H1046">
        <v>1361.1497803</v>
      </c>
      <c r="I1046">
        <v>1324.5374756000001</v>
      </c>
      <c r="J1046">
        <v>1321.3764647999999</v>
      </c>
      <c r="K1046">
        <v>1200</v>
      </c>
      <c r="L1046">
        <v>0</v>
      </c>
      <c r="M1046">
        <v>0</v>
      </c>
      <c r="N1046">
        <v>1200</v>
      </c>
    </row>
    <row r="1047" spans="1:14" x14ac:dyDescent="0.25">
      <c r="A1047">
        <v>1098.5536400000001</v>
      </c>
      <c r="B1047" s="1">
        <f>DATE(2013,5,3) + TIME(13,17,14)</f>
        <v>41397.55363425926</v>
      </c>
      <c r="C1047">
        <v>80</v>
      </c>
      <c r="D1047">
        <v>73.178108214999995</v>
      </c>
      <c r="E1047">
        <v>50</v>
      </c>
      <c r="F1047">
        <v>49.409011841000002</v>
      </c>
      <c r="G1047">
        <v>1377.6195068</v>
      </c>
      <c r="H1047">
        <v>1361.1027832</v>
      </c>
      <c r="I1047">
        <v>1324.5362548999999</v>
      </c>
      <c r="J1047">
        <v>1321.3741454999999</v>
      </c>
      <c r="K1047">
        <v>1200</v>
      </c>
      <c r="L1047">
        <v>0</v>
      </c>
      <c r="M1047">
        <v>0</v>
      </c>
      <c r="N1047">
        <v>1200</v>
      </c>
    </row>
    <row r="1048" spans="1:14" x14ac:dyDescent="0.25">
      <c r="A1048">
        <v>1098.727347</v>
      </c>
      <c r="B1048" s="1">
        <f>DATE(2013,5,3) + TIME(17,27,22)</f>
        <v>41397.727337962962</v>
      </c>
      <c r="C1048">
        <v>80</v>
      </c>
      <c r="D1048">
        <v>73.655090332</v>
      </c>
      <c r="E1048">
        <v>50</v>
      </c>
      <c r="F1048">
        <v>49.382244110000002</v>
      </c>
      <c r="G1048">
        <v>1377.4891356999999</v>
      </c>
      <c r="H1048">
        <v>1361.0554199000001</v>
      </c>
      <c r="I1048">
        <v>1324.5347899999999</v>
      </c>
      <c r="J1048">
        <v>1321.3718262</v>
      </c>
      <c r="K1048">
        <v>1200</v>
      </c>
      <c r="L1048">
        <v>0</v>
      </c>
      <c r="M1048">
        <v>0</v>
      </c>
      <c r="N1048">
        <v>1200</v>
      </c>
    </row>
    <row r="1049" spans="1:14" x14ac:dyDescent="0.25">
      <c r="A1049">
        <v>1098.910161</v>
      </c>
      <c r="B1049" s="1">
        <f>DATE(2013,5,3) + TIME(21,50,37)</f>
        <v>41397.910150462965</v>
      </c>
      <c r="C1049">
        <v>80</v>
      </c>
      <c r="D1049">
        <v>74.119407654</v>
      </c>
      <c r="E1049">
        <v>50</v>
      </c>
      <c r="F1049">
        <v>49.354568481000001</v>
      </c>
      <c r="G1049">
        <v>1377.3609618999999</v>
      </c>
      <c r="H1049">
        <v>1361.0073242000001</v>
      </c>
      <c r="I1049">
        <v>1324.5333252</v>
      </c>
      <c r="J1049">
        <v>1321.3692627</v>
      </c>
      <c r="K1049">
        <v>1200</v>
      </c>
      <c r="L1049">
        <v>0</v>
      </c>
      <c r="M1049">
        <v>0</v>
      </c>
      <c r="N1049">
        <v>1200</v>
      </c>
    </row>
    <row r="1050" spans="1:14" x14ac:dyDescent="0.25">
      <c r="A1050">
        <v>1099.103075</v>
      </c>
      <c r="B1050" s="1">
        <f>DATE(2013,5,4) + TIME(2,28,25)</f>
        <v>41398.103067129632</v>
      </c>
      <c r="C1050">
        <v>80</v>
      </c>
      <c r="D1050">
        <v>74.570663452000005</v>
      </c>
      <c r="E1050">
        <v>50</v>
      </c>
      <c r="F1050">
        <v>49.325897216999998</v>
      </c>
      <c r="G1050">
        <v>1377.2348632999999</v>
      </c>
      <c r="H1050">
        <v>1360.9586182</v>
      </c>
      <c r="I1050">
        <v>1324.5316161999999</v>
      </c>
      <c r="J1050">
        <v>1321.3665771000001</v>
      </c>
      <c r="K1050">
        <v>1200</v>
      </c>
      <c r="L1050">
        <v>0</v>
      </c>
      <c r="M1050">
        <v>0</v>
      </c>
      <c r="N1050">
        <v>1200</v>
      </c>
    </row>
    <row r="1051" spans="1:14" x14ac:dyDescent="0.25">
      <c r="A1051">
        <v>1099.307264</v>
      </c>
      <c r="B1051" s="1">
        <f>DATE(2013,5,4) + TIME(7,22,27)</f>
        <v>41398.307256944441</v>
      </c>
      <c r="C1051">
        <v>80</v>
      </c>
      <c r="D1051">
        <v>75.008430481000005</v>
      </c>
      <c r="E1051">
        <v>50</v>
      </c>
      <c r="F1051">
        <v>49.296112061000002</v>
      </c>
      <c r="G1051">
        <v>1377.1103516000001</v>
      </c>
      <c r="H1051">
        <v>1360.9090576000001</v>
      </c>
      <c r="I1051">
        <v>1324.5299072</v>
      </c>
      <c r="J1051">
        <v>1321.3636475000001</v>
      </c>
      <c r="K1051">
        <v>1200</v>
      </c>
      <c r="L1051">
        <v>0</v>
      </c>
      <c r="M1051">
        <v>0</v>
      </c>
      <c r="N1051">
        <v>1200</v>
      </c>
    </row>
    <row r="1052" spans="1:14" x14ac:dyDescent="0.25">
      <c r="A1052">
        <v>1099.5241140000001</v>
      </c>
      <c r="B1052" s="1">
        <f>DATE(2013,5,4) + TIME(12,34,43)</f>
        <v>41398.524108796293</v>
      </c>
      <c r="C1052">
        <v>80</v>
      </c>
      <c r="D1052">
        <v>75.431953429999993</v>
      </c>
      <c r="E1052">
        <v>50</v>
      </c>
      <c r="F1052">
        <v>49.265083312999998</v>
      </c>
      <c r="G1052">
        <v>1376.9873047000001</v>
      </c>
      <c r="H1052">
        <v>1360.8582764</v>
      </c>
      <c r="I1052">
        <v>1324.5279541</v>
      </c>
      <c r="J1052">
        <v>1321.3605957</v>
      </c>
      <c r="K1052">
        <v>1200</v>
      </c>
      <c r="L1052">
        <v>0</v>
      </c>
      <c r="M1052">
        <v>0</v>
      </c>
      <c r="N1052">
        <v>1200</v>
      </c>
    </row>
    <row r="1053" spans="1:14" x14ac:dyDescent="0.25">
      <c r="A1053">
        <v>1099.7552410000001</v>
      </c>
      <c r="B1053" s="1">
        <f>DATE(2013,5,4) + TIME(18,7,32)</f>
        <v>41398.755231481482</v>
      </c>
      <c r="C1053">
        <v>80</v>
      </c>
      <c r="D1053">
        <v>75.840995789000004</v>
      </c>
      <c r="E1053">
        <v>50</v>
      </c>
      <c r="F1053">
        <v>49.232654572000001</v>
      </c>
      <c r="G1053">
        <v>1376.8654785000001</v>
      </c>
      <c r="H1053">
        <v>1360.8062743999999</v>
      </c>
      <c r="I1053">
        <v>1324.5258789</v>
      </c>
      <c r="J1053">
        <v>1321.3572998</v>
      </c>
      <c r="K1053">
        <v>1200</v>
      </c>
      <c r="L1053">
        <v>0</v>
      </c>
      <c r="M1053">
        <v>0</v>
      </c>
      <c r="N1053">
        <v>1200</v>
      </c>
    </row>
    <row r="1054" spans="1:14" x14ac:dyDescent="0.25">
      <c r="A1054">
        <v>1100.00263</v>
      </c>
      <c r="B1054" s="1">
        <f>DATE(2013,5,5) + TIME(0,3,47)</f>
        <v>41399.002627314818</v>
      </c>
      <c r="C1054">
        <v>80</v>
      </c>
      <c r="D1054">
        <v>76.235046386999997</v>
      </c>
      <c r="E1054">
        <v>50</v>
      </c>
      <c r="F1054">
        <v>49.198646545000003</v>
      </c>
      <c r="G1054">
        <v>1376.7443848</v>
      </c>
      <c r="H1054">
        <v>1360.7528076000001</v>
      </c>
      <c r="I1054">
        <v>1324.5235596</v>
      </c>
      <c r="J1054">
        <v>1321.3537598</v>
      </c>
      <c r="K1054">
        <v>1200</v>
      </c>
      <c r="L1054">
        <v>0</v>
      </c>
      <c r="M1054">
        <v>0</v>
      </c>
      <c r="N1054">
        <v>1200</v>
      </c>
    </row>
    <row r="1055" spans="1:14" x14ac:dyDescent="0.25">
      <c r="A1055">
        <v>1100.2687129999999</v>
      </c>
      <c r="B1055" s="1">
        <f>DATE(2013,5,5) + TIME(6,26,56)</f>
        <v>41399.268703703703</v>
      </c>
      <c r="C1055">
        <v>80</v>
      </c>
      <c r="D1055">
        <v>76.613571167000003</v>
      </c>
      <c r="E1055">
        <v>50</v>
      </c>
      <c r="F1055">
        <v>49.162826537999997</v>
      </c>
      <c r="G1055">
        <v>1376.6239014</v>
      </c>
      <c r="H1055">
        <v>1360.6975098</v>
      </c>
      <c r="I1055">
        <v>1324.5211182</v>
      </c>
      <c r="J1055">
        <v>1321.3499756000001</v>
      </c>
      <c r="K1055">
        <v>1200</v>
      </c>
      <c r="L1055">
        <v>0</v>
      </c>
      <c r="M1055">
        <v>0</v>
      </c>
      <c r="N1055">
        <v>1200</v>
      </c>
    </row>
    <row r="1056" spans="1:14" x14ac:dyDescent="0.25">
      <c r="A1056">
        <v>1100.556458</v>
      </c>
      <c r="B1056" s="1">
        <f>DATE(2013,5,5) + TIME(13,21,17)</f>
        <v>41399.556446759256</v>
      </c>
      <c r="C1056">
        <v>80</v>
      </c>
      <c r="D1056">
        <v>76.975952148000005</v>
      </c>
      <c r="E1056">
        <v>50</v>
      </c>
      <c r="F1056">
        <v>49.124927520999996</v>
      </c>
      <c r="G1056">
        <v>1376.5036620999999</v>
      </c>
      <c r="H1056">
        <v>1360.6402588000001</v>
      </c>
      <c r="I1056">
        <v>1324.5184326000001</v>
      </c>
      <c r="J1056">
        <v>1321.3458252</v>
      </c>
      <c r="K1056">
        <v>1200</v>
      </c>
      <c r="L1056">
        <v>0</v>
      </c>
      <c r="M1056">
        <v>0</v>
      </c>
      <c r="N1056">
        <v>1200</v>
      </c>
    </row>
    <row r="1057" spans="1:14" x14ac:dyDescent="0.25">
      <c r="A1057">
        <v>1100.8695769999999</v>
      </c>
      <c r="B1057" s="1">
        <f>DATE(2013,5,5) + TIME(20,52,11)</f>
        <v>41399.869571759256</v>
      </c>
      <c r="C1057">
        <v>80</v>
      </c>
      <c r="D1057">
        <v>77.321495056000003</v>
      </c>
      <c r="E1057">
        <v>50</v>
      </c>
      <c r="F1057">
        <v>49.084617614999999</v>
      </c>
      <c r="G1057">
        <v>1376.3830565999999</v>
      </c>
      <c r="H1057">
        <v>1360.5804443</v>
      </c>
      <c r="I1057">
        <v>1324.5153809000001</v>
      </c>
      <c r="J1057">
        <v>1321.3413086</v>
      </c>
      <c r="K1057">
        <v>1200</v>
      </c>
      <c r="L1057">
        <v>0</v>
      </c>
      <c r="M1057">
        <v>0</v>
      </c>
      <c r="N1057">
        <v>1200</v>
      </c>
    </row>
    <row r="1058" spans="1:14" x14ac:dyDescent="0.25">
      <c r="A1058">
        <v>1101.188171</v>
      </c>
      <c r="B1058" s="1">
        <f>DATE(2013,5,6) + TIME(4,30,57)</f>
        <v>41400.188159722224</v>
      </c>
      <c r="C1058">
        <v>80</v>
      </c>
      <c r="D1058">
        <v>77.628890991000006</v>
      </c>
      <c r="E1058">
        <v>50</v>
      </c>
      <c r="F1058">
        <v>49.044246674</v>
      </c>
      <c r="G1058">
        <v>1376.269043</v>
      </c>
      <c r="H1058">
        <v>1360.5206298999999</v>
      </c>
      <c r="I1058">
        <v>1324.512207</v>
      </c>
      <c r="J1058">
        <v>1321.3364257999999</v>
      </c>
      <c r="K1058">
        <v>1200</v>
      </c>
      <c r="L1058">
        <v>0</v>
      </c>
      <c r="M1058">
        <v>0</v>
      </c>
      <c r="N1058">
        <v>1200</v>
      </c>
    </row>
    <row r="1059" spans="1:14" x14ac:dyDescent="0.25">
      <c r="A1059">
        <v>1101.509726</v>
      </c>
      <c r="B1059" s="1">
        <f>DATE(2013,5,6) + TIME(12,14,0)</f>
        <v>41400.509722222225</v>
      </c>
      <c r="C1059">
        <v>80</v>
      </c>
      <c r="D1059">
        <v>77.899818420000003</v>
      </c>
      <c r="E1059">
        <v>50</v>
      </c>
      <c r="F1059">
        <v>49.004085541000002</v>
      </c>
      <c r="G1059">
        <v>1376.1618652</v>
      </c>
      <c r="H1059">
        <v>1360.4620361</v>
      </c>
      <c r="I1059">
        <v>1324.5087891000001</v>
      </c>
      <c r="J1059">
        <v>1321.3314209</v>
      </c>
      <c r="K1059">
        <v>1200</v>
      </c>
      <c r="L1059">
        <v>0</v>
      </c>
      <c r="M1059">
        <v>0</v>
      </c>
      <c r="N1059">
        <v>1200</v>
      </c>
    </row>
    <row r="1060" spans="1:14" x14ac:dyDescent="0.25">
      <c r="A1060">
        <v>1101.835214</v>
      </c>
      <c r="B1060" s="1">
        <f>DATE(2013,5,6) + TIME(20,2,42)</f>
        <v>41400.83520833333</v>
      </c>
      <c r="C1060">
        <v>80</v>
      </c>
      <c r="D1060">
        <v>78.138916015999996</v>
      </c>
      <c r="E1060">
        <v>50</v>
      </c>
      <c r="F1060">
        <v>48.964004516999999</v>
      </c>
      <c r="G1060">
        <v>1376.0604248</v>
      </c>
      <c r="H1060">
        <v>1360.4049072</v>
      </c>
      <c r="I1060">
        <v>1324.505249</v>
      </c>
      <c r="J1060">
        <v>1321.3264160000001</v>
      </c>
      <c r="K1060">
        <v>1200</v>
      </c>
      <c r="L1060">
        <v>0</v>
      </c>
      <c r="M1060">
        <v>0</v>
      </c>
      <c r="N1060">
        <v>1200</v>
      </c>
    </row>
    <row r="1061" spans="1:14" x14ac:dyDescent="0.25">
      <c r="A1061">
        <v>1102.1651870000001</v>
      </c>
      <c r="B1061" s="1">
        <f>DATE(2013,5,7) + TIME(3,57,52)</f>
        <v>41401.165185185186</v>
      </c>
      <c r="C1061">
        <v>80</v>
      </c>
      <c r="D1061">
        <v>78.349861145000006</v>
      </c>
      <c r="E1061">
        <v>50</v>
      </c>
      <c r="F1061">
        <v>48.923931121999999</v>
      </c>
      <c r="G1061">
        <v>1375.9639893000001</v>
      </c>
      <c r="H1061">
        <v>1360.3487548999999</v>
      </c>
      <c r="I1061">
        <v>1324.5017089999999</v>
      </c>
      <c r="J1061">
        <v>1321.3211670000001</v>
      </c>
      <c r="K1061">
        <v>1200</v>
      </c>
      <c r="L1061">
        <v>0</v>
      </c>
      <c r="M1061">
        <v>0</v>
      </c>
      <c r="N1061">
        <v>1200</v>
      </c>
    </row>
    <row r="1062" spans="1:14" x14ac:dyDescent="0.25">
      <c r="A1062">
        <v>1102.5006820000001</v>
      </c>
      <c r="B1062" s="1">
        <f>DATE(2013,5,7) + TIME(12,0,58)</f>
        <v>41401.500671296293</v>
      </c>
      <c r="C1062">
        <v>80</v>
      </c>
      <c r="D1062">
        <v>78.536125182999996</v>
      </c>
      <c r="E1062">
        <v>50</v>
      </c>
      <c r="F1062">
        <v>48.883735657000003</v>
      </c>
      <c r="G1062">
        <v>1375.8719481999999</v>
      </c>
      <c r="H1062">
        <v>1360.2937012</v>
      </c>
      <c r="I1062">
        <v>1324.4979248</v>
      </c>
      <c r="J1062">
        <v>1321.3157959</v>
      </c>
      <c r="K1062">
        <v>1200</v>
      </c>
      <c r="L1062">
        <v>0</v>
      </c>
      <c r="M1062">
        <v>0</v>
      </c>
      <c r="N1062">
        <v>1200</v>
      </c>
    </row>
    <row r="1063" spans="1:14" x14ac:dyDescent="0.25">
      <c r="A1063">
        <v>1102.842727</v>
      </c>
      <c r="B1063" s="1">
        <f>DATE(2013,5,7) + TIME(20,13,31)</f>
        <v>41401.842719907407</v>
      </c>
      <c r="C1063">
        <v>80</v>
      </c>
      <c r="D1063">
        <v>78.700622558999996</v>
      </c>
      <c r="E1063">
        <v>50</v>
      </c>
      <c r="F1063">
        <v>48.843299866000002</v>
      </c>
      <c r="G1063">
        <v>1375.7836914</v>
      </c>
      <c r="H1063">
        <v>1360.2395019999999</v>
      </c>
      <c r="I1063">
        <v>1324.4941406</v>
      </c>
      <c r="J1063">
        <v>1321.3104248</v>
      </c>
      <c r="K1063">
        <v>1200</v>
      </c>
      <c r="L1063">
        <v>0</v>
      </c>
      <c r="M1063">
        <v>0</v>
      </c>
      <c r="N1063">
        <v>1200</v>
      </c>
    </row>
    <row r="1064" spans="1:14" x14ac:dyDescent="0.25">
      <c r="A1064">
        <v>1103.1923859999999</v>
      </c>
      <c r="B1064" s="1">
        <f>DATE(2013,5,8) + TIME(4,37,2)</f>
        <v>41402.192384259259</v>
      </c>
      <c r="C1064">
        <v>80</v>
      </c>
      <c r="D1064">
        <v>78.845886230000005</v>
      </c>
      <c r="E1064">
        <v>50</v>
      </c>
      <c r="F1064">
        <v>48.802516937</v>
      </c>
      <c r="G1064">
        <v>1375.6986084</v>
      </c>
      <c r="H1064">
        <v>1360.1860352000001</v>
      </c>
      <c r="I1064">
        <v>1324.4902344</v>
      </c>
      <c r="J1064">
        <v>1321.3048096</v>
      </c>
      <c r="K1064">
        <v>1200</v>
      </c>
      <c r="L1064">
        <v>0</v>
      </c>
      <c r="M1064">
        <v>0</v>
      </c>
      <c r="N1064">
        <v>1200</v>
      </c>
    </row>
    <row r="1065" spans="1:14" x14ac:dyDescent="0.25">
      <c r="A1065">
        <v>1103.5507809999999</v>
      </c>
      <c r="B1065" s="1">
        <f>DATE(2013,5,8) + TIME(13,13,7)</f>
        <v>41402.550775462965</v>
      </c>
      <c r="C1065">
        <v>80</v>
      </c>
      <c r="D1065">
        <v>78.974075317</v>
      </c>
      <c r="E1065">
        <v>50</v>
      </c>
      <c r="F1065">
        <v>48.761264801000003</v>
      </c>
      <c r="G1065">
        <v>1375.6163329999999</v>
      </c>
      <c r="H1065">
        <v>1360.1330565999999</v>
      </c>
      <c r="I1065">
        <v>1324.4862060999999</v>
      </c>
      <c r="J1065">
        <v>1321.2989502</v>
      </c>
      <c r="K1065">
        <v>1200</v>
      </c>
      <c r="L1065">
        <v>0</v>
      </c>
      <c r="M1065">
        <v>0</v>
      </c>
      <c r="N1065">
        <v>1200</v>
      </c>
    </row>
    <row r="1066" spans="1:14" x14ac:dyDescent="0.25">
      <c r="A1066">
        <v>1103.9191169999999</v>
      </c>
      <c r="B1066" s="1">
        <f>DATE(2013,5,8) + TIME(22,3,31)</f>
        <v>41402.919108796297</v>
      </c>
      <c r="C1066">
        <v>80</v>
      </c>
      <c r="D1066">
        <v>79.087097168</v>
      </c>
      <c r="E1066">
        <v>50</v>
      </c>
      <c r="F1066">
        <v>48.719425201</v>
      </c>
      <c r="G1066">
        <v>1375.5363769999999</v>
      </c>
      <c r="H1066">
        <v>1360.0805664</v>
      </c>
      <c r="I1066">
        <v>1324.4820557</v>
      </c>
      <c r="J1066">
        <v>1321.2930908000001</v>
      </c>
      <c r="K1066">
        <v>1200</v>
      </c>
      <c r="L1066">
        <v>0</v>
      </c>
      <c r="M1066">
        <v>0</v>
      </c>
      <c r="N1066">
        <v>1200</v>
      </c>
    </row>
    <row r="1067" spans="1:14" x14ac:dyDescent="0.25">
      <c r="A1067">
        <v>1104.29871</v>
      </c>
      <c r="B1067" s="1">
        <f>DATE(2013,5,9) + TIME(7,10,8)</f>
        <v>41403.298703703702</v>
      </c>
      <c r="C1067">
        <v>80</v>
      </c>
      <c r="D1067">
        <v>79.186614989999995</v>
      </c>
      <c r="E1067">
        <v>50</v>
      </c>
      <c r="F1067">
        <v>48.676872252999999</v>
      </c>
      <c r="G1067">
        <v>1375.4584961</v>
      </c>
      <c r="H1067">
        <v>1360.0284423999999</v>
      </c>
      <c r="I1067">
        <v>1324.4777832</v>
      </c>
      <c r="J1067">
        <v>1321.2868652</v>
      </c>
      <c r="K1067">
        <v>1200</v>
      </c>
      <c r="L1067">
        <v>0</v>
      </c>
      <c r="M1067">
        <v>0</v>
      </c>
      <c r="N1067">
        <v>1200</v>
      </c>
    </row>
    <row r="1068" spans="1:14" x14ac:dyDescent="0.25">
      <c r="A1068">
        <v>1104.691014</v>
      </c>
      <c r="B1068" s="1">
        <f>DATE(2013,5,9) + TIME(16,35,3)</f>
        <v>41403.691006944442</v>
      </c>
      <c r="C1068">
        <v>80</v>
      </c>
      <c r="D1068">
        <v>79.274085998999993</v>
      </c>
      <c r="E1068">
        <v>50</v>
      </c>
      <c r="F1068">
        <v>48.633476256999998</v>
      </c>
      <c r="G1068">
        <v>1375.3822021000001</v>
      </c>
      <c r="H1068">
        <v>1359.9764404</v>
      </c>
      <c r="I1068">
        <v>1324.4732666</v>
      </c>
      <c r="J1068">
        <v>1321.2803954999999</v>
      </c>
      <c r="K1068">
        <v>1200</v>
      </c>
      <c r="L1068">
        <v>0</v>
      </c>
      <c r="M1068">
        <v>0</v>
      </c>
      <c r="N1068">
        <v>1200</v>
      </c>
    </row>
    <row r="1069" spans="1:14" x14ac:dyDescent="0.25">
      <c r="A1069">
        <v>1105.0979359999999</v>
      </c>
      <c r="B1069" s="1">
        <f>DATE(2013,5,10) + TIME(2,21,1)</f>
        <v>41404.097928240742</v>
      </c>
      <c r="C1069">
        <v>80</v>
      </c>
      <c r="D1069">
        <v>79.350852966000005</v>
      </c>
      <c r="E1069">
        <v>50</v>
      </c>
      <c r="F1069">
        <v>48.589061737000002</v>
      </c>
      <c r="G1069">
        <v>1375.307251</v>
      </c>
      <c r="H1069">
        <v>1359.9245605000001</v>
      </c>
      <c r="I1069">
        <v>1324.4686279</v>
      </c>
      <c r="J1069">
        <v>1321.2738036999999</v>
      </c>
      <c r="K1069">
        <v>1200</v>
      </c>
      <c r="L1069">
        <v>0</v>
      </c>
      <c r="M1069">
        <v>0</v>
      </c>
      <c r="N1069">
        <v>1200</v>
      </c>
    </row>
    <row r="1070" spans="1:14" x14ac:dyDescent="0.25">
      <c r="A1070">
        <v>1105.521066</v>
      </c>
      <c r="B1070" s="1">
        <f>DATE(2013,5,10) + TIME(12,30,20)</f>
        <v>41404.521064814813</v>
      </c>
      <c r="C1070">
        <v>80</v>
      </c>
      <c r="D1070">
        <v>79.418006896999998</v>
      </c>
      <c r="E1070">
        <v>50</v>
      </c>
      <c r="F1070">
        <v>48.543502808</v>
      </c>
      <c r="G1070">
        <v>1375.2331543</v>
      </c>
      <c r="H1070">
        <v>1359.8725586</v>
      </c>
      <c r="I1070">
        <v>1324.4637451000001</v>
      </c>
      <c r="J1070">
        <v>1321.2668457</v>
      </c>
      <c r="K1070">
        <v>1200</v>
      </c>
      <c r="L1070">
        <v>0</v>
      </c>
      <c r="M1070">
        <v>0</v>
      </c>
      <c r="N1070">
        <v>1200</v>
      </c>
    </row>
    <row r="1071" spans="1:14" x14ac:dyDescent="0.25">
      <c r="A1071">
        <v>1105.9625289999999</v>
      </c>
      <c r="B1071" s="1">
        <f>DATE(2013,5,10) + TIME(23,6,2)</f>
        <v>41404.962523148148</v>
      </c>
      <c r="C1071">
        <v>80</v>
      </c>
      <c r="D1071">
        <v>79.476585388000004</v>
      </c>
      <c r="E1071">
        <v>50</v>
      </c>
      <c r="F1071">
        <v>48.496616363999998</v>
      </c>
      <c r="G1071">
        <v>1375.1599120999999</v>
      </c>
      <c r="H1071">
        <v>1359.8204346</v>
      </c>
      <c r="I1071">
        <v>1324.4586182</v>
      </c>
      <c r="J1071">
        <v>1321.2595214999999</v>
      </c>
      <c r="K1071">
        <v>1200</v>
      </c>
      <c r="L1071">
        <v>0</v>
      </c>
      <c r="M1071">
        <v>0</v>
      </c>
      <c r="N1071">
        <v>1200</v>
      </c>
    </row>
    <row r="1072" spans="1:14" x14ac:dyDescent="0.25">
      <c r="A1072">
        <v>1106.4247769999999</v>
      </c>
      <c r="B1072" s="1">
        <f>DATE(2013,5,11) + TIME(10,11,40)</f>
        <v>41405.424768518518</v>
      </c>
      <c r="C1072">
        <v>80</v>
      </c>
      <c r="D1072">
        <v>79.527496338000006</v>
      </c>
      <c r="E1072">
        <v>50</v>
      </c>
      <c r="F1072">
        <v>48.448207855</v>
      </c>
      <c r="G1072">
        <v>1375.0871582</v>
      </c>
      <c r="H1072">
        <v>1359.7679443</v>
      </c>
      <c r="I1072">
        <v>1324.453125</v>
      </c>
      <c r="J1072">
        <v>1321.2518310999999</v>
      </c>
      <c r="K1072">
        <v>1200</v>
      </c>
      <c r="L1072">
        <v>0</v>
      </c>
      <c r="M1072">
        <v>0</v>
      </c>
      <c r="N1072">
        <v>1200</v>
      </c>
    </row>
    <row r="1073" spans="1:14" x14ac:dyDescent="0.25">
      <c r="A1073">
        <v>1106.9106850000001</v>
      </c>
      <c r="B1073" s="1">
        <f>DATE(2013,5,11) + TIME(21,51,23)</f>
        <v>41405.910682870373</v>
      </c>
      <c r="C1073">
        <v>80</v>
      </c>
      <c r="D1073">
        <v>79.571563721000004</v>
      </c>
      <c r="E1073">
        <v>50</v>
      </c>
      <c r="F1073">
        <v>48.398048400999997</v>
      </c>
      <c r="G1073">
        <v>1375.0145264</v>
      </c>
      <c r="H1073">
        <v>1359.7150879000001</v>
      </c>
      <c r="I1073">
        <v>1324.4475098</v>
      </c>
      <c r="J1073">
        <v>1321.2437743999999</v>
      </c>
      <c r="K1073">
        <v>1200</v>
      </c>
      <c r="L1073">
        <v>0</v>
      </c>
      <c r="M1073">
        <v>0</v>
      </c>
      <c r="N1073">
        <v>1200</v>
      </c>
    </row>
    <row r="1074" spans="1:14" x14ac:dyDescent="0.25">
      <c r="A1074">
        <v>1107.423556</v>
      </c>
      <c r="B1074" s="1">
        <f>DATE(2013,5,12) + TIME(10,9,55)</f>
        <v>41406.42355324074</v>
      </c>
      <c r="C1074">
        <v>80</v>
      </c>
      <c r="D1074">
        <v>79.609527588000006</v>
      </c>
      <c r="E1074">
        <v>50</v>
      </c>
      <c r="F1074">
        <v>48.345890044999997</v>
      </c>
      <c r="G1074">
        <v>1374.9416504000001</v>
      </c>
      <c r="H1074">
        <v>1359.661499</v>
      </c>
      <c r="I1074">
        <v>1324.4415283000001</v>
      </c>
      <c r="J1074">
        <v>1321.2352295000001</v>
      </c>
      <c r="K1074">
        <v>1200</v>
      </c>
      <c r="L1074">
        <v>0</v>
      </c>
      <c r="M1074">
        <v>0</v>
      </c>
      <c r="N1074">
        <v>1200</v>
      </c>
    </row>
    <row r="1075" spans="1:14" x14ac:dyDescent="0.25">
      <c r="A1075">
        <v>1107.960908</v>
      </c>
      <c r="B1075" s="1">
        <f>DATE(2013,5,12) + TIME(23,3,42)</f>
        <v>41406.960902777777</v>
      </c>
      <c r="C1075">
        <v>80</v>
      </c>
      <c r="D1075">
        <v>79.641746521000002</v>
      </c>
      <c r="E1075">
        <v>50</v>
      </c>
      <c r="F1075">
        <v>48.291969299000002</v>
      </c>
      <c r="G1075">
        <v>1374.8685303</v>
      </c>
      <c r="H1075">
        <v>1359.6072998</v>
      </c>
      <c r="I1075">
        <v>1324.4350586</v>
      </c>
      <c r="J1075">
        <v>1321.2261963000001</v>
      </c>
      <c r="K1075">
        <v>1200</v>
      </c>
      <c r="L1075">
        <v>0</v>
      </c>
      <c r="M1075">
        <v>0</v>
      </c>
      <c r="N1075">
        <v>1200</v>
      </c>
    </row>
    <row r="1076" spans="1:14" x14ac:dyDescent="0.25">
      <c r="A1076">
        <v>1108.5000010000001</v>
      </c>
      <c r="B1076" s="1">
        <f>DATE(2013,5,13) + TIME(12,0,0)</f>
        <v>41407.5</v>
      </c>
      <c r="C1076">
        <v>80</v>
      </c>
      <c r="D1076">
        <v>79.667930603000002</v>
      </c>
      <c r="E1076">
        <v>50</v>
      </c>
      <c r="F1076">
        <v>48.238208770999996</v>
      </c>
      <c r="G1076">
        <v>1374.7958983999999</v>
      </c>
      <c r="H1076">
        <v>1359.5529785000001</v>
      </c>
      <c r="I1076">
        <v>1324.4282227000001</v>
      </c>
      <c r="J1076">
        <v>1321.2166748</v>
      </c>
      <c r="K1076">
        <v>1200</v>
      </c>
      <c r="L1076">
        <v>0</v>
      </c>
      <c r="M1076">
        <v>0</v>
      </c>
      <c r="N1076">
        <v>1200</v>
      </c>
    </row>
    <row r="1077" spans="1:14" x14ac:dyDescent="0.25">
      <c r="A1077">
        <v>1109.043105</v>
      </c>
      <c r="B1077" s="1">
        <f>DATE(2013,5,14) + TIME(1,2,4)</f>
        <v>41408.04310185185</v>
      </c>
      <c r="C1077">
        <v>80</v>
      </c>
      <c r="D1077">
        <v>79.689292907999999</v>
      </c>
      <c r="E1077">
        <v>50</v>
      </c>
      <c r="F1077">
        <v>48.184444427000003</v>
      </c>
      <c r="G1077">
        <v>1374.7261963000001</v>
      </c>
      <c r="H1077">
        <v>1359.5004882999999</v>
      </c>
      <c r="I1077">
        <v>1324.4213867000001</v>
      </c>
      <c r="J1077">
        <v>1321.2070312000001</v>
      </c>
      <c r="K1077">
        <v>1200</v>
      </c>
      <c r="L1077">
        <v>0</v>
      </c>
      <c r="M1077">
        <v>0</v>
      </c>
      <c r="N1077">
        <v>1200</v>
      </c>
    </row>
    <row r="1078" spans="1:14" x14ac:dyDescent="0.25">
      <c r="A1078">
        <v>1109.59238</v>
      </c>
      <c r="B1078" s="1">
        <f>DATE(2013,5,14) + TIME(14,13,1)</f>
        <v>41408.592372685183</v>
      </c>
      <c r="C1078">
        <v>80</v>
      </c>
      <c r="D1078">
        <v>79.706779479999994</v>
      </c>
      <c r="E1078">
        <v>50</v>
      </c>
      <c r="F1078">
        <v>48.130531310999999</v>
      </c>
      <c r="G1078">
        <v>1374.6588135</v>
      </c>
      <c r="H1078">
        <v>1359.4495850000001</v>
      </c>
      <c r="I1078">
        <v>1324.4144286999999</v>
      </c>
      <c r="J1078">
        <v>1321.1972656</v>
      </c>
      <c r="K1078">
        <v>1200</v>
      </c>
      <c r="L1078">
        <v>0</v>
      </c>
      <c r="M1078">
        <v>0</v>
      </c>
      <c r="N1078">
        <v>1200</v>
      </c>
    </row>
    <row r="1079" spans="1:14" x14ac:dyDescent="0.25">
      <c r="A1079">
        <v>1110.1499490000001</v>
      </c>
      <c r="B1079" s="1">
        <f>DATE(2013,5,15) + TIME(3,35,55)</f>
        <v>41409.149942129632</v>
      </c>
      <c r="C1079">
        <v>80</v>
      </c>
      <c r="D1079">
        <v>79.721115112000007</v>
      </c>
      <c r="E1079">
        <v>50</v>
      </c>
      <c r="F1079">
        <v>48.076305388999998</v>
      </c>
      <c r="G1079">
        <v>1374.5932617000001</v>
      </c>
      <c r="H1079">
        <v>1359.3999022999999</v>
      </c>
      <c r="I1079">
        <v>1324.4073486</v>
      </c>
      <c r="J1079">
        <v>1321.1872559000001</v>
      </c>
      <c r="K1079">
        <v>1200</v>
      </c>
      <c r="L1079">
        <v>0</v>
      </c>
      <c r="M1079">
        <v>0</v>
      </c>
      <c r="N1079">
        <v>1200</v>
      </c>
    </row>
    <row r="1080" spans="1:14" x14ac:dyDescent="0.25">
      <c r="A1080">
        <v>1110.717946</v>
      </c>
      <c r="B1080" s="1">
        <f>DATE(2013,5,15) + TIME(17,13,50)</f>
        <v>41409.717939814815</v>
      </c>
      <c r="C1080">
        <v>80</v>
      </c>
      <c r="D1080">
        <v>79.732887267999999</v>
      </c>
      <c r="E1080">
        <v>50</v>
      </c>
      <c r="F1080">
        <v>48.021621703999998</v>
      </c>
      <c r="G1080">
        <v>1374.5294189000001</v>
      </c>
      <c r="H1080">
        <v>1359.3514404</v>
      </c>
      <c r="I1080">
        <v>1324.4000243999999</v>
      </c>
      <c r="J1080">
        <v>1321.1770019999999</v>
      </c>
      <c r="K1080">
        <v>1200</v>
      </c>
      <c r="L1080">
        <v>0</v>
      </c>
      <c r="M1080">
        <v>0</v>
      </c>
      <c r="N1080">
        <v>1200</v>
      </c>
    </row>
    <row r="1081" spans="1:14" x14ac:dyDescent="0.25">
      <c r="A1081">
        <v>1111.2986169999999</v>
      </c>
      <c r="B1081" s="1">
        <f>DATE(2013,5,16) + TIME(7,10,0)</f>
        <v>41410.298611111109</v>
      </c>
      <c r="C1081">
        <v>80</v>
      </c>
      <c r="D1081">
        <v>79.742568969999994</v>
      </c>
      <c r="E1081">
        <v>50</v>
      </c>
      <c r="F1081">
        <v>47.966316223</v>
      </c>
      <c r="G1081">
        <v>1374.4666748</v>
      </c>
      <c r="H1081">
        <v>1359.3037108999999</v>
      </c>
      <c r="I1081">
        <v>1324.3925781</v>
      </c>
      <c r="J1081">
        <v>1321.1665039</v>
      </c>
      <c r="K1081">
        <v>1200</v>
      </c>
      <c r="L1081">
        <v>0</v>
      </c>
      <c r="M1081">
        <v>0</v>
      </c>
      <c r="N1081">
        <v>1200</v>
      </c>
    </row>
    <row r="1082" spans="1:14" x14ac:dyDescent="0.25">
      <c r="A1082">
        <v>1111.894626</v>
      </c>
      <c r="B1082" s="1">
        <f>DATE(2013,5,16) + TIME(21,28,15)</f>
        <v>41410.894618055558</v>
      </c>
      <c r="C1082">
        <v>80</v>
      </c>
      <c r="D1082">
        <v>79.750534058</v>
      </c>
      <c r="E1082">
        <v>50</v>
      </c>
      <c r="F1082">
        <v>47.910194396999998</v>
      </c>
      <c r="G1082">
        <v>1374.4049072</v>
      </c>
      <c r="H1082">
        <v>1359.2567139</v>
      </c>
      <c r="I1082">
        <v>1324.3850098</v>
      </c>
      <c r="J1082">
        <v>1321.1556396000001</v>
      </c>
      <c r="K1082">
        <v>1200</v>
      </c>
      <c r="L1082">
        <v>0</v>
      </c>
      <c r="M1082">
        <v>0</v>
      </c>
      <c r="N1082">
        <v>1200</v>
      </c>
    </row>
    <row r="1083" spans="1:14" x14ac:dyDescent="0.25">
      <c r="A1083">
        <v>1112.508176</v>
      </c>
      <c r="B1083" s="1">
        <f>DATE(2013,5,17) + TIME(12,11,46)</f>
        <v>41411.508171296293</v>
      </c>
      <c r="C1083">
        <v>80</v>
      </c>
      <c r="D1083">
        <v>79.757080078000001</v>
      </c>
      <c r="E1083">
        <v>50</v>
      </c>
      <c r="F1083">
        <v>47.853107452000003</v>
      </c>
      <c r="G1083">
        <v>1374.34375</v>
      </c>
      <c r="H1083">
        <v>1359.2100829999999</v>
      </c>
      <c r="I1083">
        <v>1324.3770752</v>
      </c>
      <c r="J1083">
        <v>1321.1445312000001</v>
      </c>
      <c r="K1083">
        <v>1200</v>
      </c>
      <c r="L1083">
        <v>0</v>
      </c>
      <c r="M1083">
        <v>0</v>
      </c>
      <c r="N1083">
        <v>1200</v>
      </c>
    </row>
    <row r="1084" spans="1:14" x14ac:dyDescent="0.25">
      <c r="A1084">
        <v>1113.1387400000001</v>
      </c>
      <c r="B1084" s="1">
        <f>DATE(2013,5,18) + TIME(3,19,47)</f>
        <v>41412.138738425929</v>
      </c>
      <c r="C1084">
        <v>80</v>
      </c>
      <c r="D1084">
        <v>79.762435913000004</v>
      </c>
      <c r="E1084">
        <v>50</v>
      </c>
      <c r="F1084">
        <v>47.795108794999997</v>
      </c>
      <c r="G1084">
        <v>1374.2830810999999</v>
      </c>
      <c r="H1084">
        <v>1359.1638184000001</v>
      </c>
      <c r="I1084">
        <v>1324.3688964999999</v>
      </c>
      <c r="J1084">
        <v>1321.1329346</v>
      </c>
      <c r="K1084">
        <v>1200</v>
      </c>
      <c r="L1084">
        <v>0</v>
      </c>
      <c r="M1084">
        <v>0</v>
      </c>
      <c r="N1084">
        <v>1200</v>
      </c>
    </row>
    <row r="1085" spans="1:14" x14ac:dyDescent="0.25">
      <c r="A1085">
        <v>1113.7886860000001</v>
      </c>
      <c r="B1085" s="1">
        <f>DATE(2013,5,18) + TIME(18,55,42)</f>
        <v>41412.788680555554</v>
      </c>
      <c r="C1085">
        <v>80</v>
      </c>
      <c r="D1085">
        <v>79.766822814999998</v>
      </c>
      <c r="E1085">
        <v>50</v>
      </c>
      <c r="F1085">
        <v>47.736045836999999</v>
      </c>
      <c r="G1085">
        <v>1374.2227783000001</v>
      </c>
      <c r="H1085">
        <v>1359.1177978999999</v>
      </c>
      <c r="I1085">
        <v>1324.3604736</v>
      </c>
      <c r="J1085">
        <v>1321.1209716999999</v>
      </c>
      <c r="K1085">
        <v>1200</v>
      </c>
      <c r="L1085">
        <v>0</v>
      </c>
      <c r="M1085">
        <v>0</v>
      </c>
      <c r="N1085">
        <v>1200</v>
      </c>
    </row>
    <row r="1086" spans="1:14" x14ac:dyDescent="0.25">
      <c r="A1086">
        <v>1114.4609840000001</v>
      </c>
      <c r="B1086" s="1">
        <f>DATE(2013,5,19) + TIME(11,3,49)</f>
        <v>41413.4609837963</v>
      </c>
      <c r="C1086">
        <v>80</v>
      </c>
      <c r="D1086">
        <v>79.770401000999996</v>
      </c>
      <c r="E1086">
        <v>50</v>
      </c>
      <c r="F1086">
        <v>47.675720214999998</v>
      </c>
      <c r="G1086">
        <v>1374.1627197</v>
      </c>
      <c r="H1086">
        <v>1359.0720214999999</v>
      </c>
      <c r="I1086">
        <v>1324.3518065999999</v>
      </c>
      <c r="J1086">
        <v>1321.1086425999999</v>
      </c>
      <c r="K1086">
        <v>1200</v>
      </c>
      <c r="L1086">
        <v>0</v>
      </c>
      <c r="M1086">
        <v>0</v>
      </c>
      <c r="N1086">
        <v>1200</v>
      </c>
    </row>
    <row r="1087" spans="1:14" x14ac:dyDescent="0.25">
      <c r="A1087">
        <v>1115.1587480000001</v>
      </c>
      <c r="B1087" s="1">
        <f>DATE(2013,5,20) + TIME(3,48,35)</f>
        <v>41414.158738425926</v>
      </c>
      <c r="C1087">
        <v>80</v>
      </c>
      <c r="D1087">
        <v>79.773330688000001</v>
      </c>
      <c r="E1087">
        <v>50</v>
      </c>
      <c r="F1087">
        <v>47.613937378000003</v>
      </c>
      <c r="G1087">
        <v>1374.1027832</v>
      </c>
      <c r="H1087">
        <v>1359.0263672000001</v>
      </c>
      <c r="I1087">
        <v>1324.3426514</v>
      </c>
      <c r="J1087">
        <v>1321.0957031</v>
      </c>
      <c r="K1087">
        <v>1200</v>
      </c>
      <c r="L1087">
        <v>0</v>
      </c>
      <c r="M1087">
        <v>0</v>
      </c>
      <c r="N1087">
        <v>1200</v>
      </c>
    </row>
    <row r="1088" spans="1:14" x14ac:dyDescent="0.25">
      <c r="A1088">
        <v>1115.8857929999999</v>
      </c>
      <c r="B1088" s="1">
        <f>DATE(2013,5,20) + TIME(21,15,32)</f>
        <v>41414.885787037034</v>
      </c>
      <c r="C1088">
        <v>80</v>
      </c>
      <c r="D1088">
        <v>79.775726317999997</v>
      </c>
      <c r="E1088">
        <v>50</v>
      </c>
      <c r="F1088">
        <v>47.550453185999999</v>
      </c>
      <c r="G1088">
        <v>1374.0424805</v>
      </c>
      <c r="H1088">
        <v>1358.9804687999999</v>
      </c>
      <c r="I1088">
        <v>1324.3332519999999</v>
      </c>
      <c r="J1088">
        <v>1321.0822754000001</v>
      </c>
      <c r="K1088">
        <v>1200</v>
      </c>
      <c r="L1088">
        <v>0</v>
      </c>
      <c r="M1088">
        <v>0</v>
      </c>
      <c r="N1088">
        <v>1200</v>
      </c>
    </row>
    <row r="1089" spans="1:14" x14ac:dyDescent="0.25">
      <c r="A1089">
        <v>1116.6465519999999</v>
      </c>
      <c r="B1089" s="1">
        <f>DATE(2013,5,21) + TIME(15,31,2)</f>
        <v>41415.646550925929</v>
      </c>
      <c r="C1089">
        <v>80</v>
      </c>
      <c r="D1089">
        <v>79.777679442999997</v>
      </c>
      <c r="E1089">
        <v>50</v>
      </c>
      <c r="F1089">
        <v>47.484992980999998</v>
      </c>
      <c r="G1089">
        <v>1373.9819336</v>
      </c>
      <c r="H1089">
        <v>1358.9343262</v>
      </c>
      <c r="I1089">
        <v>1324.3233643000001</v>
      </c>
      <c r="J1089">
        <v>1321.0682373</v>
      </c>
      <c r="K1089">
        <v>1200</v>
      </c>
      <c r="L1089">
        <v>0</v>
      </c>
      <c r="M1089">
        <v>0</v>
      </c>
      <c r="N1089">
        <v>1200</v>
      </c>
    </row>
    <row r="1090" spans="1:14" x14ac:dyDescent="0.25">
      <c r="A1090">
        <v>1117.446205</v>
      </c>
      <c r="B1090" s="1">
        <f>DATE(2013,5,22) + TIME(10,42,32)</f>
        <v>41416.446203703701</v>
      </c>
      <c r="C1090">
        <v>80</v>
      </c>
      <c r="D1090">
        <v>79.779281616000006</v>
      </c>
      <c r="E1090">
        <v>50</v>
      </c>
      <c r="F1090">
        <v>47.417243958</v>
      </c>
      <c r="G1090">
        <v>1373.9205322</v>
      </c>
      <c r="H1090">
        <v>1358.8875731999999</v>
      </c>
      <c r="I1090">
        <v>1324.3129882999999</v>
      </c>
      <c r="J1090">
        <v>1321.0533447</v>
      </c>
      <c r="K1090">
        <v>1200</v>
      </c>
      <c r="L1090">
        <v>0</v>
      </c>
      <c r="M1090">
        <v>0</v>
      </c>
      <c r="N1090">
        <v>1200</v>
      </c>
    </row>
    <row r="1091" spans="1:14" x14ac:dyDescent="0.25">
      <c r="A1091">
        <v>1118.253684</v>
      </c>
      <c r="B1091" s="1">
        <f>DATE(2013,5,23) + TIME(6,5,18)</f>
        <v>41417.253680555557</v>
      </c>
      <c r="C1091">
        <v>80</v>
      </c>
      <c r="D1091">
        <v>79.780540466000005</v>
      </c>
      <c r="E1091">
        <v>50</v>
      </c>
      <c r="F1091">
        <v>47.349243164000001</v>
      </c>
      <c r="G1091">
        <v>1373.8581543</v>
      </c>
      <c r="H1091">
        <v>1358.8402100000001</v>
      </c>
      <c r="I1091">
        <v>1324.3020019999999</v>
      </c>
      <c r="J1091">
        <v>1321.0378418</v>
      </c>
      <c r="K1091">
        <v>1200</v>
      </c>
      <c r="L1091">
        <v>0</v>
      </c>
      <c r="M1091">
        <v>0</v>
      </c>
      <c r="N1091">
        <v>1200</v>
      </c>
    </row>
    <row r="1092" spans="1:14" x14ac:dyDescent="0.25">
      <c r="A1092">
        <v>1119.065973</v>
      </c>
      <c r="B1092" s="1">
        <f>DATE(2013,5,24) + TIME(1,35,0)</f>
        <v>41418.065972222219</v>
      </c>
      <c r="C1092">
        <v>80</v>
      </c>
      <c r="D1092">
        <v>79.781539917000003</v>
      </c>
      <c r="E1092">
        <v>50</v>
      </c>
      <c r="F1092">
        <v>47.281284331999998</v>
      </c>
      <c r="G1092">
        <v>1373.7972411999999</v>
      </c>
      <c r="H1092">
        <v>1358.7939452999999</v>
      </c>
      <c r="I1092">
        <v>1324.2907714999999</v>
      </c>
      <c r="J1092">
        <v>1321.0219727000001</v>
      </c>
      <c r="K1092">
        <v>1200</v>
      </c>
      <c r="L1092">
        <v>0</v>
      </c>
      <c r="M1092">
        <v>0</v>
      </c>
      <c r="N1092">
        <v>1200</v>
      </c>
    </row>
    <row r="1093" spans="1:14" x14ac:dyDescent="0.25">
      <c r="A1093">
        <v>1119.886383</v>
      </c>
      <c r="B1093" s="1">
        <f>DATE(2013,5,24) + TIME(21,16,23)</f>
        <v>41418.886377314811</v>
      </c>
      <c r="C1093">
        <v>80</v>
      </c>
      <c r="D1093">
        <v>79.782341002999999</v>
      </c>
      <c r="E1093">
        <v>50</v>
      </c>
      <c r="F1093">
        <v>47.213237761999999</v>
      </c>
      <c r="G1093">
        <v>1373.7379149999999</v>
      </c>
      <c r="H1093">
        <v>1358.7490233999999</v>
      </c>
      <c r="I1093">
        <v>1324.2795410000001</v>
      </c>
      <c r="J1093">
        <v>1321.0059814000001</v>
      </c>
      <c r="K1093">
        <v>1200</v>
      </c>
      <c r="L1093">
        <v>0</v>
      </c>
      <c r="M1093">
        <v>0</v>
      </c>
      <c r="N1093">
        <v>1200</v>
      </c>
    </row>
    <row r="1094" spans="1:14" x14ac:dyDescent="0.25">
      <c r="A1094">
        <v>1120.718149</v>
      </c>
      <c r="B1094" s="1">
        <f>DATE(2013,5,25) + TIME(17,14,8)</f>
        <v>41419.718148148146</v>
      </c>
      <c r="C1094">
        <v>80</v>
      </c>
      <c r="D1094">
        <v>79.782989502000007</v>
      </c>
      <c r="E1094">
        <v>50</v>
      </c>
      <c r="F1094">
        <v>47.144958496000001</v>
      </c>
      <c r="G1094">
        <v>1373.6799315999999</v>
      </c>
      <c r="H1094">
        <v>1358.7049560999999</v>
      </c>
      <c r="I1094">
        <v>1324.2680664</v>
      </c>
      <c r="J1094">
        <v>1320.9897461</v>
      </c>
      <c r="K1094">
        <v>1200</v>
      </c>
      <c r="L1094">
        <v>0</v>
      </c>
      <c r="M1094">
        <v>0</v>
      </c>
      <c r="N1094">
        <v>1200</v>
      </c>
    </row>
    <row r="1095" spans="1:14" x14ac:dyDescent="0.25">
      <c r="A1095">
        <v>1121.5645469999999</v>
      </c>
      <c r="B1095" s="1">
        <f>DATE(2013,5,26) + TIME(13,32,56)</f>
        <v>41420.56453703704</v>
      </c>
      <c r="C1095">
        <v>80</v>
      </c>
      <c r="D1095">
        <v>79.783523560000006</v>
      </c>
      <c r="E1095">
        <v>50</v>
      </c>
      <c r="F1095">
        <v>47.076282501000001</v>
      </c>
      <c r="G1095">
        <v>1373.6228027</v>
      </c>
      <c r="H1095">
        <v>1358.6617432</v>
      </c>
      <c r="I1095">
        <v>1324.2563477000001</v>
      </c>
      <c r="J1095">
        <v>1320.9730225000001</v>
      </c>
      <c r="K1095">
        <v>1200</v>
      </c>
      <c r="L1095">
        <v>0</v>
      </c>
      <c r="M1095">
        <v>0</v>
      </c>
      <c r="N1095">
        <v>1200</v>
      </c>
    </row>
    <row r="1096" spans="1:14" x14ac:dyDescent="0.25">
      <c r="A1096">
        <v>1122.429116</v>
      </c>
      <c r="B1096" s="1">
        <f>DATE(2013,5,27) + TIME(10,17,55)</f>
        <v>41421.429108796299</v>
      </c>
      <c r="C1096">
        <v>80</v>
      </c>
      <c r="D1096">
        <v>79.783966063999998</v>
      </c>
      <c r="E1096">
        <v>50</v>
      </c>
      <c r="F1096">
        <v>47.007022857999999</v>
      </c>
      <c r="G1096">
        <v>1373.5664062000001</v>
      </c>
      <c r="H1096">
        <v>1358.6191406</v>
      </c>
      <c r="I1096">
        <v>1324.2445068</v>
      </c>
      <c r="J1096">
        <v>1320.9560547000001</v>
      </c>
      <c r="K1096">
        <v>1200</v>
      </c>
      <c r="L1096">
        <v>0</v>
      </c>
      <c r="M1096">
        <v>0</v>
      </c>
      <c r="N1096">
        <v>1200</v>
      </c>
    </row>
    <row r="1097" spans="1:14" x14ac:dyDescent="0.25">
      <c r="A1097">
        <v>1123.315773</v>
      </c>
      <c r="B1097" s="1">
        <f>DATE(2013,5,28) + TIME(7,34,42)</f>
        <v>41422.315763888888</v>
      </c>
      <c r="C1097">
        <v>80</v>
      </c>
      <c r="D1097">
        <v>79.784355164000004</v>
      </c>
      <c r="E1097">
        <v>50</v>
      </c>
      <c r="F1097">
        <v>46.936962127999998</v>
      </c>
      <c r="G1097">
        <v>1373.5104980000001</v>
      </c>
      <c r="H1097">
        <v>1358.5769043</v>
      </c>
      <c r="I1097">
        <v>1324.2322998</v>
      </c>
      <c r="J1097">
        <v>1320.9387207</v>
      </c>
      <c r="K1097">
        <v>1200</v>
      </c>
      <c r="L1097">
        <v>0</v>
      </c>
      <c r="M1097">
        <v>0</v>
      </c>
      <c r="N1097">
        <v>1200</v>
      </c>
    </row>
    <row r="1098" spans="1:14" x14ac:dyDescent="0.25">
      <c r="A1098">
        <v>1124.2280209999999</v>
      </c>
      <c r="B1098" s="1">
        <f>DATE(2013,5,29) + TIME(5,28,21)</f>
        <v>41423.228020833332</v>
      </c>
      <c r="C1098">
        <v>80</v>
      </c>
      <c r="D1098">
        <v>79.784683228000006</v>
      </c>
      <c r="E1098">
        <v>50</v>
      </c>
      <c r="F1098">
        <v>46.865913390999999</v>
      </c>
      <c r="G1098">
        <v>1373.4548339999999</v>
      </c>
      <c r="H1098">
        <v>1358.5349120999999</v>
      </c>
      <c r="I1098">
        <v>1324.2197266000001</v>
      </c>
      <c r="J1098">
        <v>1320.9207764</v>
      </c>
      <c r="K1098">
        <v>1200</v>
      </c>
      <c r="L1098">
        <v>0</v>
      </c>
      <c r="M1098">
        <v>0</v>
      </c>
      <c r="N1098">
        <v>1200</v>
      </c>
    </row>
    <row r="1099" spans="1:14" x14ac:dyDescent="0.25">
      <c r="A1099">
        <v>1125.1701969999999</v>
      </c>
      <c r="B1099" s="1">
        <f>DATE(2013,5,30) + TIME(4,5,5)</f>
        <v>41424.17019675926</v>
      </c>
      <c r="C1099">
        <v>80</v>
      </c>
      <c r="D1099">
        <v>79.784980774000005</v>
      </c>
      <c r="E1099">
        <v>50</v>
      </c>
      <c r="F1099">
        <v>46.793643951</v>
      </c>
      <c r="G1099">
        <v>1373.3991699000001</v>
      </c>
      <c r="H1099">
        <v>1358.4927978999999</v>
      </c>
      <c r="I1099">
        <v>1324.2067870999999</v>
      </c>
      <c r="J1099">
        <v>1320.9022216999999</v>
      </c>
      <c r="K1099">
        <v>1200</v>
      </c>
      <c r="L1099">
        <v>0</v>
      </c>
      <c r="M1099">
        <v>0</v>
      </c>
      <c r="N1099">
        <v>1200</v>
      </c>
    </row>
    <row r="1100" spans="1:14" x14ac:dyDescent="0.25">
      <c r="A1100">
        <v>1126.147172</v>
      </c>
      <c r="B1100" s="1">
        <f>DATE(2013,5,31) + TIME(3,31,55)</f>
        <v>41425.147164351853</v>
      </c>
      <c r="C1100">
        <v>80</v>
      </c>
      <c r="D1100">
        <v>79.785247803000004</v>
      </c>
      <c r="E1100">
        <v>50</v>
      </c>
      <c r="F1100">
        <v>46.719902038999997</v>
      </c>
      <c r="G1100">
        <v>1373.3432617000001</v>
      </c>
      <c r="H1100">
        <v>1358.4506836</v>
      </c>
      <c r="I1100">
        <v>1324.1934814000001</v>
      </c>
      <c r="J1100">
        <v>1320.8830565999999</v>
      </c>
      <c r="K1100">
        <v>1200</v>
      </c>
      <c r="L1100">
        <v>0</v>
      </c>
      <c r="M1100">
        <v>0</v>
      </c>
      <c r="N1100">
        <v>1200</v>
      </c>
    </row>
    <row r="1101" spans="1:14" x14ac:dyDescent="0.25">
      <c r="A1101">
        <v>1127</v>
      </c>
      <c r="B1101" s="1">
        <f>DATE(2013,6,1) + TIME(0,0,0)</f>
        <v>41426</v>
      </c>
      <c r="C1101">
        <v>80</v>
      </c>
      <c r="D1101">
        <v>79.785453795999999</v>
      </c>
      <c r="E1101">
        <v>50</v>
      </c>
      <c r="F1101">
        <v>46.653728485000002</v>
      </c>
      <c r="G1101">
        <v>1373.2867432</v>
      </c>
      <c r="H1101">
        <v>1358.4082031</v>
      </c>
      <c r="I1101">
        <v>1324.1795654</v>
      </c>
      <c r="J1101">
        <v>1320.8636475000001</v>
      </c>
      <c r="K1101">
        <v>1200</v>
      </c>
      <c r="L1101">
        <v>0</v>
      </c>
      <c r="M1101">
        <v>0</v>
      </c>
      <c r="N1101">
        <v>1200</v>
      </c>
    </row>
    <row r="1102" spans="1:14" x14ac:dyDescent="0.25">
      <c r="A1102">
        <v>1128.0173070000001</v>
      </c>
      <c r="B1102" s="1">
        <f>DATE(2013,6,2) + TIME(0,24,55)</f>
        <v>41427.01730324074</v>
      </c>
      <c r="C1102">
        <v>80</v>
      </c>
      <c r="D1102">
        <v>79.785682678000001</v>
      </c>
      <c r="E1102">
        <v>50</v>
      </c>
      <c r="F1102">
        <v>46.579338073999999</v>
      </c>
      <c r="G1102">
        <v>1373.2390137</v>
      </c>
      <c r="H1102">
        <v>1358.3721923999999</v>
      </c>
      <c r="I1102">
        <v>1324.1673584</v>
      </c>
      <c r="J1102">
        <v>1320.8455810999999</v>
      </c>
      <c r="K1102">
        <v>1200</v>
      </c>
      <c r="L1102">
        <v>0</v>
      </c>
      <c r="M1102">
        <v>0</v>
      </c>
      <c r="N1102">
        <v>1200</v>
      </c>
    </row>
    <row r="1103" spans="1:14" x14ac:dyDescent="0.25">
      <c r="A1103">
        <v>1129.092081</v>
      </c>
      <c r="B1103" s="1">
        <f>DATE(2013,6,3) + TIME(2,12,35)</f>
        <v>41428.09207175926</v>
      </c>
      <c r="C1103">
        <v>80</v>
      </c>
      <c r="D1103">
        <v>79.785911560000002</v>
      </c>
      <c r="E1103">
        <v>50</v>
      </c>
      <c r="F1103">
        <v>46.502273559999999</v>
      </c>
      <c r="G1103">
        <v>1373.1833495999999</v>
      </c>
      <c r="H1103">
        <v>1358.3303223</v>
      </c>
      <c r="I1103">
        <v>1324.1529541</v>
      </c>
      <c r="J1103">
        <v>1320.8248291</v>
      </c>
      <c r="K1103">
        <v>1200</v>
      </c>
      <c r="L1103">
        <v>0</v>
      </c>
      <c r="M1103">
        <v>0</v>
      </c>
      <c r="N1103">
        <v>1200</v>
      </c>
    </row>
    <row r="1104" spans="1:14" x14ac:dyDescent="0.25">
      <c r="A1104">
        <v>1130.1695749999999</v>
      </c>
      <c r="B1104" s="1">
        <f>DATE(2013,6,4) + TIME(4,4,11)</f>
        <v>41429.169571759259</v>
      </c>
      <c r="C1104">
        <v>80</v>
      </c>
      <c r="D1104">
        <v>79.786125182999996</v>
      </c>
      <c r="E1104">
        <v>50</v>
      </c>
      <c r="F1104">
        <v>46.425327301000003</v>
      </c>
      <c r="G1104">
        <v>1373.1260986</v>
      </c>
      <c r="H1104">
        <v>1358.2873535000001</v>
      </c>
      <c r="I1104">
        <v>1324.1376952999999</v>
      </c>
      <c r="J1104">
        <v>1320.8029785000001</v>
      </c>
      <c r="K1104">
        <v>1200</v>
      </c>
      <c r="L1104">
        <v>0</v>
      </c>
      <c r="M1104">
        <v>0</v>
      </c>
      <c r="N1104">
        <v>1200</v>
      </c>
    </row>
    <row r="1105" spans="1:14" x14ac:dyDescent="0.25">
      <c r="A1105">
        <v>1131.2542060000001</v>
      </c>
      <c r="B1105" s="1">
        <f>DATE(2013,6,5) + TIME(6,6,3)</f>
        <v>41430.254201388889</v>
      </c>
      <c r="C1105">
        <v>80</v>
      </c>
      <c r="D1105">
        <v>79.786323546999995</v>
      </c>
      <c r="E1105">
        <v>50</v>
      </c>
      <c r="F1105">
        <v>46.348491668999998</v>
      </c>
      <c r="G1105">
        <v>1373.0703125</v>
      </c>
      <c r="H1105">
        <v>1358.2453613</v>
      </c>
      <c r="I1105">
        <v>1324.1223144999999</v>
      </c>
      <c r="J1105">
        <v>1320.7810059000001</v>
      </c>
      <c r="K1105">
        <v>1200</v>
      </c>
      <c r="L1105">
        <v>0</v>
      </c>
      <c r="M1105">
        <v>0</v>
      </c>
      <c r="N1105">
        <v>1200</v>
      </c>
    </row>
    <row r="1106" spans="1:14" x14ac:dyDescent="0.25">
      <c r="A1106">
        <v>1132.3503989999999</v>
      </c>
      <c r="B1106" s="1">
        <f>DATE(2013,6,6) + TIME(8,24,34)</f>
        <v>41431.350393518522</v>
      </c>
      <c r="C1106">
        <v>80</v>
      </c>
      <c r="D1106">
        <v>79.786521911999998</v>
      </c>
      <c r="E1106">
        <v>50</v>
      </c>
      <c r="F1106">
        <v>46.271701813</v>
      </c>
      <c r="G1106">
        <v>1373.0157471</v>
      </c>
      <c r="H1106">
        <v>1358.2042236</v>
      </c>
      <c r="I1106">
        <v>1324.1069336</v>
      </c>
      <c r="J1106">
        <v>1320.7587891000001</v>
      </c>
      <c r="K1106">
        <v>1200</v>
      </c>
      <c r="L1106">
        <v>0</v>
      </c>
      <c r="M1106">
        <v>0</v>
      </c>
      <c r="N1106">
        <v>1200</v>
      </c>
    </row>
    <row r="1107" spans="1:14" x14ac:dyDescent="0.25">
      <c r="A1107">
        <v>1133.462546</v>
      </c>
      <c r="B1107" s="1">
        <f>DATE(2013,6,7) + TIME(11,6,3)</f>
        <v>41432.462534722225</v>
      </c>
      <c r="C1107">
        <v>80</v>
      </c>
      <c r="D1107">
        <v>79.786720275999997</v>
      </c>
      <c r="E1107">
        <v>50</v>
      </c>
      <c r="F1107">
        <v>46.194831848</v>
      </c>
      <c r="G1107">
        <v>1372.9619141000001</v>
      </c>
      <c r="H1107">
        <v>1358.1638184000001</v>
      </c>
      <c r="I1107">
        <v>1324.0913086</v>
      </c>
      <c r="J1107">
        <v>1320.7362060999999</v>
      </c>
      <c r="K1107">
        <v>1200</v>
      </c>
      <c r="L1107">
        <v>0</v>
      </c>
      <c r="M1107">
        <v>0</v>
      </c>
      <c r="N1107">
        <v>1200</v>
      </c>
    </row>
    <row r="1108" spans="1:14" x14ac:dyDescent="0.25">
      <c r="A1108">
        <v>1134.5951219999999</v>
      </c>
      <c r="B1108" s="1">
        <f>DATE(2013,6,8) + TIME(14,16,58)</f>
        <v>41433.59511574074</v>
      </c>
      <c r="C1108">
        <v>80</v>
      </c>
      <c r="D1108">
        <v>79.786918639999996</v>
      </c>
      <c r="E1108">
        <v>50</v>
      </c>
      <c r="F1108">
        <v>46.117721558</v>
      </c>
      <c r="G1108">
        <v>1372.9088135</v>
      </c>
      <c r="H1108">
        <v>1358.1239014</v>
      </c>
      <c r="I1108">
        <v>1324.0754394999999</v>
      </c>
      <c r="J1108">
        <v>1320.7133789</v>
      </c>
      <c r="K1108">
        <v>1200</v>
      </c>
      <c r="L1108">
        <v>0</v>
      </c>
      <c r="M1108">
        <v>0</v>
      </c>
      <c r="N1108">
        <v>1200</v>
      </c>
    </row>
    <row r="1109" spans="1:14" x14ac:dyDescent="0.25">
      <c r="A1109">
        <v>1135.753414</v>
      </c>
      <c r="B1109" s="1">
        <f>DATE(2013,6,9) + TIME(18,4,54)</f>
        <v>41434.75340277778</v>
      </c>
      <c r="C1109">
        <v>80</v>
      </c>
      <c r="D1109">
        <v>79.787117003999995</v>
      </c>
      <c r="E1109">
        <v>50</v>
      </c>
      <c r="F1109">
        <v>46.040164947999997</v>
      </c>
      <c r="G1109">
        <v>1372.8560791</v>
      </c>
      <c r="H1109">
        <v>1358.0843506000001</v>
      </c>
      <c r="I1109">
        <v>1324.0593262</v>
      </c>
      <c r="J1109">
        <v>1320.6900635</v>
      </c>
      <c r="K1109">
        <v>1200</v>
      </c>
      <c r="L1109">
        <v>0</v>
      </c>
      <c r="M1109">
        <v>0</v>
      </c>
      <c r="N1109">
        <v>1200</v>
      </c>
    </row>
    <row r="1110" spans="1:14" x14ac:dyDescent="0.25">
      <c r="A1110">
        <v>1136.9421400000001</v>
      </c>
      <c r="B1110" s="1">
        <f>DATE(2013,6,10) + TIME(22,36,40)</f>
        <v>41435.942129629628</v>
      </c>
      <c r="C1110">
        <v>80</v>
      </c>
      <c r="D1110">
        <v>79.787322997999993</v>
      </c>
      <c r="E1110">
        <v>50</v>
      </c>
      <c r="F1110">
        <v>45.961971282999997</v>
      </c>
      <c r="G1110">
        <v>1372.8034668</v>
      </c>
      <c r="H1110">
        <v>1358.0447998</v>
      </c>
      <c r="I1110">
        <v>1324.0429687999999</v>
      </c>
      <c r="J1110">
        <v>1320.6661377</v>
      </c>
      <c r="K1110">
        <v>1200</v>
      </c>
      <c r="L1110">
        <v>0</v>
      </c>
      <c r="M1110">
        <v>0</v>
      </c>
      <c r="N1110">
        <v>1200</v>
      </c>
    </row>
    <row r="1111" spans="1:14" x14ac:dyDescent="0.25">
      <c r="A1111">
        <v>1138.1667179999999</v>
      </c>
      <c r="B1111" s="1">
        <f>DATE(2013,6,12) + TIME(4,0,4)</f>
        <v>41437.166712962964</v>
      </c>
      <c r="C1111">
        <v>80</v>
      </c>
      <c r="D1111">
        <v>79.787536621000001</v>
      </c>
      <c r="E1111">
        <v>50</v>
      </c>
      <c r="F1111">
        <v>45.882919311999999</v>
      </c>
      <c r="G1111">
        <v>1372.7508545000001</v>
      </c>
      <c r="H1111">
        <v>1358.005249</v>
      </c>
      <c r="I1111">
        <v>1324.0261230000001</v>
      </c>
      <c r="J1111">
        <v>1320.6417236</v>
      </c>
      <c r="K1111">
        <v>1200</v>
      </c>
      <c r="L1111">
        <v>0</v>
      </c>
      <c r="M1111">
        <v>0</v>
      </c>
      <c r="N1111">
        <v>1200</v>
      </c>
    </row>
    <row r="1112" spans="1:14" x14ac:dyDescent="0.25">
      <c r="A1112">
        <v>1139.4333779999999</v>
      </c>
      <c r="B1112" s="1">
        <f>DATE(2013,6,13) + TIME(10,24,3)</f>
        <v>41438.433368055557</v>
      </c>
      <c r="C1112">
        <v>80</v>
      </c>
      <c r="D1112">
        <v>79.787750243999994</v>
      </c>
      <c r="E1112">
        <v>50</v>
      </c>
      <c r="F1112">
        <v>45.802764893000003</v>
      </c>
      <c r="G1112">
        <v>1372.6979980000001</v>
      </c>
      <c r="H1112">
        <v>1357.9654541</v>
      </c>
      <c r="I1112">
        <v>1324.0089111</v>
      </c>
      <c r="J1112">
        <v>1320.6166992000001</v>
      </c>
      <c r="K1112">
        <v>1200</v>
      </c>
      <c r="L1112">
        <v>0</v>
      </c>
      <c r="M1112">
        <v>0</v>
      </c>
      <c r="N1112">
        <v>1200</v>
      </c>
    </row>
    <row r="1113" spans="1:14" x14ac:dyDescent="0.25">
      <c r="A1113">
        <v>1140.7491990000001</v>
      </c>
      <c r="B1113" s="1">
        <f>DATE(2013,6,14) + TIME(17,58,50)</f>
        <v>41439.749189814815</v>
      </c>
      <c r="C1113">
        <v>80</v>
      </c>
      <c r="D1113">
        <v>79.787986755000006</v>
      </c>
      <c r="E1113">
        <v>50</v>
      </c>
      <c r="F1113">
        <v>45.721233368</v>
      </c>
      <c r="G1113">
        <v>1372.6446533000001</v>
      </c>
      <c r="H1113">
        <v>1357.9254149999999</v>
      </c>
      <c r="I1113">
        <v>1323.9910889</v>
      </c>
      <c r="J1113">
        <v>1320.5908202999999</v>
      </c>
      <c r="K1113">
        <v>1200</v>
      </c>
      <c r="L1113">
        <v>0</v>
      </c>
      <c r="M1113">
        <v>0</v>
      </c>
      <c r="N1113">
        <v>1200</v>
      </c>
    </row>
    <row r="1114" spans="1:14" x14ac:dyDescent="0.25">
      <c r="A1114">
        <v>1142.121952</v>
      </c>
      <c r="B1114" s="1">
        <f>DATE(2013,6,16) + TIME(2,55,36)</f>
        <v>41441.121944444443</v>
      </c>
      <c r="C1114">
        <v>80</v>
      </c>
      <c r="D1114">
        <v>79.788223267000006</v>
      </c>
      <c r="E1114">
        <v>50</v>
      </c>
      <c r="F1114">
        <v>45.638046265</v>
      </c>
      <c r="G1114">
        <v>1372.5905762</v>
      </c>
      <c r="H1114">
        <v>1357.8847656</v>
      </c>
      <c r="I1114">
        <v>1323.9727783000001</v>
      </c>
      <c r="J1114">
        <v>1320.5639647999999</v>
      </c>
      <c r="K1114">
        <v>1200</v>
      </c>
      <c r="L1114">
        <v>0</v>
      </c>
      <c r="M1114">
        <v>0</v>
      </c>
      <c r="N1114">
        <v>1200</v>
      </c>
    </row>
    <row r="1115" spans="1:14" x14ac:dyDescent="0.25">
      <c r="A1115">
        <v>1143.536139</v>
      </c>
      <c r="B1115" s="1">
        <f>DATE(2013,6,17) + TIME(12,52,2)</f>
        <v>41442.536134259259</v>
      </c>
      <c r="C1115">
        <v>80</v>
      </c>
      <c r="D1115">
        <v>79.788475036999998</v>
      </c>
      <c r="E1115">
        <v>50</v>
      </c>
      <c r="F1115">
        <v>45.553848266999999</v>
      </c>
      <c r="G1115">
        <v>1372.5356445</v>
      </c>
      <c r="H1115">
        <v>1357.8433838000001</v>
      </c>
      <c r="I1115">
        <v>1323.9537353999999</v>
      </c>
      <c r="J1115">
        <v>1320.5361327999999</v>
      </c>
      <c r="K1115">
        <v>1200</v>
      </c>
      <c r="L1115">
        <v>0</v>
      </c>
      <c r="M1115">
        <v>0</v>
      </c>
      <c r="N1115">
        <v>1200</v>
      </c>
    </row>
    <row r="1116" spans="1:14" x14ac:dyDescent="0.25">
      <c r="A1116">
        <v>1144.9537580000001</v>
      </c>
      <c r="B1116" s="1">
        <f>DATE(2013,6,18) + TIME(22,53,24)</f>
        <v>41443.953750000001</v>
      </c>
      <c r="C1116">
        <v>80</v>
      </c>
      <c r="D1116">
        <v>79.788719177000004</v>
      </c>
      <c r="E1116">
        <v>50</v>
      </c>
      <c r="F1116">
        <v>45.470256804999998</v>
      </c>
      <c r="G1116">
        <v>1372.4803466999999</v>
      </c>
      <c r="H1116">
        <v>1357.8017577999999</v>
      </c>
      <c r="I1116">
        <v>1323.9343262</v>
      </c>
      <c r="J1116">
        <v>1320.5076904</v>
      </c>
      <c r="K1116">
        <v>1200</v>
      </c>
      <c r="L1116">
        <v>0</v>
      </c>
      <c r="M1116">
        <v>0</v>
      </c>
      <c r="N1116">
        <v>1200</v>
      </c>
    </row>
    <row r="1117" spans="1:14" x14ac:dyDescent="0.25">
      <c r="A1117">
        <v>1146.380799</v>
      </c>
      <c r="B1117" s="1">
        <f>DATE(2013,6,20) + TIME(9,8,20)</f>
        <v>41445.380787037036</v>
      </c>
      <c r="C1117">
        <v>80</v>
      </c>
      <c r="D1117">
        <v>79.788970946999996</v>
      </c>
      <c r="E1117">
        <v>50</v>
      </c>
      <c r="F1117">
        <v>45.387363434000001</v>
      </c>
      <c r="G1117">
        <v>1372.4263916</v>
      </c>
      <c r="H1117">
        <v>1357.7611084</v>
      </c>
      <c r="I1117">
        <v>1323.9147949000001</v>
      </c>
      <c r="J1117">
        <v>1320.479126</v>
      </c>
      <c r="K1117">
        <v>1200</v>
      </c>
      <c r="L1117">
        <v>0</v>
      </c>
      <c r="M1117">
        <v>0</v>
      </c>
      <c r="N1117">
        <v>1200</v>
      </c>
    </row>
    <row r="1118" spans="1:14" x14ac:dyDescent="0.25">
      <c r="A1118">
        <v>1147.8232089999999</v>
      </c>
      <c r="B1118" s="1">
        <f>DATE(2013,6,21) + TIME(19,45,25)</f>
        <v>41446.823206018518</v>
      </c>
      <c r="C1118">
        <v>80</v>
      </c>
      <c r="D1118">
        <v>79.789230347</v>
      </c>
      <c r="E1118">
        <v>50</v>
      </c>
      <c r="F1118">
        <v>45.305133820000002</v>
      </c>
      <c r="G1118">
        <v>1372.3732910000001</v>
      </c>
      <c r="H1118">
        <v>1357.7210693</v>
      </c>
      <c r="I1118">
        <v>1323.8952637</v>
      </c>
      <c r="J1118">
        <v>1320.4505615</v>
      </c>
      <c r="K1118">
        <v>1200</v>
      </c>
      <c r="L1118">
        <v>0</v>
      </c>
      <c r="M1118">
        <v>0</v>
      </c>
      <c r="N1118">
        <v>1200</v>
      </c>
    </row>
    <row r="1119" spans="1:14" x14ac:dyDescent="0.25">
      <c r="A1119">
        <v>1149.28691</v>
      </c>
      <c r="B1119" s="1">
        <f>DATE(2013,6,23) + TIME(6,53,9)</f>
        <v>41448.286909722221</v>
      </c>
      <c r="C1119">
        <v>80</v>
      </c>
      <c r="D1119">
        <v>79.789489746000001</v>
      </c>
      <c r="E1119">
        <v>50</v>
      </c>
      <c r="F1119">
        <v>45.223472594999997</v>
      </c>
      <c r="G1119">
        <v>1372.3209228999999</v>
      </c>
      <c r="H1119">
        <v>1357.6816406</v>
      </c>
      <c r="I1119">
        <v>1323.8756103999999</v>
      </c>
      <c r="J1119">
        <v>1320.4216309000001</v>
      </c>
      <c r="K1119">
        <v>1200</v>
      </c>
      <c r="L1119">
        <v>0</v>
      </c>
      <c r="M1119">
        <v>0</v>
      </c>
      <c r="N1119">
        <v>1200</v>
      </c>
    </row>
    <row r="1120" spans="1:14" x14ac:dyDescent="0.25">
      <c r="A1120">
        <v>1150.7779869999999</v>
      </c>
      <c r="B1120" s="1">
        <f>DATE(2013,6,24) + TIME(18,40,18)</f>
        <v>41449.777986111112</v>
      </c>
      <c r="C1120">
        <v>80</v>
      </c>
      <c r="D1120">
        <v>79.789749146000005</v>
      </c>
      <c r="E1120">
        <v>50</v>
      </c>
      <c r="F1120">
        <v>45.142230988000001</v>
      </c>
      <c r="G1120">
        <v>1372.269043</v>
      </c>
      <c r="H1120">
        <v>1357.6424560999999</v>
      </c>
      <c r="I1120">
        <v>1323.855957</v>
      </c>
      <c r="J1120">
        <v>1320.3925781</v>
      </c>
      <c r="K1120">
        <v>1200</v>
      </c>
      <c r="L1120">
        <v>0</v>
      </c>
      <c r="M1120">
        <v>0</v>
      </c>
      <c r="N1120">
        <v>1200</v>
      </c>
    </row>
    <row r="1121" spans="1:14" x14ac:dyDescent="0.25">
      <c r="A1121">
        <v>1152.3032909999999</v>
      </c>
      <c r="B1121" s="1">
        <f>DATE(2013,6,26) + TIME(7,16,44)</f>
        <v>41451.303287037037</v>
      </c>
      <c r="C1121">
        <v>80</v>
      </c>
      <c r="D1121">
        <v>79.790023804</v>
      </c>
      <c r="E1121">
        <v>50</v>
      </c>
      <c r="F1121">
        <v>45.061237335000001</v>
      </c>
      <c r="G1121">
        <v>1372.2174072</v>
      </c>
      <c r="H1121">
        <v>1357.6033935999999</v>
      </c>
      <c r="I1121">
        <v>1323.8360596</v>
      </c>
      <c r="J1121">
        <v>1320.3630370999999</v>
      </c>
      <c r="K1121">
        <v>1200</v>
      </c>
      <c r="L1121">
        <v>0</v>
      </c>
      <c r="M1121">
        <v>0</v>
      </c>
      <c r="N1121">
        <v>1200</v>
      </c>
    </row>
    <row r="1122" spans="1:14" x14ac:dyDescent="0.25">
      <c r="A1122">
        <v>1153.869848</v>
      </c>
      <c r="B1122" s="1">
        <f>DATE(2013,6,27) + TIME(20,52,34)</f>
        <v>41452.869837962964</v>
      </c>
      <c r="C1122">
        <v>80</v>
      </c>
      <c r="D1122">
        <v>79.790306091000005</v>
      </c>
      <c r="E1122">
        <v>50</v>
      </c>
      <c r="F1122">
        <v>44.980297088999997</v>
      </c>
      <c r="G1122">
        <v>1372.1657714999999</v>
      </c>
      <c r="H1122">
        <v>1357.5643310999999</v>
      </c>
      <c r="I1122">
        <v>1323.815918</v>
      </c>
      <c r="J1122">
        <v>1320.3331298999999</v>
      </c>
      <c r="K1122">
        <v>1200</v>
      </c>
      <c r="L1122">
        <v>0</v>
      </c>
      <c r="M1122">
        <v>0</v>
      </c>
      <c r="N1122">
        <v>1200</v>
      </c>
    </row>
    <row r="1123" spans="1:14" x14ac:dyDescent="0.25">
      <c r="A1123">
        <v>1155.4847910000001</v>
      </c>
      <c r="B1123" s="1">
        <f>DATE(2013,6,29) + TIME(11,38,5)</f>
        <v>41454.484780092593</v>
      </c>
      <c r="C1123">
        <v>80</v>
      </c>
      <c r="D1123">
        <v>79.790603637999993</v>
      </c>
      <c r="E1123">
        <v>50</v>
      </c>
      <c r="F1123">
        <v>44.899246216000002</v>
      </c>
      <c r="G1123">
        <v>1372.1138916</v>
      </c>
      <c r="H1123">
        <v>1357.5250243999999</v>
      </c>
      <c r="I1123">
        <v>1323.7954102000001</v>
      </c>
      <c r="J1123">
        <v>1320.3027344</v>
      </c>
      <c r="K1123">
        <v>1200</v>
      </c>
      <c r="L1123">
        <v>0</v>
      </c>
      <c r="M1123">
        <v>0</v>
      </c>
      <c r="N1123">
        <v>1200</v>
      </c>
    </row>
    <row r="1124" spans="1:14" x14ac:dyDescent="0.25">
      <c r="A1124">
        <v>1157</v>
      </c>
      <c r="B1124" s="1">
        <f>DATE(2013,7,1) + TIME(0,0,0)</f>
        <v>41456</v>
      </c>
      <c r="C1124">
        <v>80</v>
      </c>
      <c r="D1124">
        <v>79.790870666999993</v>
      </c>
      <c r="E1124">
        <v>50</v>
      </c>
      <c r="F1124">
        <v>44.822795868</v>
      </c>
      <c r="G1124">
        <v>1372.0615233999999</v>
      </c>
      <c r="H1124">
        <v>1357.4853516000001</v>
      </c>
      <c r="I1124">
        <v>1323.7746582</v>
      </c>
      <c r="J1124">
        <v>1320.2720947</v>
      </c>
      <c r="K1124">
        <v>1200</v>
      </c>
      <c r="L1124">
        <v>0</v>
      </c>
      <c r="M1124">
        <v>0</v>
      </c>
      <c r="N1124">
        <v>1200</v>
      </c>
    </row>
    <row r="1125" spans="1:14" x14ac:dyDescent="0.25">
      <c r="A1125">
        <v>1158.6718699999999</v>
      </c>
      <c r="B1125" s="1">
        <f>DATE(2013,7,2) + TIME(16,7,29)</f>
        <v>41457.671863425923</v>
      </c>
      <c r="C1125">
        <v>80</v>
      </c>
      <c r="D1125">
        <v>79.791175842000001</v>
      </c>
      <c r="E1125">
        <v>50</v>
      </c>
      <c r="F1125">
        <v>44.743789673000002</v>
      </c>
      <c r="G1125">
        <v>1372.0136719</v>
      </c>
      <c r="H1125">
        <v>1357.4489745999999</v>
      </c>
      <c r="I1125">
        <v>1323.7551269999999</v>
      </c>
      <c r="J1125">
        <v>1320.2425536999999</v>
      </c>
      <c r="K1125">
        <v>1200</v>
      </c>
      <c r="L1125">
        <v>0</v>
      </c>
      <c r="M1125">
        <v>0</v>
      </c>
      <c r="N1125">
        <v>1200</v>
      </c>
    </row>
    <row r="1126" spans="1:14" x14ac:dyDescent="0.25">
      <c r="A1126">
        <v>1160.433364</v>
      </c>
      <c r="B1126" s="1">
        <f>DATE(2013,7,4) + TIME(10,24,2)</f>
        <v>41459.433356481481</v>
      </c>
      <c r="C1126">
        <v>80</v>
      </c>
      <c r="D1126">
        <v>79.791503906000003</v>
      </c>
      <c r="E1126">
        <v>50</v>
      </c>
      <c r="F1126">
        <v>44.663661957000002</v>
      </c>
      <c r="G1126">
        <v>1371.9617920000001</v>
      </c>
      <c r="H1126">
        <v>1357.409668</v>
      </c>
      <c r="I1126">
        <v>1323.7341309000001</v>
      </c>
      <c r="J1126">
        <v>1320.2110596</v>
      </c>
      <c r="K1126">
        <v>1200</v>
      </c>
      <c r="L1126">
        <v>0</v>
      </c>
      <c r="M1126">
        <v>0</v>
      </c>
      <c r="N1126">
        <v>1200</v>
      </c>
    </row>
    <row r="1127" spans="1:14" x14ac:dyDescent="0.25">
      <c r="A1127">
        <v>1162.203313</v>
      </c>
      <c r="B1127" s="1">
        <f>DATE(2013,7,6) + TIME(4,52,46)</f>
        <v>41461.203310185185</v>
      </c>
      <c r="C1127">
        <v>80</v>
      </c>
      <c r="D1127">
        <v>79.791824340999995</v>
      </c>
      <c r="E1127">
        <v>50</v>
      </c>
      <c r="F1127">
        <v>44.584640503000003</v>
      </c>
      <c r="G1127">
        <v>1371.9083252</v>
      </c>
      <c r="H1127">
        <v>1357.3690185999999</v>
      </c>
      <c r="I1127">
        <v>1323.7125243999999</v>
      </c>
      <c r="J1127">
        <v>1320.1785889</v>
      </c>
      <c r="K1127">
        <v>1200</v>
      </c>
      <c r="L1127">
        <v>0</v>
      </c>
      <c r="M1127">
        <v>0</v>
      </c>
      <c r="N1127">
        <v>1200</v>
      </c>
    </row>
    <row r="1128" spans="1:14" x14ac:dyDescent="0.25">
      <c r="A1128">
        <v>1163.989343</v>
      </c>
      <c r="B1128" s="1">
        <f>DATE(2013,7,7) + TIME(23,44,39)</f>
        <v>41462.989340277774</v>
      </c>
      <c r="C1128">
        <v>80</v>
      </c>
      <c r="D1128">
        <v>79.792152404999996</v>
      </c>
      <c r="E1128">
        <v>50</v>
      </c>
      <c r="F1128">
        <v>44.507045746000003</v>
      </c>
      <c r="G1128">
        <v>1371.8558350000001</v>
      </c>
      <c r="H1128">
        <v>1357.3289795000001</v>
      </c>
      <c r="I1128">
        <v>1323.690918</v>
      </c>
      <c r="J1128">
        <v>1320.1461182</v>
      </c>
      <c r="K1128">
        <v>1200</v>
      </c>
      <c r="L1128">
        <v>0</v>
      </c>
      <c r="M1128">
        <v>0</v>
      </c>
      <c r="N1128">
        <v>1200</v>
      </c>
    </row>
    <row r="1129" spans="1:14" x14ac:dyDescent="0.25">
      <c r="A1129">
        <v>1165.7991179999999</v>
      </c>
      <c r="B1129" s="1">
        <f>DATE(2013,7,9) + TIME(19,10,43)</f>
        <v>41464.799108796295</v>
      </c>
      <c r="C1129">
        <v>80</v>
      </c>
      <c r="D1129">
        <v>79.792480468999997</v>
      </c>
      <c r="E1129">
        <v>50</v>
      </c>
      <c r="F1129">
        <v>44.430999755999999</v>
      </c>
      <c r="G1129">
        <v>1371.8039550999999</v>
      </c>
      <c r="H1129">
        <v>1357.2893065999999</v>
      </c>
      <c r="I1129">
        <v>1323.6694336</v>
      </c>
      <c r="J1129">
        <v>1320.1137695</v>
      </c>
      <c r="K1129">
        <v>1200</v>
      </c>
      <c r="L1129">
        <v>0</v>
      </c>
      <c r="M1129">
        <v>0</v>
      </c>
      <c r="N1129">
        <v>1200</v>
      </c>
    </row>
    <row r="1130" spans="1:14" x14ac:dyDescent="0.25">
      <c r="A1130">
        <v>1167.6404339999999</v>
      </c>
      <c r="B1130" s="1">
        <f>DATE(2013,7,11) + TIME(15,22,13)</f>
        <v>41466.640428240738</v>
      </c>
      <c r="C1130">
        <v>80</v>
      </c>
      <c r="D1130">
        <v>79.792816161999994</v>
      </c>
      <c r="E1130">
        <v>50</v>
      </c>
      <c r="F1130">
        <v>44.356513976999999</v>
      </c>
      <c r="G1130">
        <v>1371.7525635</v>
      </c>
      <c r="H1130">
        <v>1357.25</v>
      </c>
      <c r="I1130">
        <v>1323.6481934000001</v>
      </c>
      <c r="J1130">
        <v>1320.0814209</v>
      </c>
      <c r="K1130">
        <v>1200</v>
      </c>
      <c r="L1130">
        <v>0</v>
      </c>
      <c r="M1130">
        <v>0</v>
      </c>
      <c r="N1130">
        <v>1200</v>
      </c>
    </row>
    <row r="1131" spans="1:14" x14ac:dyDescent="0.25">
      <c r="A1131">
        <v>1169.5214430000001</v>
      </c>
      <c r="B1131" s="1">
        <f>DATE(2013,7,13) + TIME(12,30,52)</f>
        <v>41468.521435185183</v>
      </c>
      <c r="C1131">
        <v>80</v>
      </c>
      <c r="D1131">
        <v>79.793151855000005</v>
      </c>
      <c r="E1131">
        <v>50</v>
      </c>
      <c r="F1131">
        <v>44.283561706999997</v>
      </c>
      <c r="G1131">
        <v>1371.7012939000001</v>
      </c>
      <c r="H1131">
        <v>1357.2108154</v>
      </c>
      <c r="I1131">
        <v>1323.6268310999999</v>
      </c>
      <c r="J1131">
        <v>1320.0489502</v>
      </c>
      <c r="K1131">
        <v>1200</v>
      </c>
      <c r="L1131">
        <v>0</v>
      </c>
      <c r="M1131">
        <v>0</v>
      </c>
      <c r="N1131">
        <v>1200</v>
      </c>
    </row>
    <row r="1132" spans="1:14" x14ac:dyDescent="0.25">
      <c r="A1132">
        <v>1171.4520729999999</v>
      </c>
      <c r="B1132" s="1">
        <f>DATE(2013,7,15) + TIME(10,50,59)</f>
        <v>41470.45207175926</v>
      </c>
      <c r="C1132">
        <v>80</v>
      </c>
      <c r="D1132">
        <v>79.793502808</v>
      </c>
      <c r="E1132">
        <v>50</v>
      </c>
      <c r="F1132">
        <v>44.212070464999996</v>
      </c>
      <c r="G1132">
        <v>1371.6500243999999</v>
      </c>
      <c r="H1132">
        <v>1357.1715088000001</v>
      </c>
      <c r="I1132">
        <v>1323.6055908000001</v>
      </c>
      <c r="J1132">
        <v>1320.0163574000001</v>
      </c>
      <c r="K1132">
        <v>1200</v>
      </c>
      <c r="L1132">
        <v>0</v>
      </c>
      <c r="M1132">
        <v>0</v>
      </c>
      <c r="N1132">
        <v>1200</v>
      </c>
    </row>
    <row r="1133" spans="1:14" x14ac:dyDescent="0.25">
      <c r="A1133">
        <v>1173.440998</v>
      </c>
      <c r="B1133" s="1">
        <f>DATE(2013,7,17) + TIME(10,35,2)</f>
        <v>41472.440995370373</v>
      </c>
      <c r="C1133">
        <v>80</v>
      </c>
      <c r="D1133">
        <v>79.793869018999999</v>
      </c>
      <c r="E1133">
        <v>50</v>
      </c>
      <c r="F1133">
        <v>44.142021178999997</v>
      </c>
      <c r="G1133">
        <v>1371.5985106999999</v>
      </c>
      <c r="H1133">
        <v>1357.1318358999999</v>
      </c>
      <c r="I1133">
        <v>1323.5842285000001</v>
      </c>
      <c r="J1133">
        <v>1319.9836425999999</v>
      </c>
      <c r="K1133">
        <v>1200</v>
      </c>
      <c r="L1133">
        <v>0</v>
      </c>
      <c r="M1133">
        <v>0</v>
      </c>
      <c r="N1133">
        <v>1200</v>
      </c>
    </row>
    <row r="1134" spans="1:14" x14ac:dyDescent="0.25">
      <c r="A1134">
        <v>1175.4988189999999</v>
      </c>
      <c r="B1134" s="1">
        <f>DATE(2013,7,19) + TIME(11,58,17)</f>
        <v>41474.498807870368</v>
      </c>
      <c r="C1134">
        <v>80</v>
      </c>
      <c r="D1134">
        <v>79.794242858999993</v>
      </c>
      <c r="E1134">
        <v>50</v>
      </c>
      <c r="F1134">
        <v>44.073398589999996</v>
      </c>
      <c r="G1134">
        <v>1371.5465088000001</v>
      </c>
      <c r="H1134">
        <v>1357.0917969</v>
      </c>
      <c r="I1134">
        <v>1323.5627440999999</v>
      </c>
      <c r="J1134">
        <v>1319.9505615</v>
      </c>
      <c r="K1134">
        <v>1200</v>
      </c>
      <c r="L1134">
        <v>0</v>
      </c>
      <c r="M1134">
        <v>0</v>
      </c>
      <c r="N1134">
        <v>1200</v>
      </c>
    </row>
    <row r="1135" spans="1:14" x14ac:dyDescent="0.25">
      <c r="A1135">
        <v>1177.6318799999999</v>
      </c>
      <c r="B1135" s="1">
        <f>DATE(2013,7,21) + TIME(15,9,54)</f>
        <v>41476.631874999999</v>
      </c>
      <c r="C1135">
        <v>80</v>
      </c>
      <c r="D1135">
        <v>79.794624329000001</v>
      </c>
      <c r="E1135">
        <v>50</v>
      </c>
      <c r="F1135">
        <v>44.006343842</v>
      </c>
      <c r="G1135">
        <v>1371.4936522999999</v>
      </c>
      <c r="H1135">
        <v>1357.0511475000001</v>
      </c>
      <c r="I1135">
        <v>1323.5412598</v>
      </c>
      <c r="J1135">
        <v>1319.9171143000001</v>
      </c>
      <c r="K1135">
        <v>1200</v>
      </c>
      <c r="L1135">
        <v>0</v>
      </c>
      <c r="M1135">
        <v>0</v>
      </c>
      <c r="N1135">
        <v>1200</v>
      </c>
    </row>
    <row r="1136" spans="1:14" x14ac:dyDescent="0.25">
      <c r="A1136">
        <v>1179.8265060000001</v>
      </c>
      <c r="B1136" s="1">
        <f>DATE(2013,7,23) + TIME(19,50,10)</f>
        <v>41478.826504629629</v>
      </c>
      <c r="C1136">
        <v>80</v>
      </c>
      <c r="D1136">
        <v>79.795021057</v>
      </c>
      <c r="E1136">
        <v>50</v>
      </c>
      <c r="F1136">
        <v>43.941383362000003</v>
      </c>
      <c r="G1136">
        <v>1371.4401855000001</v>
      </c>
      <c r="H1136">
        <v>1357.0097656</v>
      </c>
      <c r="I1136">
        <v>1323.5195312000001</v>
      </c>
      <c r="J1136">
        <v>1319.8834228999999</v>
      </c>
      <c r="K1136">
        <v>1200</v>
      </c>
      <c r="L1136">
        <v>0</v>
      </c>
      <c r="M1136">
        <v>0</v>
      </c>
      <c r="N1136">
        <v>1200</v>
      </c>
    </row>
    <row r="1137" spans="1:14" x14ac:dyDescent="0.25">
      <c r="A1137">
        <v>1182.0391279999999</v>
      </c>
      <c r="B1137" s="1">
        <f>DATE(2013,7,26) + TIME(0,56,20)</f>
        <v>41481.039120370369</v>
      </c>
      <c r="C1137">
        <v>80</v>
      </c>
      <c r="D1137">
        <v>79.795417786000002</v>
      </c>
      <c r="E1137">
        <v>50</v>
      </c>
      <c r="F1137">
        <v>43.879608154000003</v>
      </c>
      <c r="G1137">
        <v>1371.3861084</v>
      </c>
      <c r="H1137">
        <v>1356.9678954999999</v>
      </c>
      <c r="I1137">
        <v>1323.4979248</v>
      </c>
      <c r="J1137">
        <v>1319.8496094</v>
      </c>
      <c r="K1137">
        <v>1200</v>
      </c>
      <c r="L1137">
        <v>0</v>
      </c>
      <c r="M1137">
        <v>0</v>
      </c>
      <c r="N1137">
        <v>1200</v>
      </c>
    </row>
    <row r="1138" spans="1:14" x14ac:dyDescent="0.25">
      <c r="A1138">
        <v>1184.2724940000001</v>
      </c>
      <c r="B1138" s="1">
        <f>DATE(2013,7,28) + TIME(6,32,23)</f>
        <v>41483.272488425922</v>
      </c>
      <c r="C1138">
        <v>80</v>
      </c>
      <c r="D1138">
        <v>79.795814514</v>
      </c>
      <c r="E1138">
        <v>50</v>
      </c>
      <c r="F1138">
        <v>43.821491240999997</v>
      </c>
      <c r="G1138">
        <v>1371.3327637</v>
      </c>
      <c r="H1138">
        <v>1356.9265137</v>
      </c>
      <c r="I1138">
        <v>1323.4768065999999</v>
      </c>
      <c r="J1138">
        <v>1319.8164062000001</v>
      </c>
      <c r="K1138">
        <v>1200</v>
      </c>
      <c r="L1138">
        <v>0</v>
      </c>
      <c r="M1138">
        <v>0</v>
      </c>
      <c r="N1138">
        <v>1200</v>
      </c>
    </row>
    <row r="1139" spans="1:14" x14ac:dyDescent="0.25">
      <c r="A1139">
        <v>1186.5366590000001</v>
      </c>
      <c r="B1139" s="1">
        <f>DATE(2013,7,30) + TIME(12,52,47)</f>
        <v>41485.53665509259</v>
      </c>
      <c r="C1139">
        <v>80</v>
      </c>
      <c r="D1139">
        <v>79.796218871999997</v>
      </c>
      <c r="E1139">
        <v>50</v>
      </c>
      <c r="F1139">
        <v>43.767269134999999</v>
      </c>
      <c r="G1139">
        <v>1371.2800293</v>
      </c>
      <c r="H1139">
        <v>1356.885376</v>
      </c>
      <c r="I1139">
        <v>1323.4562988</v>
      </c>
      <c r="J1139">
        <v>1319.7839355000001</v>
      </c>
      <c r="K1139">
        <v>1200</v>
      </c>
      <c r="L1139">
        <v>0</v>
      </c>
      <c r="M1139">
        <v>0</v>
      </c>
      <c r="N1139">
        <v>1200</v>
      </c>
    </row>
    <row r="1140" spans="1:14" x14ac:dyDescent="0.25">
      <c r="A1140">
        <v>1188</v>
      </c>
      <c r="B1140" s="1">
        <f>DATE(2013,8,1) + TIME(0,0,0)</f>
        <v>41487</v>
      </c>
      <c r="C1140">
        <v>80</v>
      </c>
      <c r="D1140">
        <v>79.796447753999999</v>
      </c>
      <c r="E1140">
        <v>50</v>
      </c>
      <c r="F1140">
        <v>43.728927612</v>
      </c>
      <c r="G1140">
        <v>1371.2272949000001</v>
      </c>
      <c r="H1140">
        <v>1356.8443603999999</v>
      </c>
      <c r="I1140">
        <v>1323.4368896000001</v>
      </c>
      <c r="J1140">
        <v>1319.7535399999999</v>
      </c>
      <c r="K1140">
        <v>1200</v>
      </c>
      <c r="L1140">
        <v>0</v>
      </c>
      <c r="M1140">
        <v>0</v>
      </c>
      <c r="N1140">
        <v>1200</v>
      </c>
    </row>
    <row r="1141" spans="1:14" x14ac:dyDescent="0.25">
      <c r="A1141">
        <v>1190.305218</v>
      </c>
      <c r="B1141" s="1">
        <f>DATE(2013,8,3) + TIME(7,19,30)</f>
        <v>41489.305208333331</v>
      </c>
      <c r="C1141">
        <v>80</v>
      </c>
      <c r="D1141">
        <v>79.796867371000005</v>
      </c>
      <c r="E1141">
        <v>50</v>
      </c>
      <c r="F1141">
        <v>43.684810638000002</v>
      </c>
      <c r="G1141">
        <v>1371.1940918</v>
      </c>
      <c r="H1141">
        <v>1356.8183594</v>
      </c>
      <c r="I1141">
        <v>1323.4227295000001</v>
      </c>
      <c r="J1141">
        <v>1319.7303466999999</v>
      </c>
      <c r="K1141">
        <v>1200</v>
      </c>
      <c r="L1141">
        <v>0</v>
      </c>
      <c r="M1141">
        <v>0</v>
      </c>
      <c r="N1141">
        <v>1200</v>
      </c>
    </row>
    <row r="1142" spans="1:14" x14ac:dyDescent="0.25">
      <c r="A1142">
        <v>1192.70201</v>
      </c>
      <c r="B1142" s="1">
        <f>DATE(2013,8,5) + TIME(16,50,53)</f>
        <v>41491.702002314814</v>
      </c>
      <c r="C1142">
        <v>80</v>
      </c>
      <c r="D1142">
        <v>79.797294617000006</v>
      </c>
      <c r="E1142">
        <v>50</v>
      </c>
      <c r="F1142">
        <v>43.643413543999998</v>
      </c>
      <c r="G1142">
        <v>1371.1424560999999</v>
      </c>
      <c r="H1142">
        <v>1356.7779541</v>
      </c>
      <c r="I1142">
        <v>1323.4042969</v>
      </c>
      <c r="J1142">
        <v>1319.7004394999999</v>
      </c>
      <c r="K1142">
        <v>1200</v>
      </c>
      <c r="L1142">
        <v>0</v>
      </c>
      <c r="M1142">
        <v>0</v>
      </c>
      <c r="N1142">
        <v>1200</v>
      </c>
    </row>
    <row r="1143" spans="1:14" x14ac:dyDescent="0.25">
      <c r="A1143">
        <v>1195.170713</v>
      </c>
      <c r="B1143" s="1">
        <f>DATE(2013,8,8) + TIME(4,5,49)</f>
        <v>41494.170706018522</v>
      </c>
      <c r="C1143">
        <v>80</v>
      </c>
      <c r="D1143">
        <v>79.797729492000002</v>
      </c>
      <c r="E1143">
        <v>50</v>
      </c>
      <c r="F1143">
        <v>43.605846405000001</v>
      </c>
      <c r="G1143">
        <v>1371.0895995999999</v>
      </c>
      <c r="H1143">
        <v>1356.7364502</v>
      </c>
      <c r="I1143">
        <v>1323.3857422000001</v>
      </c>
      <c r="J1143">
        <v>1319.6702881000001</v>
      </c>
      <c r="K1143">
        <v>1200</v>
      </c>
      <c r="L1143">
        <v>0</v>
      </c>
      <c r="M1143">
        <v>0</v>
      </c>
      <c r="N1143">
        <v>1200</v>
      </c>
    </row>
    <row r="1144" spans="1:14" x14ac:dyDescent="0.25">
      <c r="A1144">
        <v>1197.7234980000001</v>
      </c>
      <c r="B1144" s="1">
        <f>DATE(2013,8,10) + TIME(17,21,50)</f>
        <v>41496.723495370374</v>
      </c>
      <c r="C1144">
        <v>80</v>
      </c>
      <c r="D1144">
        <v>79.798171996999997</v>
      </c>
      <c r="E1144">
        <v>50</v>
      </c>
      <c r="F1144">
        <v>43.572917938000003</v>
      </c>
      <c r="G1144">
        <v>1371.0362548999999</v>
      </c>
      <c r="H1144">
        <v>1356.6944579999999</v>
      </c>
      <c r="I1144">
        <v>1323.3676757999999</v>
      </c>
      <c r="J1144">
        <v>1319.6405029</v>
      </c>
      <c r="K1144">
        <v>1200</v>
      </c>
      <c r="L1144">
        <v>0</v>
      </c>
      <c r="M1144">
        <v>0</v>
      </c>
      <c r="N1144">
        <v>1200</v>
      </c>
    </row>
    <row r="1145" spans="1:14" x14ac:dyDescent="0.25">
      <c r="A1145">
        <v>1200.3105760000001</v>
      </c>
      <c r="B1145" s="1">
        <f>DATE(2013,8,13) + TIME(7,27,13)</f>
        <v>41499.310567129629</v>
      </c>
      <c r="C1145">
        <v>80</v>
      </c>
      <c r="D1145">
        <v>79.798614502000007</v>
      </c>
      <c r="E1145">
        <v>50</v>
      </c>
      <c r="F1145">
        <v>43.545742035000004</v>
      </c>
      <c r="G1145">
        <v>1370.9820557</v>
      </c>
      <c r="H1145">
        <v>1356.6517334</v>
      </c>
      <c r="I1145">
        <v>1323.3500977000001</v>
      </c>
      <c r="J1145">
        <v>1319.6112060999999</v>
      </c>
      <c r="K1145">
        <v>1200</v>
      </c>
      <c r="L1145">
        <v>0</v>
      </c>
      <c r="M1145">
        <v>0</v>
      </c>
      <c r="N1145">
        <v>1200</v>
      </c>
    </row>
    <row r="1146" spans="1:14" x14ac:dyDescent="0.25">
      <c r="A1146">
        <v>1202.946533</v>
      </c>
      <c r="B1146" s="1">
        <f>DATE(2013,8,15) + TIME(22,43,0)</f>
        <v>41501.946527777778</v>
      </c>
      <c r="C1146">
        <v>80</v>
      </c>
      <c r="D1146">
        <v>79.799064635999997</v>
      </c>
      <c r="E1146">
        <v>50</v>
      </c>
      <c r="F1146">
        <v>43.524990082000002</v>
      </c>
      <c r="G1146">
        <v>1370.9281006000001</v>
      </c>
      <c r="H1146">
        <v>1356.6091309000001</v>
      </c>
      <c r="I1146">
        <v>1323.333374</v>
      </c>
      <c r="J1146">
        <v>1319.5830077999999</v>
      </c>
      <c r="K1146">
        <v>1200</v>
      </c>
      <c r="L1146">
        <v>0</v>
      </c>
      <c r="M1146">
        <v>0</v>
      </c>
      <c r="N1146">
        <v>1200</v>
      </c>
    </row>
    <row r="1147" spans="1:14" x14ac:dyDescent="0.25">
      <c r="A1147">
        <v>1205.641304</v>
      </c>
      <c r="B1147" s="1">
        <f>DATE(2013,8,18) + TIME(15,23,28)</f>
        <v>41504.641296296293</v>
      </c>
      <c r="C1147">
        <v>80</v>
      </c>
      <c r="D1147">
        <v>79.799514771000005</v>
      </c>
      <c r="E1147">
        <v>50</v>
      </c>
      <c r="F1147">
        <v>43.511318207000002</v>
      </c>
      <c r="G1147">
        <v>1370.8742675999999</v>
      </c>
      <c r="H1147">
        <v>1356.5664062000001</v>
      </c>
      <c r="I1147">
        <v>1323.3176269999999</v>
      </c>
      <c r="J1147">
        <v>1319.5560303</v>
      </c>
      <c r="K1147">
        <v>1200</v>
      </c>
      <c r="L1147">
        <v>0</v>
      </c>
      <c r="M1147">
        <v>0</v>
      </c>
      <c r="N1147">
        <v>1200</v>
      </c>
    </row>
    <row r="1148" spans="1:14" x14ac:dyDescent="0.25">
      <c r="A1148">
        <v>1208.3751999999999</v>
      </c>
      <c r="B1148" s="1">
        <f>DATE(2013,8,21) + TIME(9,0,17)</f>
        <v>41507.375196759262</v>
      </c>
      <c r="C1148">
        <v>80</v>
      </c>
      <c r="D1148">
        <v>79.799972534000005</v>
      </c>
      <c r="E1148">
        <v>50</v>
      </c>
      <c r="F1148">
        <v>43.505481719999999</v>
      </c>
      <c r="G1148">
        <v>1370.8201904</v>
      </c>
      <c r="H1148">
        <v>1356.5234375</v>
      </c>
      <c r="I1148">
        <v>1323.3028564000001</v>
      </c>
      <c r="J1148">
        <v>1319.5302733999999</v>
      </c>
      <c r="K1148">
        <v>1200</v>
      </c>
      <c r="L1148">
        <v>0</v>
      </c>
      <c r="M1148">
        <v>0</v>
      </c>
      <c r="N1148">
        <v>1200</v>
      </c>
    </row>
    <row r="1149" spans="1:14" x14ac:dyDescent="0.25">
      <c r="A1149">
        <v>1211.161758</v>
      </c>
      <c r="B1149" s="1">
        <f>DATE(2013,8,24) + TIME(3,52,55)</f>
        <v>41510.161747685182</v>
      </c>
      <c r="C1149">
        <v>80</v>
      </c>
      <c r="D1149">
        <v>79.800437927000004</v>
      </c>
      <c r="E1149">
        <v>50</v>
      </c>
      <c r="F1149">
        <v>43.508155823000003</v>
      </c>
      <c r="G1149">
        <v>1370.7662353999999</v>
      </c>
      <c r="H1149">
        <v>1356.4804687999999</v>
      </c>
      <c r="I1149">
        <v>1323.2893065999999</v>
      </c>
      <c r="J1149">
        <v>1319.5061035000001</v>
      </c>
      <c r="K1149">
        <v>1200</v>
      </c>
      <c r="L1149">
        <v>0</v>
      </c>
      <c r="M1149">
        <v>0</v>
      </c>
      <c r="N1149">
        <v>1200</v>
      </c>
    </row>
    <row r="1150" spans="1:14" x14ac:dyDescent="0.25">
      <c r="A1150">
        <v>1214.015013</v>
      </c>
      <c r="B1150" s="1">
        <f>DATE(2013,8,27) + TIME(0,21,37)</f>
        <v>41513.015011574076</v>
      </c>
      <c r="C1150">
        <v>80</v>
      </c>
      <c r="D1150">
        <v>79.800910950000002</v>
      </c>
      <c r="E1150">
        <v>50</v>
      </c>
      <c r="F1150">
        <v>43.520149230999998</v>
      </c>
      <c r="G1150">
        <v>1370.7122803</v>
      </c>
      <c r="H1150">
        <v>1356.4373779</v>
      </c>
      <c r="I1150">
        <v>1323.2770995999999</v>
      </c>
      <c r="J1150">
        <v>1319.4835204999999</v>
      </c>
      <c r="K1150">
        <v>1200</v>
      </c>
      <c r="L1150">
        <v>0</v>
      </c>
      <c r="M1150">
        <v>0</v>
      </c>
      <c r="N1150">
        <v>1200</v>
      </c>
    </row>
    <row r="1151" spans="1:14" x14ac:dyDescent="0.25">
      <c r="A1151">
        <v>1216.950196</v>
      </c>
      <c r="B1151" s="1">
        <f>DATE(2013,8,29) + TIME(22,48,16)</f>
        <v>41515.950185185182</v>
      </c>
      <c r="C1151">
        <v>80</v>
      </c>
      <c r="D1151">
        <v>79.801391601999995</v>
      </c>
      <c r="E1151">
        <v>50</v>
      </c>
      <c r="F1151">
        <v>43.542507172000001</v>
      </c>
      <c r="G1151">
        <v>1370.6580810999999</v>
      </c>
      <c r="H1151">
        <v>1356.3939209</v>
      </c>
      <c r="I1151">
        <v>1323.2661132999999</v>
      </c>
      <c r="J1151">
        <v>1319.4628906</v>
      </c>
      <c r="K1151">
        <v>1200</v>
      </c>
      <c r="L1151">
        <v>0</v>
      </c>
      <c r="M1151">
        <v>0</v>
      </c>
      <c r="N1151">
        <v>1200</v>
      </c>
    </row>
    <row r="1152" spans="1:14" x14ac:dyDescent="0.25">
      <c r="A1152">
        <v>1219</v>
      </c>
      <c r="B1152" s="1">
        <f>DATE(2013,9,1) + TIME(0,0,0)</f>
        <v>41518</v>
      </c>
      <c r="C1152">
        <v>80</v>
      </c>
      <c r="D1152">
        <v>79.801696777000004</v>
      </c>
      <c r="E1152">
        <v>50</v>
      </c>
      <c r="F1152">
        <v>43.570419311999999</v>
      </c>
      <c r="G1152">
        <v>1370.6031493999999</v>
      </c>
      <c r="H1152">
        <v>1356.3497314000001</v>
      </c>
      <c r="I1152">
        <v>1323.2575684000001</v>
      </c>
      <c r="J1152">
        <v>1319.4449463000001</v>
      </c>
      <c r="K1152">
        <v>1200</v>
      </c>
      <c r="L1152">
        <v>0</v>
      </c>
      <c r="M1152">
        <v>0</v>
      </c>
      <c r="N1152">
        <v>1200</v>
      </c>
    </row>
    <row r="1153" spans="1:14" x14ac:dyDescent="0.25">
      <c r="A1153">
        <v>1222.0037010000001</v>
      </c>
      <c r="B1153" s="1">
        <f>DATE(2013,9,4) + TIME(0,5,19)</f>
        <v>41521.003692129627</v>
      </c>
      <c r="C1153">
        <v>80</v>
      </c>
      <c r="D1153">
        <v>79.802192688000005</v>
      </c>
      <c r="E1153">
        <v>50</v>
      </c>
      <c r="F1153">
        <v>43.610012054000002</v>
      </c>
      <c r="G1153">
        <v>1370.5655518000001</v>
      </c>
      <c r="H1153">
        <v>1356.3193358999999</v>
      </c>
      <c r="I1153">
        <v>1323.2507324000001</v>
      </c>
      <c r="J1153">
        <v>1319.4320068</v>
      </c>
      <c r="K1153">
        <v>1200</v>
      </c>
      <c r="L1153">
        <v>0</v>
      </c>
      <c r="M1153">
        <v>0</v>
      </c>
      <c r="N1153">
        <v>1200</v>
      </c>
    </row>
    <row r="1154" spans="1:14" x14ac:dyDescent="0.25">
      <c r="A1154">
        <v>1225.0867450000001</v>
      </c>
      <c r="B1154" s="1">
        <f>DATE(2013,9,7) + TIME(2,4,54)</f>
        <v>41524.086736111109</v>
      </c>
      <c r="C1154">
        <v>80</v>
      </c>
      <c r="D1154">
        <v>79.802696228000002</v>
      </c>
      <c r="E1154">
        <v>50</v>
      </c>
      <c r="F1154">
        <v>43.664077759000001</v>
      </c>
      <c r="G1154">
        <v>1370.5112305</v>
      </c>
      <c r="H1154">
        <v>1356.2755127</v>
      </c>
      <c r="I1154">
        <v>1323.2446289</v>
      </c>
      <c r="J1154">
        <v>1319.4178466999999</v>
      </c>
      <c r="K1154">
        <v>1200</v>
      </c>
      <c r="L1154">
        <v>0</v>
      </c>
      <c r="M1154">
        <v>0</v>
      </c>
      <c r="N1154">
        <v>1200</v>
      </c>
    </row>
    <row r="1155" spans="1:14" x14ac:dyDescent="0.25">
      <c r="A1155">
        <v>1228.238396</v>
      </c>
      <c r="B1155" s="1">
        <f>DATE(2013,9,10) + TIME(5,43,17)</f>
        <v>41527.238391203704</v>
      </c>
      <c r="C1155">
        <v>80</v>
      </c>
      <c r="D1155">
        <v>79.803192139000004</v>
      </c>
      <c r="E1155">
        <v>50</v>
      </c>
      <c r="F1155">
        <v>43.733261108000001</v>
      </c>
      <c r="G1155">
        <v>1370.4562988</v>
      </c>
      <c r="H1155">
        <v>1356.2310791</v>
      </c>
      <c r="I1155">
        <v>1323.2402344</v>
      </c>
      <c r="J1155">
        <v>1319.4060059000001</v>
      </c>
      <c r="K1155">
        <v>1200</v>
      </c>
      <c r="L1155">
        <v>0</v>
      </c>
      <c r="M1155">
        <v>0</v>
      </c>
      <c r="N1155">
        <v>1200</v>
      </c>
    </row>
    <row r="1156" spans="1:14" x14ac:dyDescent="0.25">
      <c r="A1156">
        <v>1231.47561</v>
      </c>
      <c r="B1156" s="1">
        <f>DATE(2013,9,13) + TIME(11,24,52)</f>
        <v>41530.475601851853</v>
      </c>
      <c r="C1156">
        <v>80</v>
      </c>
      <c r="D1156">
        <v>79.803703307999996</v>
      </c>
      <c r="E1156">
        <v>50</v>
      </c>
      <c r="F1156">
        <v>43.818771362</v>
      </c>
      <c r="G1156">
        <v>1370.4012451000001</v>
      </c>
      <c r="H1156">
        <v>1356.1862793</v>
      </c>
      <c r="I1156">
        <v>1323.2379149999999</v>
      </c>
      <c r="J1156">
        <v>1319.3969727000001</v>
      </c>
      <c r="K1156">
        <v>1200</v>
      </c>
      <c r="L1156">
        <v>0</v>
      </c>
      <c r="M1156">
        <v>0</v>
      </c>
      <c r="N1156">
        <v>1200</v>
      </c>
    </row>
    <row r="1157" spans="1:14" x14ac:dyDescent="0.25">
      <c r="A1157">
        <v>1234.8177679999999</v>
      </c>
      <c r="B1157" s="1">
        <f>DATE(2013,9,16) + TIME(19,37,35)</f>
        <v>41533.817766203705</v>
      </c>
      <c r="C1157">
        <v>80</v>
      </c>
      <c r="D1157">
        <v>79.804222107000001</v>
      </c>
      <c r="E1157">
        <v>50</v>
      </c>
      <c r="F1157">
        <v>43.922412872000002</v>
      </c>
      <c r="G1157">
        <v>1370.3455810999999</v>
      </c>
      <c r="H1157">
        <v>1356.1409911999999</v>
      </c>
      <c r="I1157">
        <v>1323.2376709</v>
      </c>
      <c r="J1157">
        <v>1319.3912353999999</v>
      </c>
      <c r="K1157">
        <v>1200</v>
      </c>
      <c r="L1157">
        <v>0</v>
      </c>
      <c r="M1157">
        <v>0</v>
      </c>
      <c r="N1157">
        <v>1200</v>
      </c>
    </row>
    <row r="1158" spans="1:14" x14ac:dyDescent="0.25">
      <c r="A1158">
        <v>1238.2161599999999</v>
      </c>
      <c r="B1158" s="1">
        <f>DATE(2013,9,20) + TIME(5,11,16)</f>
        <v>41537.216157407405</v>
      </c>
      <c r="C1158">
        <v>80</v>
      </c>
      <c r="D1158">
        <v>79.804740906000006</v>
      </c>
      <c r="E1158">
        <v>50</v>
      </c>
      <c r="F1158">
        <v>44.045509338000002</v>
      </c>
      <c r="G1158">
        <v>1370.2893065999999</v>
      </c>
      <c r="H1158">
        <v>1356.0948486</v>
      </c>
      <c r="I1158">
        <v>1323.2401123</v>
      </c>
      <c r="J1158">
        <v>1319.3890381000001</v>
      </c>
      <c r="K1158">
        <v>1200</v>
      </c>
      <c r="L1158">
        <v>0</v>
      </c>
      <c r="M1158">
        <v>0</v>
      </c>
      <c r="N1158">
        <v>1200</v>
      </c>
    </row>
    <row r="1159" spans="1:14" x14ac:dyDescent="0.25">
      <c r="A1159">
        <v>1241.641247</v>
      </c>
      <c r="B1159" s="1">
        <f>DATE(2013,9,23) + TIME(15,23,23)</f>
        <v>41540.641238425924</v>
      </c>
      <c r="C1159">
        <v>80</v>
      </c>
      <c r="D1159">
        <v>79.805252074999999</v>
      </c>
      <c r="E1159">
        <v>50</v>
      </c>
      <c r="F1159">
        <v>44.188602447999997</v>
      </c>
      <c r="G1159">
        <v>1370.2330322</v>
      </c>
      <c r="H1159">
        <v>1356.0487060999999</v>
      </c>
      <c r="I1159">
        <v>1323.2452393000001</v>
      </c>
      <c r="J1159">
        <v>1319.3908690999999</v>
      </c>
      <c r="K1159">
        <v>1200</v>
      </c>
      <c r="L1159">
        <v>0</v>
      </c>
      <c r="M1159">
        <v>0</v>
      </c>
      <c r="N1159">
        <v>1200</v>
      </c>
    </row>
    <row r="1160" spans="1:14" x14ac:dyDescent="0.25">
      <c r="A1160">
        <v>1245.1123219999999</v>
      </c>
      <c r="B1160" s="1">
        <f>DATE(2013,9,27) + TIME(2,41,44)</f>
        <v>41544.112314814818</v>
      </c>
      <c r="C1160">
        <v>80</v>
      </c>
      <c r="D1160">
        <v>79.805770874000004</v>
      </c>
      <c r="E1160">
        <v>50</v>
      </c>
      <c r="F1160">
        <v>44.352546691999997</v>
      </c>
      <c r="G1160">
        <v>1370.1773682</v>
      </c>
      <c r="H1160">
        <v>1356.0029297000001</v>
      </c>
      <c r="I1160">
        <v>1323.2531738</v>
      </c>
      <c r="J1160">
        <v>1319.3969727000001</v>
      </c>
      <c r="K1160">
        <v>1200</v>
      </c>
      <c r="L1160">
        <v>0</v>
      </c>
      <c r="M1160">
        <v>0</v>
      </c>
      <c r="N1160">
        <v>1200</v>
      </c>
    </row>
    <row r="1161" spans="1:14" x14ac:dyDescent="0.25">
      <c r="A1161">
        <v>1248.649895</v>
      </c>
      <c r="B1161" s="1">
        <f>DATE(2013,9,30) + TIME(15,35,50)</f>
        <v>41547.649884259263</v>
      </c>
      <c r="C1161">
        <v>80</v>
      </c>
      <c r="D1161">
        <v>79.806297302000004</v>
      </c>
      <c r="E1161">
        <v>50</v>
      </c>
      <c r="F1161">
        <v>44.538898467999999</v>
      </c>
      <c r="G1161">
        <v>1370.1219481999999</v>
      </c>
      <c r="H1161">
        <v>1355.9572754000001</v>
      </c>
      <c r="I1161">
        <v>1323.2641602000001</v>
      </c>
      <c r="J1161">
        <v>1319.4075928</v>
      </c>
      <c r="K1161">
        <v>1200</v>
      </c>
      <c r="L1161">
        <v>0</v>
      </c>
      <c r="M1161">
        <v>0</v>
      </c>
      <c r="N1161">
        <v>1200</v>
      </c>
    </row>
    <row r="1162" spans="1:14" x14ac:dyDescent="0.25">
      <c r="A1162">
        <v>1249</v>
      </c>
      <c r="B1162" s="1">
        <f>DATE(2013,10,1) + TIME(0,0,0)</f>
        <v>41548</v>
      </c>
      <c r="C1162">
        <v>80</v>
      </c>
      <c r="D1162">
        <v>79.806327820000007</v>
      </c>
      <c r="E1162">
        <v>50</v>
      </c>
      <c r="F1162">
        <v>44.582893372000001</v>
      </c>
      <c r="G1162">
        <v>1370.0687256000001</v>
      </c>
      <c r="H1162">
        <v>1355.9138184000001</v>
      </c>
      <c r="I1162">
        <v>1323.2869873</v>
      </c>
      <c r="J1162">
        <v>1319.4232178</v>
      </c>
      <c r="K1162">
        <v>1200</v>
      </c>
      <c r="L1162">
        <v>0</v>
      </c>
      <c r="M1162">
        <v>0</v>
      </c>
      <c r="N1162">
        <v>1200</v>
      </c>
    </row>
    <row r="1163" spans="1:14" x14ac:dyDescent="0.25">
      <c r="A1163">
        <v>1252.6250010000001</v>
      </c>
      <c r="B1163" s="1">
        <f>DATE(2013,10,4) + TIME(15,0,0)</f>
        <v>41551.625</v>
      </c>
      <c r="C1163">
        <v>80</v>
      </c>
      <c r="D1163">
        <v>79.806869507000002</v>
      </c>
      <c r="E1163">
        <v>50</v>
      </c>
      <c r="F1163">
        <v>44.781990051000001</v>
      </c>
      <c r="G1163">
        <v>1370.0609131000001</v>
      </c>
      <c r="H1163">
        <v>1355.9067382999999</v>
      </c>
      <c r="I1163">
        <v>1323.2801514</v>
      </c>
      <c r="J1163">
        <v>1319.4261475000001</v>
      </c>
      <c r="K1163">
        <v>1200</v>
      </c>
      <c r="L1163">
        <v>0</v>
      </c>
      <c r="M1163">
        <v>0</v>
      </c>
      <c r="N1163">
        <v>1200</v>
      </c>
    </row>
    <row r="1164" spans="1:14" x14ac:dyDescent="0.25">
      <c r="A1164">
        <v>1256.3706540000001</v>
      </c>
      <c r="B1164" s="1">
        <f>DATE(2013,10,8) + TIME(8,53,44)</f>
        <v>41555.370648148149</v>
      </c>
      <c r="C1164">
        <v>80</v>
      </c>
      <c r="D1164">
        <v>79.807418823000006</v>
      </c>
      <c r="E1164">
        <v>50</v>
      </c>
      <c r="F1164">
        <v>45.016387938999998</v>
      </c>
      <c r="G1164">
        <v>1370.0054932</v>
      </c>
      <c r="H1164">
        <v>1355.8609618999999</v>
      </c>
      <c r="I1164">
        <v>1323.2978516000001</v>
      </c>
      <c r="J1164">
        <v>1319.4466553</v>
      </c>
      <c r="K1164">
        <v>1200</v>
      </c>
      <c r="L1164">
        <v>0</v>
      </c>
      <c r="M1164">
        <v>0</v>
      </c>
      <c r="N1164">
        <v>1200</v>
      </c>
    </row>
    <row r="1165" spans="1:14" x14ac:dyDescent="0.25">
      <c r="A1165">
        <v>1260.2349369999999</v>
      </c>
      <c r="B1165" s="1">
        <f>DATE(2013,10,12) + TIME(5,38,18)</f>
        <v>41559.234930555554</v>
      </c>
      <c r="C1165">
        <v>80</v>
      </c>
      <c r="D1165">
        <v>79.80796814</v>
      </c>
      <c r="E1165">
        <v>50</v>
      </c>
      <c r="F1165">
        <v>45.283805846999996</v>
      </c>
      <c r="G1165">
        <v>1369.9492187999999</v>
      </c>
      <c r="H1165">
        <v>1355.8142089999999</v>
      </c>
      <c r="I1165">
        <v>1323.3193358999999</v>
      </c>
      <c r="J1165">
        <v>1319.4731445</v>
      </c>
      <c r="K1165">
        <v>1200</v>
      </c>
      <c r="L1165">
        <v>0</v>
      </c>
      <c r="M1165">
        <v>0</v>
      </c>
      <c r="N1165">
        <v>1200</v>
      </c>
    </row>
    <row r="1166" spans="1:14" x14ac:dyDescent="0.25">
      <c r="A1166">
        <v>1264.159275</v>
      </c>
      <c r="B1166" s="1">
        <f>DATE(2013,10,16) + TIME(3,49,21)</f>
        <v>41563.159270833334</v>
      </c>
      <c r="C1166">
        <v>80</v>
      </c>
      <c r="D1166">
        <v>79.808525084999999</v>
      </c>
      <c r="E1166">
        <v>50</v>
      </c>
      <c r="F1166">
        <v>45.582328795999999</v>
      </c>
      <c r="G1166">
        <v>1369.8924560999999</v>
      </c>
      <c r="H1166">
        <v>1355.7668457</v>
      </c>
      <c r="I1166">
        <v>1323.3449707</v>
      </c>
      <c r="J1166">
        <v>1319.5059814000001</v>
      </c>
      <c r="K1166">
        <v>1200</v>
      </c>
      <c r="L1166">
        <v>0</v>
      </c>
      <c r="M1166">
        <v>0</v>
      </c>
      <c r="N1166">
        <v>1200</v>
      </c>
    </row>
    <row r="1167" spans="1:14" x14ac:dyDescent="0.25">
      <c r="A1167">
        <v>1268.1245899999999</v>
      </c>
      <c r="B1167" s="1">
        <f>DATE(2013,10,20) + TIME(2,59,24)</f>
        <v>41567.124583333331</v>
      </c>
      <c r="C1167">
        <v>80</v>
      </c>
      <c r="D1167">
        <v>79.809074401999993</v>
      </c>
      <c r="E1167">
        <v>50</v>
      </c>
      <c r="F1167">
        <v>45.909500121999997</v>
      </c>
      <c r="G1167">
        <v>1369.8359375</v>
      </c>
      <c r="H1167">
        <v>1355.7197266000001</v>
      </c>
      <c r="I1167">
        <v>1323.3746338000001</v>
      </c>
      <c r="J1167">
        <v>1319.5451660000001</v>
      </c>
      <c r="K1167">
        <v>1200</v>
      </c>
      <c r="L1167">
        <v>0</v>
      </c>
      <c r="M1167">
        <v>0</v>
      </c>
      <c r="N1167">
        <v>1200</v>
      </c>
    </row>
    <row r="1168" spans="1:14" x14ac:dyDescent="0.25">
      <c r="A1168">
        <v>1272.1545779999999</v>
      </c>
      <c r="B1168" s="1">
        <f>DATE(2013,10,24) + TIME(3,42,35)</f>
        <v>41571.15457175926</v>
      </c>
      <c r="C1168">
        <v>80</v>
      </c>
      <c r="D1168">
        <v>79.809623717999997</v>
      </c>
      <c r="E1168">
        <v>50</v>
      </c>
      <c r="F1168">
        <v>46.264175414999997</v>
      </c>
      <c r="G1168">
        <v>1369.7800293</v>
      </c>
      <c r="H1168">
        <v>1355.6730957</v>
      </c>
      <c r="I1168">
        <v>1323.4079589999999</v>
      </c>
      <c r="J1168">
        <v>1319.590332</v>
      </c>
      <c r="K1168">
        <v>1200</v>
      </c>
      <c r="L1168">
        <v>0</v>
      </c>
      <c r="M1168">
        <v>0</v>
      </c>
      <c r="N1168">
        <v>1200</v>
      </c>
    </row>
    <row r="1169" spans="1:14" x14ac:dyDescent="0.25">
      <c r="A1169">
        <v>1276.273952</v>
      </c>
      <c r="B1169" s="1">
        <f>DATE(2013,10,28) + TIME(6,34,29)</f>
        <v>41575.273946759262</v>
      </c>
      <c r="C1169">
        <v>80</v>
      </c>
      <c r="D1169">
        <v>79.810180664000001</v>
      </c>
      <c r="E1169">
        <v>50</v>
      </c>
      <c r="F1169">
        <v>46.646507262999997</v>
      </c>
      <c r="G1169">
        <v>1369.7246094</v>
      </c>
      <c r="H1169">
        <v>1355.6267089999999</v>
      </c>
      <c r="I1169">
        <v>1323.4453125</v>
      </c>
      <c r="J1169">
        <v>1319.6417236</v>
      </c>
      <c r="K1169">
        <v>1200</v>
      </c>
      <c r="L1169">
        <v>0</v>
      </c>
      <c r="M1169">
        <v>0</v>
      </c>
      <c r="N1169">
        <v>1200</v>
      </c>
    </row>
    <row r="1170" spans="1:14" x14ac:dyDescent="0.25">
      <c r="A1170">
        <v>1280</v>
      </c>
      <c r="B1170" s="1">
        <f>DATE(2013,11,1) + TIME(0,0,0)</f>
        <v>41579</v>
      </c>
      <c r="C1170">
        <v>80</v>
      </c>
      <c r="D1170">
        <v>79.810668945000003</v>
      </c>
      <c r="E1170">
        <v>50</v>
      </c>
      <c r="F1170">
        <v>47.037757874</v>
      </c>
      <c r="G1170">
        <v>1369.6693115</v>
      </c>
      <c r="H1170">
        <v>1355.5804443</v>
      </c>
      <c r="I1170">
        <v>1323.4874268000001</v>
      </c>
      <c r="J1170">
        <v>1319.6989745999999</v>
      </c>
      <c r="K1170">
        <v>1200</v>
      </c>
      <c r="L1170">
        <v>0</v>
      </c>
      <c r="M1170">
        <v>0</v>
      </c>
      <c r="N1170">
        <v>1200</v>
      </c>
    </row>
    <row r="1171" spans="1:14" x14ac:dyDescent="0.25">
      <c r="A1171">
        <v>1280.0000010000001</v>
      </c>
      <c r="B1171" s="1">
        <f>DATE(2013,11,1) + TIME(0,0,0)</f>
        <v>41579</v>
      </c>
      <c r="C1171">
        <v>80</v>
      </c>
      <c r="D1171">
        <v>79.810623168999996</v>
      </c>
      <c r="E1171">
        <v>50</v>
      </c>
      <c r="F1171">
        <v>47.037796020999998</v>
      </c>
      <c r="G1171">
        <v>1355.291626</v>
      </c>
      <c r="H1171">
        <v>1342.6512451000001</v>
      </c>
      <c r="I1171">
        <v>1327.5609131000001</v>
      </c>
      <c r="J1171">
        <v>1323.7921143000001</v>
      </c>
      <c r="K1171">
        <v>0</v>
      </c>
      <c r="L1171">
        <v>1200</v>
      </c>
      <c r="M1171">
        <v>1200</v>
      </c>
      <c r="N1171">
        <v>0</v>
      </c>
    </row>
    <row r="1172" spans="1:14" x14ac:dyDescent="0.25">
      <c r="A1172">
        <v>1280.000004</v>
      </c>
      <c r="B1172" s="1">
        <f>DATE(2013,11,1) + TIME(0,0,0)</f>
        <v>41579</v>
      </c>
      <c r="C1172">
        <v>80</v>
      </c>
      <c r="D1172">
        <v>79.810508728000002</v>
      </c>
      <c r="E1172">
        <v>50</v>
      </c>
      <c r="F1172">
        <v>47.037902832</v>
      </c>
      <c r="G1172">
        <v>1354.4907227000001</v>
      </c>
      <c r="H1172">
        <v>1341.8491211</v>
      </c>
      <c r="I1172">
        <v>1328.3433838000001</v>
      </c>
      <c r="J1172">
        <v>1324.6175536999999</v>
      </c>
      <c r="K1172">
        <v>0</v>
      </c>
      <c r="L1172">
        <v>1200</v>
      </c>
      <c r="M1172">
        <v>1200</v>
      </c>
      <c r="N1172">
        <v>0</v>
      </c>
    </row>
    <row r="1173" spans="1:14" x14ac:dyDescent="0.25">
      <c r="A1173">
        <v>1280.0000130000001</v>
      </c>
      <c r="B1173" s="1">
        <f>DATE(2013,11,1) + TIME(0,0,1)</f>
        <v>41579.000011574077</v>
      </c>
      <c r="C1173">
        <v>80</v>
      </c>
      <c r="D1173">
        <v>79.810234070000007</v>
      </c>
      <c r="E1173">
        <v>50</v>
      </c>
      <c r="F1173">
        <v>47.038154601999999</v>
      </c>
      <c r="G1173">
        <v>1352.5246582</v>
      </c>
      <c r="H1173">
        <v>1339.8809814000001</v>
      </c>
      <c r="I1173">
        <v>1330.1850586</v>
      </c>
      <c r="J1173">
        <v>1326.5253906</v>
      </c>
      <c r="K1173">
        <v>0</v>
      </c>
      <c r="L1173">
        <v>1200</v>
      </c>
      <c r="M1173">
        <v>1200</v>
      </c>
      <c r="N1173">
        <v>0</v>
      </c>
    </row>
    <row r="1174" spans="1:14" x14ac:dyDescent="0.25">
      <c r="A1174">
        <v>1280.0000399999999</v>
      </c>
      <c r="B1174" s="1">
        <f>DATE(2013,11,1) + TIME(0,0,3)</f>
        <v>41579.000034722223</v>
      </c>
      <c r="C1174">
        <v>80</v>
      </c>
      <c r="D1174">
        <v>79.809684752999999</v>
      </c>
      <c r="E1174">
        <v>50</v>
      </c>
      <c r="F1174">
        <v>47.038589477999999</v>
      </c>
      <c r="G1174">
        <v>1348.6726074000001</v>
      </c>
      <c r="H1174">
        <v>1336.0275879000001</v>
      </c>
      <c r="I1174">
        <v>1333.4122314000001</v>
      </c>
      <c r="J1174">
        <v>1329.7772216999999</v>
      </c>
      <c r="K1174">
        <v>0</v>
      </c>
      <c r="L1174">
        <v>1200</v>
      </c>
      <c r="M1174">
        <v>1200</v>
      </c>
      <c r="N1174">
        <v>0</v>
      </c>
    </row>
    <row r="1175" spans="1:14" x14ac:dyDescent="0.25">
      <c r="A1175">
        <v>1280.000121</v>
      </c>
      <c r="B1175" s="1">
        <f>DATE(2013,11,1) + TIME(0,0,10)</f>
        <v>41579.000115740739</v>
      </c>
      <c r="C1175">
        <v>80</v>
      </c>
      <c r="D1175">
        <v>79.808860779</v>
      </c>
      <c r="E1175">
        <v>50</v>
      </c>
      <c r="F1175">
        <v>47.039165496999999</v>
      </c>
      <c r="G1175">
        <v>1342.9849853999999</v>
      </c>
      <c r="H1175">
        <v>1330.3461914</v>
      </c>
      <c r="I1175">
        <v>1337.3106689000001</v>
      </c>
      <c r="J1175">
        <v>1333.6467285000001</v>
      </c>
      <c r="K1175">
        <v>0</v>
      </c>
      <c r="L1175">
        <v>1200</v>
      </c>
      <c r="M1175">
        <v>1200</v>
      </c>
      <c r="N1175">
        <v>0</v>
      </c>
    </row>
    <row r="1176" spans="1:14" x14ac:dyDescent="0.25">
      <c r="A1176">
        <v>1280.000364</v>
      </c>
      <c r="B1176" s="1">
        <f>DATE(2013,11,1) + TIME(0,0,31)</f>
        <v>41579.000358796293</v>
      </c>
      <c r="C1176">
        <v>80</v>
      </c>
      <c r="D1176">
        <v>79.807861328000001</v>
      </c>
      <c r="E1176">
        <v>50</v>
      </c>
      <c r="F1176">
        <v>47.039897918999998</v>
      </c>
      <c r="G1176">
        <v>1336.2835693</v>
      </c>
      <c r="H1176">
        <v>1323.65625</v>
      </c>
      <c r="I1176">
        <v>1340.9512939000001</v>
      </c>
      <c r="J1176">
        <v>1337.2614745999999</v>
      </c>
      <c r="K1176">
        <v>0</v>
      </c>
      <c r="L1176">
        <v>1200</v>
      </c>
      <c r="M1176">
        <v>1200</v>
      </c>
      <c r="N1176">
        <v>0</v>
      </c>
    </row>
    <row r="1177" spans="1:14" x14ac:dyDescent="0.25">
      <c r="A1177">
        <v>1280.0010930000001</v>
      </c>
      <c r="B1177" s="1">
        <f>DATE(2013,11,1) + TIME(0,1,34)</f>
        <v>41579.001087962963</v>
      </c>
      <c r="C1177">
        <v>80</v>
      </c>
      <c r="D1177">
        <v>79.806732178000004</v>
      </c>
      <c r="E1177">
        <v>50</v>
      </c>
      <c r="F1177">
        <v>47.041145325000002</v>
      </c>
      <c r="G1177">
        <v>1329.3496094</v>
      </c>
      <c r="H1177">
        <v>1316.7056885</v>
      </c>
      <c r="I1177">
        <v>1344.1619873</v>
      </c>
      <c r="J1177">
        <v>1340.4559326000001</v>
      </c>
      <c r="K1177">
        <v>0</v>
      </c>
      <c r="L1177">
        <v>1200</v>
      </c>
      <c r="M1177">
        <v>1200</v>
      </c>
      <c r="N1177">
        <v>0</v>
      </c>
    </row>
    <row r="1178" spans="1:14" x14ac:dyDescent="0.25">
      <c r="A1178">
        <v>1280.0032799999999</v>
      </c>
      <c r="B1178" s="1">
        <f>DATE(2013,11,1) + TIME(0,4,43)</f>
        <v>41579.003275462965</v>
      </c>
      <c r="C1178">
        <v>80</v>
      </c>
      <c r="D1178">
        <v>79.805389403999996</v>
      </c>
      <c r="E1178">
        <v>50</v>
      </c>
      <c r="F1178">
        <v>47.043972015000001</v>
      </c>
      <c r="G1178">
        <v>1323.1745605000001</v>
      </c>
      <c r="H1178">
        <v>1310.4154053</v>
      </c>
      <c r="I1178">
        <v>1346.3048096</v>
      </c>
      <c r="J1178">
        <v>1342.5784911999999</v>
      </c>
      <c r="K1178">
        <v>0</v>
      </c>
      <c r="L1178">
        <v>1200</v>
      </c>
      <c r="M1178">
        <v>1200</v>
      </c>
      <c r="N1178">
        <v>0</v>
      </c>
    </row>
    <row r="1179" spans="1:14" x14ac:dyDescent="0.25">
      <c r="A1179">
        <v>1280.0098410000001</v>
      </c>
      <c r="B1179" s="1">
        <f>DATE(2013,11,1) + TIME(0,14,10)</f>
        <v>41579.009837962964</v>
      </c>
      <c r="C1179">
        <v>80</v>
      </c>
      <c r="D1179">
        <v>79.803337096999996</v>
      </c>
      <c r="E1179">
        <v>50</v>
      </c>
      <c r="F1179">
        <v>47.051681518999999</v>
      </c>
      <c r="G1179">
        <v>1318.7011719</v>
      </c>
      <c r="H1179">
        <v>1305.807251</v>
      </c>
      <c r="I1179">
        <v>1346.4986572</v>
      </c>
      <c r="J1179">
        <v>1342.7644043</v>
      </c>
      <c r="K1179">
        <v>0</v>
      </c>
      <c r="L1179">
        <v>1200</v>
      </c>
      <c r="M1179">
        <v>1200</v>
      </c>
      <c r="N1179">
        <v>0</v>
      </c>
    </row>
    <row r="1180" spans="1:14" x14ac:dyDescent="0.25">
      <c r="A1180">
        <v>1280.029524</v>
      </c>
      <c r="B1180" s="1">
        <f>DATE(2013,11,1) + TIME(0,42,30)</f>
        <v>41579.029513888891</v>
      </c>
      <c r="C1180">
        <v>80</v>
      </c>
      <c r="D1180">
        <v>79.798683166999993</v>
      </c>
      <c r="E1180">
        <v>50</v>
      </c>
      <c r="F1180">
        <v>47.074409484999997</v>
      </c>
      <c r="G1180">
        <v>1315.8972168</v>
      </c>
      <c r="H1180">
        <v>1302.9461670000001</v>
      </c>
      <c r="I1180">
        <v>1345.3847656</v>
      </c>
      <c r="J1180">
        <v>1341.6524658000001</v>
      </c>
      <c r="K1180">
        <v>0</v>
      </c>
      <c r="L1180">
        <v>1200</v>
      </c>
      <c r="M1180">
        <v>1200</v>
      </c>
      <c r="N1180">
        <v>0</v>
      </c>
    </row>
    <row r="1181" spans="1:14" x14ac:dyDescent="0.25">
      <c r="A1181">
        <v>1280.088573</v>
      </c>
      <c r="B1181" s="1">
        <f>DATE(2013,11,1) + TIME(2,7,32)</f>
        <v>41579.088564814818</v>
      </c>
      <c r="C1181">
        <v>80</v>
      </c>
      <c r="D1181">
        <v>79.785873413000004</v>
      </c>
      <c r="E1181">
        <v>50</v>
      </c>
      <c r="F1181">
        <v>47.141166687000002</v>
      </c>
      <c r="G1181">
        <v>1314.2279053</v>
      </c>
      <c r="H1181">
        <v>1301.2636719</v>
      </c>
      <c r="I1181">
        <v>1344.1430664</v>
      </c>
      <c r="J1181">
        <v>1340.4169922000001</v>
      </c>
      <c r="K1181">
        <v>0</v>
      </c>
      <c r="L1181">
        <v>1200</v>
      </c>
      <c r="M1181">
        <v>1200</v>
      </c>
      <c r="N1181">
        <v>0</v>
      </c>
    </row>
    <row r="1182" spans="1:14" x14ac:dyDescent="0.25">
      <c r="A1182">
        <v>1280.26314</v>
      </c>
      <c r="B1182" s="1">
        <f>DATE(2013,11,1) + TIME(6,18,55)</f>
        <v>41579.263136574074</v>
      </c>
      <c r="C1182">
        <v>80</v>
      </c>
      <c r="D1182">
        <v>79.750282287999994</v>
      </c>
      <c r="E1182">
        <v>50</v>
      </c>
      <c r="F1182">
        <v>47.325187683000003</v>
      </c>
      <c r="G1182">
        <v>1313.2802733999999</v>
      </c>
      <c r="H1182">
        <v>1300.3126221</v>
      </c>
      <c r="I1182">
        <v>1343.2457274999999</v>
      </c>
      <c r="J1182">
        <v>1339.5352783000001</v>
      </c>
      <c r="K1182">
        <v>0</v>
      </c>
      <c r="L1182">
        <v>1200</v>
      </c>
      <c r="M1182">
        <v>1200</v>
      </c>
      <c r="N1182">
        <v>0</v>
      </c>
    </row>
    <row r="1183" spans="1:14" x14ac:dyDescent="0.25">
      <c r="A1183">
        <v>1280.445553</v>
      </c>
      <c r="B1183" s="1">
        <f>DATE(2013,11,1) + TIME(10,41,35)</f>
        <v>41579.445543981485</v>
      </c>
      <c r="C1183">
        <v>80</v>
      </c>
      <c r="D1183">
        <v>79.713645935000002</v>
      </c>
      <c r="E1183">
        <v>50</v>
      </c>
      <c r="F1183">
        <v>47.503875731999997</v>
      </c>
      <c r="G1183">
        <v>1312.9797363</v>
      </c>
      <c r="H1183">
        <v>1300.0109863</v>
      </c>
      <c r="I1183">
        <v>1342.9290771000001</v>
      </c>
      <c r="J1183">
        <v>1339.2307129000001</v>
      </c>
      <c r="K1183">
        <v>0</v>
      </c>
      <c r="L1183">
        <v>1200</v>
      </c>
      <c r="M1183">
        <v>1200</v>
      </c>
      <c r="N1183">
        <v>0</v>
      </c>
    </row>
    <row r="1184" spans="1:14" x14ac:dyDescent="0.25">
      <c r="A1184">
        <v>1280.637123</v>
      </c>
      <c r="B1184" s="1">
        <f>DATE(2013,11,1) + TIME(15,17,27)</f>
        <v>41579.637118055558</v>
      </c>
      <c r="C1184">
        <v>80</v>
      </c>
      <c r="D1184">
        <v>79.675689696999996</v>
      </c>
      <c r="E1184">
        <v>50</v>
      </c>
      <c r="F1184">
        <v>47.677604674999998</v>
      </c>
      <c r="G1184">
        <v>1312.8690185999999</v>
      </c>
      <c r="H1184">
        <v>1299.8992920000001</v>
      </c>
      <c r="I1184">
        <v>1342.7917480000001</v>
      </c>
      <c r="J1184">
        <v>1339.1048584</v>
      </c>
      <c r="K1184">
        <v>0</v>
      </c>
      <c r="L1184">
        <v>1200</v>
      </c>
      <c r="M1184">
        <v>1200</v>
      </c>
      <c r="N1184">
        <v>0</v>
      </c>
    </row>
    <row r="1185" spans="1:14" x14ac:dyDescent="0.25">
      <c r="A1185">
        <v>1280.838966</v>
      </c>
      <c r="B1185" s="1">
        <f>DATE(2013,11,1) + TIME(20,8,6)</f>
        <v>41579.838958333334</v>
      </c>
      <c r="C1185">
        <v>80</v>
      </c>
      <c r="D1185">
        <v>79.636245728000006</v>
      </c>
      <c r="E1185">
        <v>50</v>
      </c>
      <c r="F1185">
        <v>47.846378326</v>
      </c>
      <c r="G1185">
        <v>1312.8253173999999</v>
      </c>
      <c r="H1185">
        <v>1299.8546143000001</v>
      </c>
      <c r="I1185">
        <v>1342.7196045000001</v>
      </c>
      <c r="J1185">
        <v>1339.0438231999999</v>
      </c>
      <c r="K1185">
        <v>0</v>
      </c>
      <c r="L1185">
        <v>1200</v>
      </c>
      <c r="M1185">
        <v>1200</v>
      </c>
      <c r="N1185">
        <v>0</v>
      </c>
    </row>
    <row r="1186" spans="1:14" x14ac:dyDescent="0.25">
      <c r="A1186">
        <v>1281.0523900000001</v>
      </c>
      <c r="B1186" s="1">
        <f>DATE(2013,11,2) + TIME(1,15,26)</f>
        <v>41580.052384259259</v>
      </c>
      <c r="C1186">
        <v>80</v>
      </c>
      <c r="D1186">
        <v>79.595108031999999</v>
      </c>
      <c r="E1186">
        <v>50</v>
      </c>
      <c r="F1186">
        <v>48.010192871000001</v>
      </c>
      <c r="G1186">
        <v>1312.8059082</v>
      </c>
      <c r="H1186">
        <v>1299.8339844</v>
      </c>
      <c r="I1186">
        <v>1342.6721190999999</v>
      </c>
      <c r="J1186">
        <v>1339.0069579999999</v>
      </c>
      <c r="K1186">
        <v>0</v>
      </c>
      <c r="L1186">
        <v>1200</v>
      </c>
      <c r="M1186">
        <v>1200</v>
      </c>
      <c r="N1186">
        <v>0</v>
      </c>
    </row>
    <row r="1187" spans="1:14" x14ac:dyDescent="0.25">
      <c r="A1187">
        <v>1281.278947</v>
      </c>
      <c r="B1187" s="1">
        <f>DATE(2013,11,2) + TIME(6,41,41)</f>
        <v>41580.278946759259</v>
      </c>
      <c r="C1187">
        <v>80</v>
      </c>
      <c r="D1187">
        <v>79.552062988000003</v>
      </c>
      <c r="E1187">
        <v>50</v>
      </c>
      <c r="F1187">
        <v>48.169021606000001</v>
      </c>
      <c r="G1187">
        <v>1312.7949219</v>
      </c>
      <c r="H1187">
        <v>1299.8218993999999</v>
      </c>
      <c r="I1187">
        <v>1342.6342772999999</v>
      </c>
      <c r="J1187">
        <v>1338.9793701000001</v>
      </c>
      <c r="K1187">
        <v>0</v>
      </c>
      <c r="L1187">
        <v>1200</v>
      </c>
      <c r="M1187">
        <v>1200</v>
      </c>
      <c r="N1187">
        <v>0</v>
      </c>
    </row>
    <row r="1188" spans="1:14" x14ac:dyDescent="0.25">
      <c r="A1188">
        <v>1281.5204980000001</v>
      </c>
      <c r="B1188" s="1">
        <f>DATE(2013,11,2) + TIME(12,29,31)</f>
        <v>41580.520497685182</v>
      </c>
      <c r="C1188">
        <v>80</v>
      </c>
      <c r="D1188">
        <v>79.506851196</v>
      </c>
      <c r="E1188">
        <v>50</v>
      </c>
      <c r="F1188">
        <v>48.322814940999997</v>
      </c>
      <c r="G1188">
        <v>1312.7867432</v>
      </c>
      <c r="H1188">
        <v>1299.8122559000001</v>
      </c>
      <c r="I1188">
        <v>1342.6003418</v>
      </c>
      <c r="J1188">
        <v>1338.9553223</v>
      </c>
      <c r="K1188">
        <v>0</v>
      </c>
      <c r="L1188">
        <v>1200</v>
      </c>
      <c r="M1188">
        <v>1200</v>
      </c>
      <c r="N1188">
        <v>0</v>
      </c>
    </row>
    <row r="1189" spans="1:14" x14ac:dyDescent="0.25">
      <c r="A1189">
        <v>1281.779303</v>
      </c>
      <c r="B1189" s="1">
        <f>DATE(2013,11,2) + TIME(18,42,11)</f>
        <v>41580.779293981483</v>
      </c>
      <c r="C1189">
        <v>80</v>
      </c>
      <c r="D1189">
        <v>79.459152222</v>
      </c>
      <c r="E1189">
        <v>50</v>
      </c>
      <c r="F1189">
        <v>48.471496582</v>
      </c>
      <c r="G1189">
        <v>1312.7790527</v>
      </c>
      <c r="H1189">
        <v>1299.8032227000001</v>
      </c>
      <c r="I1189">
        <v>1342.5686035000001</v>
      </c>
      <c r="J1189">
        <v>1338.9329834</v>
      </c>
      <c r="K1189">
        <v>0</v>
      </c>
      <c r="L1189">
        <v>1200</v>
      </c>
      <c r="M1189">
        <v>1200</v>
      </c>
      <c r="N1189">
        <v>0</v>
      </c>
    </row>
    <row r="1190" spans="1:14" x14ac:dyDescent="0.25">
      <c r="A1190">
        <v>1282.058139</v>
      </c>
      <c r="B1190" s="1">
        <f>DATE(2013,11,3) + TIME(1,23,43)</f>
        <v>41581.058136574073</v>
      </c>
      <c r="C1190">
        <v>80</v>
      </c>
      <c r="D1190">
        <v>79.408592224000003</v>
      </c>
      <c r="E1190">
        <v>50</v>
      </c>
      <c r="F1190">
        <v>48.614959716999998</v>
      </c>
      <c r="G1190">
        <v>1312.7712402</v>
      </c>
      <c r="H1190">
        <v>1299.7937012</v>
      </c>
      <c r="I1190">
        <v>1342.5379639</v>
      </c>
      <c r="J1190">
        <v>1338.911499</v>
      </c>
      <c r="K1190">
        <v>0</v>
      </c>
      <c r="L1190">
        <v>1200</v>
      </c>
      <c r="M1190">
        <v>1200</v>
      </c>
      <c r="N1190">
        <v>0</v>
      </c>
    </row>
    <row r="1191" spans="1:14" x14ac:dyDescent="0.25">
      <c r="A1191">
        <v>1282.3604720000001</v>
      </c>
      <c r="B1191" s="1">
        <f>DATE(2013,11,3) + TIME(8,39,4)</f>
        <v>41581.360462962963</v>
      </c>
      <c r="C1191">
        <v>80</v>
      </c>
      <c r="D1191">
        <v>79.354721068999993</v>
      </c>
      <c r="E1191">
        <v>50</v>
      </c>
      <c r="F1191">
        <v>48.753070831000002</v>
      </c>
      <c r="G1191">
        <v>1312.7629394999999</v>
      </c>
      <c r="H1191">
        <v>1299.7836914</v>
      </c>
      <c r="I1191">
        <v>1342.5085449000001</v>
      </c>
      <c r="J1191">
        <v>1338.890625</v>
      </c>
      <c r="K1191">
        <v>0</v>
      </c>
      <c r="L1191">
        <v>1200</v>
      </c>
      <c r="M1191">
        <v>1200</v>
      </c>
      <c r="N1191">
        <v>0</v>
      </c>
    </row>
    <row r="1192" spans="1:14" x14ac:dyDescent="0.25">
      <c r="A1192">
        <v>1282.6906859999999</v>
      </c>
      <c r="B1192" s="1">
        <f>DATE(2013,11,3) + TIME(16,34,35)</f>
        <v>41581.690682870372</v>
      </c>
      <c r="C1192">
        <v>80</v>
      </c>
      <c r="D1192">
        <v>79.296958923000005</v>
      </c>
      <c r="E1192">
        <v>50</v>
      </c>
      <c r="F1192">
        <v>48.885635376000003</v>
      </c>
      <c r="G1192">
        <v>1312.7540283000001</v>
      </c>
      <c r="H1192">
        <v>1299.7727050999999</v>
      </c>
      <c r="I1192">
        <v>1342.4798584</v>
      </c>
      <c r="J1192">
        <v>1338.8703613</v>
      </c>
      <c r="K1192">
        <v>0</v>
      </c>
      <c r="L1192">
        <v>1200</v>
      </c>
      <c r="M1192">
        <v>1200</v>
      </c>
      <c r="N1192">
        <v>0</v>
      </c>
    </row>
    <row r="1193" spans="1:14" x14ac:dyDescent="0.25">
      <c r="A1193">
        <v>1283.05439</v>
      </c>
      <c r="B1193" s="1">
        <f>DATE(2013,11,4) + TIME(1,18,19)</f>
        <v>41582.054386574076</v>
      </c>
      <c r="C1193">
        <v>80</v>
      </c>
      <c r="D1193">
        <v>79.234588622999993</v>
      </c>
      <c r="E1193">
        <v>50</v>
      </c>
      <c r="F1193">
        <v>49.012413025000001</v>
      </c>
      <c r="G1193">
        <v>1312.7443848</v>
      </c>
      <c r="H1193">
        <v>1299.7607422000001</v>
      </c>
      <c r="I1193">
        <v>1342.4521483999999</v>
      </c>
      <c r="J1193">
        <v>1338.8504639</v>
      </c>
      <c r="K1193">
        <v>0</v>
      </c>
      <c r="L1193">
        <v>1200</v>
      </c>
      <c r="M1193">
        <v>1200</v>
      </c>
      <c r="N1193">
        <v>0</v>
      </c>
    </row>
    <row r="1194" spans="1:14" x14ac:dyDescent="0.25">
      <c r="A1194">
        <v>1283.4591439999999</v>
      </c>
      <c r="B1194" s="1">
        <f>DATE(2013,11,4) + TIME(11,1,10)</f>
        <v>41582.459143518521</v>
      </c>
      <c r="C1194">
        <v>80</v>
      </c>
      <c r="D1194">
        <v>79.166671753000003</v>
      </c>
      <c r="E1194">
        <v>50</v>
      </c>
      <c r="F1194">
        <v>49.133136749000002</v>
      </c>
      <c r="G1194">
        <v>1312.7337646000001</v>
      </c>
      <c r="H1194">
        <v>1299.7475586</v>
      </c>
      <c r="I1194">
        <v>1342.4251709</v>
      </c>
      <c r="J1194">
        <v>1338.8309326000001</v>
      </c>
      <c r="K1194">
        <v>0</v>
      </c>
      <c r="L1194">
        <v>1200</v>
      </c>
      <c r="M1194">
        <v>1200</v>
      </c>
      <c r="N1194">
        <v>0</v>
      </c>
    </row>
    <row r="1195" spans="1:14" x14ac:dyDescent="0.25">
      <c r="A1195">
        <v>1283.915119</v>
      </c>
      <c r="B1195" s="1">
        <f>DATE(2013,11,4) + TIME(21,57,46)</f>
        <v>41582.91511574074</v>
      </c>
      <c r="C1195">
        <v>80</v>
      </c>
      <c r="D1195">
        <v>79.091987610000004</v>
      </c>
      <c r="E1195">
        <v>50</v>
      </c>
      <c r="F1195">
        <v>49.247451781999999</v>
      </c>
      <c r="G1195">
        <v>1312.7219238</v>
      </c>
      <c r="H1195">
        <v>1299.7327881000001</v>
      </c>
      <c r="I1195">
        <v>1342.3989257999999</v>
      </c>
      <c r="J1195">
        <v>1338.8117675999999</v>
      </c>
      <c r="K1195">
        <v>0</v>
      </c>
      <c r="L1195">
        <v>1200</v>
      </c>
      <c r="M1195">
        <v>1200</v>
      </c>
      <c r="N1195">
        <v>0</v>
      </c>
    </row>
    <row r="1196" spans="1:14" x14ac:dyDescent="0.25">
      <c r="A1196">
        <v>1284.4365379999999</v>
      </c>
      <c r="B1196" s="1">
        <f>DATE(2013,11,5) + TIME(10,28,36)</f>
        <v>41583.436527777776</v>
      </c>
      <c r="C1196">
        <v>80</v>
      </c>
      <c r="D1196">
        <v>79.008872986</v>
      </c>
      <c r="E1196">
        <v>50</v>
      </c>
      <c r="F1196">
        <v>49.354896545000003</v>
      </c>
      <c r="G1196">
        <v>1312.7087402</v>
      </c>
      <c r="H1196">
        <v>1299.7163086</v>
      </c>
      <c r="I1196">
        <v>1342.3732910000001</v>
      </c>
      <c r="J1196">
        <v>1338.7928466999999</v>
      </c>
      <c r="K1196">
        <v>0</v>
      </c>
      <c r="L1196">
        <v>1200</v>
      </c>
      <c r="M1196">
        <v>1200</v>
      </c>
      <c r="N1196">
        <v>0</v>
      </c>
    </row>
    <row r="1197" spans="1:14" x14ac:dyDescent="0.25">
      <c r="A1197">
        <v>1285.0440570000001</v>
      </c>
      <c r="B1197" s="1">
        <f>DATE(2013,11,6) + TIME(1,3,26)</f>
        <v>41584.044050925928</v>
      </c>
      <c r="C1197">
        <v>80</v>
      </c>
      <c r="D1197">
        <v>78.915023804</v>
      </c>
      <c r="E1197">
        <v>50</v>
      </c>
      <c r="F1197">
        <v>49.454914092999999</v>
      </c>
      <c r="G1197">
        <v>1312.6936035000001</v>
      </c>
      <c r="H1197">
        <v>1299.6972656</v>
      </c>
      <c r="I1197">
        <v>1342.3483887</v>
      </c>
      <c r="J1197">
        <v>1338.7740478999999</v>
      </c>
      <c r="K1197">
        <v>0</v>
      </c>
      <c r="L1197">
        <v>1200</v>
      </c>
      <c r="M1197">
        <v>1200</v>
      </c>
      <c r="N1197">
        <v>0</v>
      </c>
    </row>
    <row r="1198" spans="1:14" x14ac:dyDescent="0.25">
      <c r="A1198">
        <v>1285.7690729999999</v>
      </c>
      <c r="B1198" s="1">
        <f>DATE(2013,11,6) + TIME(18,27,27)</f>
        <v>41584.769062500003</v>
      </c>
      <c r="C1198">
        <v>80</v>
      </c>
      <c r="D1198">
        <v>78.807113646999994</v>
      </c>
      <c r="E1198">
        <v>50</v>
      </c>
      <c r="F1198">
        <v>49.546772003000001</v>
      </c>
      <c r="G1198">
        <v>1312.6761475000001</v>
      </c>
      <c r="H1198">
        <v>1299.675293</v>
      </c>
      <c r="I1198">
        <v>1342.3238524999999</v>
      </c>
      <c r="J1198">
        <v>1338.7553711</v>
      </c>
      <c r="K1198">
        <v>0</v>
      </c>
      <c r="L1198">
        <v>1200</v>
      </c>
      <c r="M1198">
        <v>1200</v>
      </c>
      <c r="N1198">
        <v>0</v>
      </c>
    </row>
    <row r="1199" spans="1:14" x14ac:dyDescent="0.25">
      <c r="A1199">
        <v>1286.662165</v>
      </c>
      <c r="B1199" s="1">
        <f>DATE(2013,11,7) + TIME(15,53,31)</f>
        <v>41585.662164351852</v>
      </c>
      <c r="C1199">
        <v>80</v>
      </c>
      <c r="D1199">
        <v>78.680145264000004</v>
      </c>
      <c r="E1199">
        <v>50</v>
      </c>
      <c r="F1199">
        <v>49.629566193000002</v>
      </c>
      <c r="G1199">
        <v>1312.6555175999999</v>
      </c>
      <c r="H1199">
        <v>1299.6489257999999</v>
      </c>
      <c r="I1199">
        <v>1342.2998047000001</v>
      </c>
      <c r="J1199">
        <v>1338.7365723</v>
      </c>
      <c r="K1199">
        <v>0</v>
      </c>
      <c r="L1199">
        <v>1200</v>
      </c>
      <c r="M1199">
        <v>1200</v>
      </c>
      <c r="N1199">
        <v>0</v>
      </c>
    </row>
    <row r="1200" spans="1:14" x14ac:dyDescent="0.25">
      <c r="A1200">
        <v>1287.641867</v>
      </c>
      <c r="B1200" s="1">
        <f>DATE(2013,11,8) + TIME(15,24,17)</f>
        <v>41586.641863425924</v>
      </c>
      <c r="C1200">
        <v>80</v>
      </c>
      <c r="D1200">
        <v>78.542678832999997</v>
      </c>
      <c r="E1200">
        <v>50</v>
      </c>
      <c r="F1200">
        <v>49.694484711000001</v>
      </c>
      <c r="G1200">
        <v>1312.6293945</v>
      </c>
      <c r="H1200">
        <v>1299.6169434000001</v>
      </c>
      <c r="I1200">
        <v>1342.2788086</v>
      </c>
      <c r="J1200">
        <v>1338.7193603999999</v>
      </c>
      <c r="K1200">
        <v>0</v>
      </c>
      <c r="L1200">
        <v>1200</v>
      </c>
      <c r="M1200">
        <v>1200</v>
      </c>
      <c r="N1200">
        <v>0</v>
      </c>
    </row>
    <row r="1201" spans="1:14" x14ac:dyDescent="0.25">
      <c r="A1201">
        <v>1288.6405990000001</v>
      </c>
      <c r="B1201" s="1">
        <f>DATE(2013,11,9) + TIME(15,22,27)</f>
        <v>41587.640590277777</v>
      </c>
      <c r="C1201">
        <v>80</v>
      </c>
      <c r="D1201">
        <v>78.401885985999996</v>
      </c>
      <c r="E1201">
        <v>50</v>
      </c>
      <c r="F1201">
        <v>49.741653442</v>
      </c>
      <c r="G1201">
        <v>1312.6003418</v>
      </c>
      <c r="H1201">
        <v>1299.5819091999999</v>
      </c>
      <c r="I1201">
        <v>1342.2608643000001</v>
      </c>
      <c r="J1201">
        <v>1338.7038574000001</v>
      </c>
      <c r="K1201">
        <v>0</v>
      </c>
      <c r="L1201">
        <v>1200</v>
      </c>
      <c r="M1201">
        <v>1200</v>
      </c>
      <c r="N1201">
        <v>0</v>
      </c>
    </row>
    <row r="1202" spans="1:14" x14ac:dyDescent="0.25">
      <c r="A1202">
        <v>1289.673497</v>
      </c>
      <c r="B1202" s="1">
        <f>DATE(2013,11,10) + TIME(16,9,50)</f>
        <v>41588.673495370371</v>
      </c>
      <c r="C1202">
        <v>80</v>
      </c>
      <c r="D1202">
        <v>78.257240295000003</v>
      </c>
      <c r="E1202">
        <v>50</v>
      </c>
      <c r="F1202">
        <v>49.776210785000004</v>
      </c>
      <c r="G1202">
        <v>1312.5708007999999</v>
      </c>
      <c r="H1202">
        <v>1299.5457764</v>
      </c>
      <c r="I1202">
        <v>1342.2449951000001</v>
      </c>
      <c r="J1202">
        <v>1338.6899414</v>
      </c>
      <c r="K1202">
        <v>0</v>
      </c>
      <c r="L1202">
        <v>1200</v>
      </c>
      <c r="M1202">
        <v>1200</v>
      </c>
      <c r="N1202">
        <v>0</v>
      </c>
    </row>
    <row r="1203" spans="1:14" x14ac:dyDescent="0.25">
      <c r="A1203">
        <v>1290.7501810000001</v>
      </c>
      <c r="B1203" s="1">
        <f>DATE(2013,11,11) + TIME(18,0,15)</f>
        <v>41589.750173611108</v>
      </c>
      <c r="C1203">
        <v>80</v>
      </c>
      <c r="D1203">
        <v>78.108451842999997</v>
      </c>
      <c r="E1203">
        <v>50</v>
      </c>
      <c r="F1203">
        <v>49.801540375000002</v>
      </c>
      <c r="G1203">
        <v>1312.5401611</v>
      </c>
      <c r="H1203">
        <v>1299.5080565999999</v>
      </c>
      <c r="I1203">
        <v>1342.2308350000001</v>
      </c>
      <c r="J1203">
        <v>1338.6770019999999</v>
      </c>
      <c r="K1203">
        <v>0</v>
      </c>
      <c r="L1203">
        <v>1200</v>
      </c>
      <c r="M1203">
        <v>1200</v>
      </c>
      <c r="N1203">
        <v>0</v>
      </c>
    </row>
    <row r="1204" spans="1:14" x14ac:dyDescent="0.25">
      <c r="A1204">
        <v>1291.881142</v>
      </c>
      <c r="B1204" s="1">
        <f>DATE(2013,11,12) + TIME(21,8,50)</f>
        <v>41590.88113425926</v>
      </c>
      <c r="C1204">
        <v>80</v>
      </c>
      <c r="D1204">
        <v>77.954971313000001</v>
      </c>
      <c r="E1204">
        <v>50</v>
      </c>
      <c r="F1204">
        <v>49.820106506000002</v>
      </c>
      <c r="G1204">
        <v>1312.5081786999999</v>
      </c>
      <c r="H1204">
        <v>1299.4683838000001</v>
      </c>
      <c r="I1204">
        <v>1342.2177733999999</v>
      </c>
      <c r="J1204">
        <v>1338.6649170000001</v>
      </c>
      <c r="K1204">
        <v>0</v>
      </c>
      <c r="L1204">
        <v>1200</v>
      </c>
      <c r="M1204">
        <v>1200</v>
      </c>
      <c r="N1204">
        <v>0</v>
      </c>
    </row>
    <row r="1205" spans="1:14" x14ac:dyDescent="0.25">
      <c r="A1205">
        <v>1293.0779869999999</v>
      </c>
      <c r="B1205" s="1">
        <f>DATE(2013,11,14) + TIME(1,52,18)</f>
        <v>41592.077986111108</v>
      </c>
      <c r="C1205">
        <v>80</v>
      </c>
      <c r="D1205">
        <v>77.796096801999994</v>
      </c>
      <c r="E1205">
        <v>50</v>
      </c>
      <c r="F1205">
        <v>49.833705901999998</v>
      </c>
      <c r="G1205">
        <v>1312.4743652</v>
      </c>
      <c r="H1205">
        <v>1299.4263916</v>
      </c>
      <c r="I1205">
        <v>1342.2058105000001</v>
      </c>
      <c r="J1205">
        <v>1338.6534423999999</v>
      </c>
      <c r="K1205">
        <v>0</v>
      </c>
      <c r="L1205">
        <v>1200</v>
      </c>
      <c r="M1205">
        <v>1200</v>
      </c>
      <c r="N1205">
        <v>0</v>
      </c>
    </row>
    <row r="1206" spans="1:14" x14ac:dyDescent="0.25">
      <c r="A1206">
        <v>1294.3541190000001</v>
      </c>
      <c r="B1206" s="1">
        <f>DATE(2013,11,15) + TIME(8,29,55)</f>
        <v>41593.354108796295</v>
      </c>
      <c r="C1206">
        <v>80</v>
      </c>
      <c r="D1206">
        <v>77.630920410000002</v>
      </c>
      <c r="E1206">
        <v>50</v>
      </c>
      <c r="F1206">
        <v>49.843673705999997</v>
      </c>
      <c r="G1206">
        <v>1312.4384766000001</v>
      </c>
      <c r="H1206">
        <v>1299.3813477000001</v>
      </c>
      <c r="I1206">
        <v>1342.1944579999999</v>
      </c>
      <c r="J1206">
        <v>1338.6424560999999</v>
      </c>
      <c r="K1206">
        <v>0</v>
      </c>
      <c r="L1206">
        <v>1200</v>
      </c>
      <c r="M1206">
        <v>1200</v>
      </c>
      <c r="N1206">
        <v>0</v>
      </c>
    </row>
    <row r="1207" spans="1:14" x14ac:dyDescent="0.25">
      <c r="A1207">
        <v>1295.725522</v>
      </c>
      <c r="B1207" s="1">
        <f>DATE(2013,11,16) + TIME(17,24,45)</f>
        <v>41594.72552083333</v>
      </c>
      <c r="C1207">
        <v>80</v>
      </c>
      <c r="D1207">
        <v>77.458328246999997</v>
      </c>
      <c r="E1207">
        <v>50</v>
      </c>
      <c r="F1207">
        <v>49.851005553999997</v>
      </c>
      <c r="G1207">
        <v>1312.3997803</v>
      </c>
      <c r="H1207">
        <v>1299.3328856999999</v>
      </c>
      <c r="I1207">
        <v>1342.1837158000001</v>
      </c>
      <c r="J1207">
        <v>1338.6317139</v>
      </c>
      <c r="K1207">
        <v>0</v>
      </c>
      <c r="L1207">
        <v>1200</v>
      </c>
      <c r="M1207">
        <v>1200</v>
      </c>
      <c r="N1207">
        <v>0</v>
      </c>
    </row>
    <row r="1208" spans="1:14" x14ac:dyDescent="0.25">
      <c r="A1208">
        <v>1297.21183</v>
      </c>
      <c r="B1208" s="1">
        <f>DATE(2013,11,18) + TIME(5,5,2)</f>
        <v>41596.211828703701</v>
      </c>
      <c r="C1208">
        <v>80</v>
      </c>
      <c r="D1208">
        <v>77.276931762999993</v>
      </c>
      <c r="E1208">
        <v>50</v>
      </c>
      <c r="F1208">
        <v>49.856445311999998</v>
      </c>
      <c r="G1208">
        <v>1312.3579102000001</v>
      </c>
      <c r="H1208">
        <v>1299.2802733999999</v>
      </c>
      <c r="I1208">
        <v>1342.1733397999999</v>
      </c>
      <c r="J1208">
        <v>1338.6210937999999</v>
      </c>
      <c r="K1208">
        <v>0</v>
      </c>
      <c r="L1208">
        <v>1200</v>
      </c>
      <c r="M1208">
        <v>1200</v>
      </c>
      <c r="N1208">
        <v>0</v>
      </c>
    </row>
    <row r="1209" spans="1:14" x14ac:dyDescent="0.25">
      <c r="A1209">
        <v>1298.8377539999999</v>
      </c>
      <c r="B1209" s="1">
        <f>DATE(2013,11,19) + TIME(20,6,21)</f>
        <v>41597.837743055556</v>
      </c>
      <c r="C1209">
        <v>80</v>
      </c>
      <c r="D1209">
        <v>77.085037231000001</v>
      </c>
      <c r="E1209">
        <v>50</v>
      </c>
      <c r="F1209">
        <v>49.860538482999999</v>
      </c>
      <c r="G1209">
        <v>1312.3120117000001</v>
      </c>
      <c r="H1209">
        <v>1299.2224120999999</v>
      </c>
      <c r="I1209">
        <v>1342.1632079999999</v>
      </c>
      <c r="J1209">
        <v>1338.6105957</v>
      </c>
      <c r="K1209">
        <v>0</v>
      </c>
      <c r="L1209">
        <v>1200</v>
      </c>
      <c r="M1209">
        <v>1200</v>
      </c>
      <c r="N1209">
        <v>0</v>
      </c>
    </row>
    <row r="1210" spans="1:14" x14ac:dyDescent="0.25">
      <c r="A1210">
        <v>1300.635098</v>
      </c>
      <c r="B1210" s="1">
        <f>DATE(2013,11,21) + TIME(15,14,32)</f>
        <v>41599.635092592594</v>
      </c>
      <c r="C1210">
        <v>80</v>
      </c>
      <c r="D1210">
        <v>76.880516052000004</v>
      </c>
      <c r="E1210">
        <v>50</v>
      </c>
      <c r="F1210">
        <v>49.863693237</v>
      </c>
      <c r="G1210">
        <v>1312.2611084</v>
      </c>
      <c r="H1210">
        <v>1299.1582031</v>
      </c>
      <c r="I1210">
        <v>1342.1531981999999</v>
      </c>
      <c r="J1210">
        <v>1338.5999756000001</v>
      </c>
      <c r="K1210">
        <v>0</v>
      </c>
      <c r="L1210">
        <v>1200</v>
      </c>
      <c r="M1210">
        <v>1200</v>
      </c>
      <c r="N1210">
        <v>0</v>
      </c>
    </row>
    <row r="1211" spans="1:14" x14ac:dyDescent="0.25">
      <c r="A1211">
        <v>1302.6469320000001</v>
      </c>
      <c r="B1211" s="1">
        <f>DATE(2013,11,23) + TIME(15,31,34)</f>
        <v>41601.646921296298</v>
      </c>
      <c r="C1211">
        <v>80</v>
      </c>
      <c r="D1211">
        <v>76.660598754999995</v>
      </c>
      <c r="E1211">
        <v>50</v>
      </c>
      <c r="F1211">
        <v>49.866210938000002</v>
      </c>
      <c r="G1211">
        <v>1312.2041016000001</v>
      </c>
      <c r="H1211">
        <v>1299.0858154</v>
      </c>
      <c r="I1211">
        <v>1342.1431885</v>
      </c>
      <c r="J1211">
        <v>1338.5891113</v>
      </c>
      <c r="K1211">
        <v>0</v>
      </c>
      <c r="L1211">
        <v>1200</v>
      </c>
      <c r="M1211">
        <v>1200</v>
      </c>
      <c r="N1211">
        <v>0</v>
      </c>
    </row>
    <row r="1212" spans="1:14" x14ac:dyDescent="0.25">
      <c r="A1212">
        <v>1304.932141</v>
      </c>
      <c r="B1212" s="1">
        <f>DATE(2013,11,25) + TIME(22,22,16)</f>
        <v>41603.932129629633</v>
      </c>
      <c r="C1212">
        <v>80</v>
      </c>
      <c r="D1212">
        <v>76.421691894999995</v>
      </c>
      <c r="E1212">
        <v>50</v>
      </c>
      <c r="F1212">
        <v>49.868297577</v>
      </c>
      <c r="G1212">
        <v>1312.1392822</v>
      </c>
      <c r="H1212">
        <v>1299.0031738</v>
      </c>
      <c r="I1212">
        <v>1342.1331786999999</v>
      </c>
      <c r="J1212">
        <v>1338.5780029</v>
      </c>
      <c r="K1212">
        <v>0</v>
      </c>
      <c r="L1212">
        <v>1200</v>
      </c>
      <c r="M1212">
        <v>1200</v>
      </c>
      <c r="N1212">
        <v>0</v>
      </c>
    </row>
    <row r="1213" spans="1:14" x14ac:dyDescent="0.25">
      <c r="A1213">
        <v>1307.39995</v>
      </c>
      <c r="B1213" s="1">
        <f>DATE(2013,11,28) + TIME(9,35,55)</f>
        <v>41606.399942129632</v>
      </c>
      <c r="C1213">
        <v>80</v>
      </c>
      <c r="D1213">
        <v>76.168029785000002</v>
      </c>
      <c r="E1213">
        <v>50</v>
      </c>
      <c r="F1213">
        <v>49.870018004999999</v>
      </c>
      <c r="G1213">
        <v>1312.0637207</v>
      </c>
      <c r="H1213">
        <v>1298.9074707</v>
      </c>
      <c r="I1213">
        <v>1342.1228027</v>
      </c>
      <c r="J1213">
        <v>1338.5664062000001</v>
      </c>
      <c r="K1213">
        <v>0</v>
      </c>
      <c r="L1213">
        <v>1200</v>
      </c>
      <c r="M1213">
        <v>1200</v>
      </c>
      <c r="N1213">
        <v>0</v>
      </c>
    </row>
    <row r="1214" spans="1:14" x14ac:dyDescent="0.25">
      <c r="A1214">
        <v>1308.699975</v>
      </c>
      <c r="B1214" s="1">
        <f>DATE(2013,11,29) + TIME(16,47,57)</f>
        <v>41607.699965277781</v>
      </c>
      <c r="C1214">
        <v>80</v>
      </c>
      <c r="D1214">
        <v>75.993202209000003</v>
      </c>
      <c r="E1214">
        <v>50</v>
      </c>
      <c r="F1214">
        <v>49.870803832999997</v>
      </c>
      <c r="G1214">
        <v>1311.9772949000001</v>
      </c>
      <c r="H1214">
        <v>1298.807251</v>
      </c>
      <c r="I1214">
        <v>1342.1120605000001</v>
      </c>
      <c r="J1214">
        <v>1338.5539550999999</v>
      </c>
      <c r="K1214">
        <v>0</v>
      </c>
      <c r="L1214">
        <v>1200</v>
      </c>
      <c r="M1214">
        <v>1200</v>
      </c>
      <c r="N1214">
        <v>0</v>
      </c>
    </row>
    <row r="1215" spans="1:14" x14ac:dyDescent="0.25">
      <c r="A1215">
        <v>1310</v>
      </c>
      <c r="B1215" s="1">
        <f>DATE(2013,12,1) + TIME(0,0,0)</f>
        <v>41609</v>
      </c>
      <c r="C1215">
        <v>80</v>
      </c>
      <c r="D1215">
        <v>75.831916809000006</v>
      </c>
      <c r="E1215">
        <v>50</v>
      </c>
      <c r="F1215">
        <v>49.871494292999998</v>
      </c>
      <c r="G1215">
        <v>1311.9318848</v>
      </c>
      <c r="H1215">
        <v>1298.7453613</v>
      </c>
      <c r="I1215">
        <v>1342.1071777</v>
      </c>
      <c r="J1215">
        <v>1338.5482178</v>
      </c>
      <c r="K1215">
        <v>0</v>
      </c>
      <c r="L1215">
        <v>1200</v>
      </c>
      <c r="M1215">
        <v>1200</v>
      </c>
      <c r="N1215">
        <v>0</v>
      </c>
    </row>
    <row r="1216" spans="1:14" x14ac:dyDescent="0.25">
      <c r="A1216">
        <v>1312.5034760000001</v>
      </c>
      <c r="B1216" s="1">
        <f>DATE(2013,12,3) + TIME(12,5,0)</f>
        <v>41611.503472222219</v>
      </c>
      <c r="C1216">
        <v>80</v>
      </c>
      <c r="D1216">
        <v>75.607696532999995</v>
      </c>
      <c r="E1216">
        <v>50</v>
      </c>
      <c r="F1216">
        <v>49.872596741000002</v>
      </c>
      <c r="G1216">
        <v>1311.8879394999999</v>
      </c>
      <c r="H1216">
        <v>1298.6778564000001</v>
      </c>
      <c r="I1216">
        <v>1342.1036377</v>
      </c>
      <c r="J1216">
        <v>1338.5437012</v>
      </c>
      <c r="K1216">
        <v>0</v>
      </c>
      <c r="L1216">
        <v>1200</v>
      </c>
      <c r="M1216">
        <v>1200</v>
      </c>
      <c r="N1216">
        <v>0</v>
      </c>
    </row>
    <row r="1217" spans="1:14" x14ac:dyDescent="0.25">
      <c r="A1217">
        <v>1315.1212190000001</v>
      </c>
      <c r="B1217" s="1">
        <f>DATE(2013,12,6) + TIME(2,54,33)</f>
        <v>41614.121215277781</v>
      </c>
      <c r="C1217">
        <v>80</v>
      </c>
      <c r="D1217">
        <v>75.366912842000005</v>
      </c>
      <c r="E1217">
        <v>50</v>
      </c>
      <c r="F1217">
        <v>49.873592377000001</v>
      </c>
      <c r="G1217">
        <v>1311.7984618999999</v>
      </c>
      <c r="H1217">
        <v>1298.5632324000001</v>
      </c>
      <c r="I1217">
        <v>1342.0955810999999</v>
      </c>
      <c r="J1217">
        <v>1338.5338135</v>
      </c>
      <c r="K1217">
        <v>0</v>
      </c>
      <c r="L1217">
        <v>1200</v>
      </c>
      <c r="M1217">
        <v>1200</v>
      </c>
      <c r="N1217">
        <v>0</v>
      </c>
    </row>
    <row r="1218" spans="1:14" x14ac:dyDescent="0.25">
      <c r="A1218">
        <v>1317.7838589999999</v>
      </c>
      <c r="B1218" s="1">
        <f>DATE(2013,12,8) + TIME(18,48,45)</f>
        <v>41616.783854166664</v>
      </c>
      <c r="C1218">
        <v>80</v>
      </c>
      <c r="D1218">
        <v>75.119163513000004</v>
      </c>
      <c r="E1218">
        <v>50</v>
      </c>
      <c r="F1218">
        <v>49.874473571999999</v>
      </c>
      <c r="G1218">
        <v>1311.7017822</v>
      </c>
      <c r="H1218">
        <v>1298.4377440999999</v>
      </c>
      <c r="I1218">
        <v>1342.0880127</v>
      </c>
      <c r="J1218">
        <v>1338.5241699000001</v>
      </c>
      <c r="K1218">
        <v>0</v>
      </c>
      <c r="L1218">
        <v>1200</v>
      </c>
      <c r="M1218">
        <v>1200</v>
      </c>
      <c r="N1218">
        <v>0</v>
      </c>
    </row>
    <row r="1219" spans="1:14" x14ac:dyDescent="0.25">
      <c r="A1219">
        <v>1320.4806610000001</v>
      </c>
      <c r="B1219" s="1">
        <f>DATE(2013,12,11) + TIME(11,32,9)</f>
        <v>41619.48065972222</v>
      </c>
      <c r="C1219">
        <v>80</v>
      </c>
      <c r="D1219">
        <v>74.869949340999995</v>
      </c>
      <c r="E1219">
        <v>50</v>
      </c>
      <c r="F1219">
        <v>49.875274658000002</v>
      </c>
      <c r="G1219">
        <v>1311.6003418</v>
      </c>
      <c r="H1219">
        <v>1298.3039550999999</v>
      </c>
      <c r="I1219">
        <v>1342.0809326000001</v>
      </c>
      <c r="J1219">
        <v>1338.5150146000001</v>
      </c>
      <c r="K1219">
        <v>0</v>
      </c>
      <c r="L1219">
        <v>1200</v>
      </c>
      <c r="M1219">
        <v>1200</v>
      </c>
      <c r="N1219">
        <v>0</v>
      </c>
    </row>
    <row r="1220" spans="1:14" x14ac:dyDescent="0.25">
      <c r="A1220">
        <v>1323.22201</v>
      </c>
      <c r="B1220" s="1">
        <f>DATE(2013,12,14) + TIME(5,19,41)</f>
        <v>41622.222002314818</v>
      </c>
      <c r="C1220">
        <v>80</v>
      </c>
      <c r="D1220">
        <v>74.621307372999993</v>
      </c>
      <c r="E1220">
        <v>50</v>
      </c>
      <c r="F1220">
        <v>49.876007080000001</v>
      </c>
      <c r="G1220">
        <v>1311.4942627</v>
      </c>
      <c r="H1220">
        <v>1298.1623535000001</v>
      </c>
      <c r="I1220">
        <v>1342.074707</v>
      </c>
      <c r="J1220">
        <v>1338.5064697</v>
      </c>
      <c r="K1220">
        <v>0</v>
      </c>
      <c r="L1220">
        <v>1200</v>
      </c>
      <c r="M1220">
        <v>1200</v>
      </c>
      <c r="N1220">
        <v>0</v>
      </c>
    </row>
    <row r="1221" spans="1:14" x14ac:dyDescent="0.25">
      <c r="A1221">
        <v>1326.0178679999999</v>
      </c>
      <c r="B1221" s="1">
        <f>DATE(2013,12,17) + TIME(0,25,43)</f>
        <v>41625.017858796295</v>
      </c>
      <c r="C1221">
        <v>80</v>
      </c>
      <c r="D1221">
        <v>74.373817443999997</v>
      </c>
      <c r="E1221">
        <v>50</v>
      </c>
      <c r="F1221">
        <v>49.876693725999999</v>
      </c>
      <c r="G1221">
        <v>1311.3829346</v>
      </c>
      <c r="H1221">
        <v>1298.0120850000001</v>
      </c>
      <c r="I1221">
        <v>1342.0688477000001</v>
      </c>
      <c r="J1221">
        <v>1338.4984131000001</v>
      </c>
      <c r="K1221">
        <v>0</v>
      </c>
      <c r="L1221">
        <v>1200</v>
      </c>
      <c r="M1221">
        <v>1200</v>
      </c>
      <c r="N1221">
        <v>0</v>
      </c>
    </row>
    <row r="1222" spans="1:14" x14ac:dyDescent="0.25">
      <c r="A1222">
        <v>1328.8454810000001</v>
      </c>
      <c r="B1222" s="1">
        <f>DATE(2013,12,19) + TIME(20,17,29)</f>
        <v>41627.84547453704</v>
      </c>
      <c r="C1222">
        <v>80</v>
      </c>
      <c r="D1222">
        <v>74.128540039000001</v>
      </c>
      <c r="E1222">
        <v>50</v>
      </c>
      <c r="F1222">
        <v>49.877338408999996</v>
      </c>
      <c r="G1222">
        <v>1311.265625</v>
      </c>
      <c r="H1222">
        <v>1297.8525391000001</v>
      </c>
      <c r="I1222">
        <v>1342.0635986</v>
      </c>
      <c r="J1222">
        <v>1338.4907227000001</v>
      </c>
      <c r="K1222">
        <v>0</v>
      </c>
      <c r="L1222">
        <v>1200</v>
      </c>
      <c r="M1222">
        <v>1200</v>
      </c>
      <c r="N1222">
        <v>0</v>
      </c>
    </row>
    <row r="1223" spans="1:14" x14ac:dyDescent="0.25">
      <c r="A1223">
        <v>1331.704532</v>
      </c>
      <c r="B1223" s="1">
        <f>DATE(2013,12,22) + TIME(16,54,31)</f>
        <v>41630.704525462963</v>
      </c>
      <c r="C1223">
        <v>80</v>
      </c>
      <c r="D1223">
        <v>73.885787964000002</v>
      </c>
      <c r="E1223">
        <v>50</v>
      </c>
      <c r="F1223">
        <v>49.877952575999998</v>
      </c>
      <c r="G1223">
        <v>1311.1430664</v>
      </c>
      <c r="H1223">
        <v>1297.6843262</v>
      </c>
      <c r="I1223">
        <v>1342.0587158000001</v>
      </c>
      <c r="J1223">
        <v>1338.4833983999999</v>
      </c>
      <c r="K1223">
        <v>0</v>
      </c>
      <c r="L1223">
        <v>1200</v>
      </c>
      <c r="M1223">
        <v>1200</v>
      </c>
      <c r="N1223">
        <v>0</v>
      </c>
    </row>
    <row r="1224" spans="1:14" x14ac:dyDescent="0.25">
      <c r="A1224">
        <v>1334.605235</v>
      </c>
      <c r="B1224" s="1">
        <f>DATE(2013,12,25) + TIME(14,31,32)</f>
        <v>41633.605231481481</v>
      </c>
      <c r="C1224">
        <v>80</v>
      </c>
      <c r="D1224">
        <v>73.645057678000001</v>
      </c>
      <c r="E1224">
        <v>50</v>
      </c>
      <c r="F1224">
        <v>49.878540039000001</v>
      </c>
      <c r="G1224">
        <v>1311.0152588000001</v>
      </c>
      <c r="H1224">
        <v>1297.5072021000001</v>
      </c>
      <c r="I1224">
        <v>1342.0543213000001</v>
      </c>
      <c r="J1224">
        <v>1338.4765625</v>
      </c>
      <c r="K1224">
        <v>0</v>
      </c>
      <c r="L1224">
        <v>1200</v>
      </c>
      <c r="M1224">
        <v>1200</v>
      </c>
      <c r="N1224">
        <v>0</v>
      </c>
    </row>
    <row r="1225" spans="1:14" x14ac:dyDescent="0.25">
      <c r="A1225">
        <v>1337.557442</v>
      </c>
      <c r="B1225" s="1">
        <f>DATE(2013,12,28) + TIME(13,22,42)</f>
        <v>41636.557430555556</v>
      </c>
      <c r="C1225">
        <v>80</v>
      </c>
      <c r="D1225">
        <v>73.405471801999994</v>
      </c>
      <c r="E1225">
        <v>50</v>
      </c>
      <c r="F1225">
        <v>49.879116058000001</v>
      </c>
      <c r="G1225">
        <v>1310.8814697</v>
      </c>
      <c r="H1225">
        <v>1297.3201904</v>
      </c>
      <c r="I1225">
        <v>1342.050293</v>
      </c>
      <c r="J1225">
        <v>1338.4699707</v>
      </c>
      <c r="K1225">
        <v>0</v>
      </c>
      <c r="L1225">
        <v>1200</v>
      </c>
      <c r="M1225">
        <v>1200</v>
      </c>
      <c r="N1225">
        <v>0</v>
      </c>
    </row>
    <row r="1226" spans="1:14" x14ac:dyDescent="0.25">
      <c r="A1226">
        <v>1340.565634</v>
      </c>
      <c r="B1226" s="1">
        <f>DATE(2013,12,31) + TIME(13,34,30)</f>
        <v>41639.565625000003</v>
      </c>
      <c r="C1226">
        <v>80</v>
      </c>
      <c r="D1226">
        <v>73.166198730000005</v>
      </c>
      <c r="E1226">
        <v>50</v>
      </c>
      <c r="F1226">
        <v>49.879673003999997</v>
      </c>
      <c r="G1226">
        <v>1310.7412108999999</v>
      </c>
      <c r="H1226">
        <v>1297.1225586</v>
      </c>
      <c r="I1226">
        <v>1342.0466309000001</v>
      </c>
      <c r="J1226">
        <v>1338.4637451000001</v>
      </c>
      <c r="K1226">
        <v>0</v>
      </c>
      <c r="L1226">
        <v>1200</v>
      </c>
      <c r="M1226">
        <v>1200</v>
      </c>
      <c r="N1226">
        <v>0</v>
      </c>
    </row>
    <row r="1227" spans="1:14" x14ac:dyDescent="0.25">
      <c r="A1227">
        <v>1341</v>
      </c>
      <c r="B1227" s="1">
        <f>DATE(2014,1,1) + TIME(0,0,0)</f>
        <v>41640</v>
      </c>
      <c r="C1227">
        <v>80</v>
      </c>
      <c r="D1227">
        <v>73.103843689000001</v>
      </c>
      <c r="E1227">
        <v>50</v>
      </c>
      <c r="F1227">
        <v>49.879764557000001</v>
      </c>
      <c r="G1227">
        <v>1310.6025391000001</v>
      </c>
      <c r="H1227">
        <v>1296.9562988</v>
      </c>
      <c r="I1227">
        <v>1342.0408935999999</v>
      </c>
      <c r="J1227">
        <v>1338.4555664</v>
      </c>
      <c r="K1227">
        <v>0</v>
      </c>
      <c r="L1227">
        <v>1200</v>
      </c>
      <c r="M1227">
        <v>1200</v>
      </c>
      <c r="N1227">
        <v>0</v>
      </c>
    </row>
    <row r="1228" spans="1:14" x14ac:dyDescent="0.25">
      <c r="A1228">
        <v>1344.044697</v>
      </c>
      <c r="B1228" s="1">
        <f>DATE(2014,1,4) + TIME(1,4,21)</f>
        <v>41643.044687499998</v>
      </c>
      <c r="C1228">
        <v>80</v>
      </c>
      <c r="D1228">
        <v>72.879989624000004</v>
      </c>
      <c r="E1228">
        <v>50</v>
      </c>
      <c r="F1228">
        <v>49.880302428999997</v>
      </c>
      <c r="G1228">
        <v>1310.5694579999999</v>
      </c>
      <c r="H1228">
        <v>1296.8756103999999</v>
      </c>
      <c r="I1228">
        <v>1342.0429687999999</v>
      </c>
      <c r="J1228">
        <v>1338.4570312000001</v>
      </c>
      <c r="K1228">
        <v>0</v>
      </c>
      <c r="L1228">
        <v>1200</v>
      </c>
      <c r="M1228">
        <v>1200</v>
      </c>
      <c r="N1228">
        <v>0</v>
      </c>
    </row>
    <row r="1229" spans="1:14" x14ac:dyDescent="0.25">
      <c r="A1229">
        <v>1347.1448379999999</v>
      </c>
      <c r="B1229" s="1">
        <f>DATE(2014,1,7) + TIME(3,28,34)</f>
        <v>41646.144837962966</v>
      </c>
      <c r="C1229">
        <v>80</v>
      </c>
      <c r="D1229">
        <v>72.647857665999993</v>
      </c>
      <c r="E1229">
        <v>50</v>
      </c>
      <c r="F1229">
        <v>49.880840302000003</v>
      </c>
      <c r="G1229">
        <v>1310.4171143000001</v>
      </c>
      <c r="H1229">
        <v>1296.6591797000001</v>
      </c>
      <c r="I1229">
        <v>1342.0400391000001</v>
      </c>
      <c r="J1229">
        <v>1338.4514160000001</v>
      </c>
      <c r="K1229">
        <v>0</v>
      </c>
      <c r="L1229">
        <v>1200</v>
      </c>
      <c r="M1229">
        <v>1200</v>
      </c>
      <c r="N1229">
        <v>0</v>
      </c>
    </row>
    <row r="1230" spans="1:14" x14ac:dyDescent="0.25">
      <c r="A1230">
        <v>1350.289131</v>
      </c>
      <c r="B1230" s="1">
        <f>DATE(2014,1,10) + TIME(6,56,20)</f>
        <v>41649.289120370369</v>
      </c>
      <c r="C1230">
        <v>80</v>
      </c>
      <c r="D1230">
        <v>72.411132812000005</v>
      </c>
      <c r="E1230">
        <v>50</v>
      </c>
      <c r="F1230">
        <v>49.881366730000003</v>
      </c>
      <c r="G1230">
        <v>1310.2568358999999</v>
      </c>
      <c r="H1230">
        <v>1296.4289550999999</v>
      </c>
      <c r="I1230">
        <v>1342.0372314000001</v>
      </c>
      <c r="J1230">
        <v>1338.4460449000001</v>
      </c>
      <c r="K1230">
        <v>0</v>
      </c>
      <c r="L1230">
        <v>1200</v>
      </c>
      <c r="M1230">
        <v>1200</v>
      </c>
      <c r="N1230">
        <v>0</v>
      </c>
    </row>
    <row r="1231" spans="1:14" x14ac:dyDescent="0.25">
      <c r="A1231">
        <v>1353.469047</v>
      </c>
      <c r="B1231" s="1">
        <f>DATE(2014,1,13) + TIME(11,15,25)</f>
        <v>41652.469039351854</v>
      </c>
      <c r="C1231">
        <v>80</v>
      </c>
      <c r="D1231">
        <v>72.171623229999994</v>
      </c>
      <c r="E1231">
        <v>50</v>
      </c>
      <c r="F1231">
        <v>49.881889342999997</v>
      </c>
      <c r="G1231">
        <v>1310.0895995999999</v>
      </c>
      <c r="H1231">
        <v>1296.1866454999999</v>
      </c>
      <c r="I1231">
        <v>1342.0349120999999</v>
      </c>
      <c r="J1231">
        <v>1338.4410399999999</v>
      </c>
      <c r="K1231">
        <v>0</v>
      </c>
      <c r="L1231">
        <v>1200</v>
      </c>
      <c r="M1231">
        <v>1200</v>
      </c>
      <c r="N1231">
        <v>0</v>
      </c>
    </row>
    <row r="1232" spans="1:14" x14ac:dyDescent="0.25">
      <c r="A1232">
        <v>1356.6961550000001</v>
      </c>
      <c r="B1232" s="1">
        <f>DATE(2014,1,16) + TIME(16,42,27)</f>
        <v>41655.696145833332</v>
      </c>
      <c r="C1232">
        <v>80</v>
      </c>
      <c r="D1232">
        <v>71.929519653</v>
      </c>
      <c r="E1232">
        <v>50</v>
      </c>
      <c r="F1232">
        <v>49.882404327000003</v>
      </c>
      <c r="G1232">
        <v>1309.9160156</v>
      </c>
      <c r="H1232">
        <v>1295.9331055</v>
      </c>
      <c r="I1232">
        <v>1342.0327147999999</v>
      </c>
      <c r="J1232">
        <v>1338.4361572</v>
      </c>
      <c r="K1232">
        <v>0</v>
      </c>
      <c r="L1232">
        <v>1200</v>
      </c>
      <c r="M1232">
        <v>1200</v>
      </c>
      <c r="N1232">
        <v>0</v>
      </c>
    </row>
    <row r="1233" spans="1:14" x14ac:dyDescent="0.25">
      <c r="A1233">
        <v>1359.9809399999999</v>
      </c>
      <c r="B1233" s="1">
        <f>DATE(2014,1,19) + TIME(23,32,33)</f>
        <v>41658.980937499997</v>
      </c>
      <c r="C1233">
        <v>80</v>
      </c>
      <c r="D1233">
        <v>71.684158324999999</v>
      </c>
      <c r="E1233">
        <v>50</v>
      </c>
      <c r="F1233">
        <v>49.882915496999999</v>
      </c>
      <c r="G1233">
        <v>1309.7357178</v>
      </c>
      <c r="H1233">
        <v>1295.6678466999999</v>
      </c>
      <c r="I1233">
        <v>1342.0308838000001</v>
      </c>
      <c r="J1233">
        <v>1338.4316406</v>
      </c>
      <c r="K1233">
        <v>0</v>
      </c>
      <c r="L1233">
        <v>1200</v>
      </c>
      <c r="M1233">
        <v>1200</v>
      </c>
      <c r="N1233">
        <v>0</v>
      </c>
    </row>
    <row r="1234" spans="1:14" x14ac:dyDescent="0.25">
      <c r="A1234">
        <v>1363.319017</v>
      </c>
      <c r="B1234" s="1">
        <f>DATE(2014,1,23) + TIME(7,39,23)</f>
        <v>41662.319016203706</v>
      </c>
      <c r="C1234">
        <v>80</v>
      </c>
      <c r="D1234">
        <v>71.434989928999997</v>
      </c>
      <c r="E1234">
        <v>50</v>
      </c>
      <c r="F1234">
        <v>49.883422852000002</v>
      </c>
      <c r="G1234">
        <v>1309.5482178</v>
      </c>
      <c r="H1234">
        <v>1295.3903809000001</v>
      </c>
      <c r="I1234">
        <v>1342.0291748</v>
      </c>
      <c r="J1234">
        <v>1338.4272461</v>
      </c>
      <c r="K1234">
        <v>0</v>
      </c>
      <c r="L1234">
        <v>1200</v>
      </c>
      <c r="M1234">
        <v>1200</v>
      </c>
      <c r="N1234">
        <v>0</v>
      </c>
    </row>
    <row r="1235" spans="1:14" x14ac:dyDescent="0.25">
      <c r="A1235">
        <v>1366.6968629999999</v>
      </c>
      <c r="B1235" s="1">
        <f>DATE(2014,1,26) + TIME(16,43,28)</f>
        <v>41665.696851851855</v>
      </c>
      <c r="C1235">
        <v>80</v>
      </c>
      <c r="D1235">
        <v>71.181884765999996</v>
      </c>
      <c r="E1235">
        <v>50</v>
      </c>
      <c r="F1235">
        <v>49.883926391999999</v>
      </c>
      <c r="G1235">
        <v>1309.3537598</v>
      </c>
      <c r="H1235">
        <v>1295.1008300999999</v>
      </c>
      <c r="I1235">
        <v>1342.0277100000001</v>
      </c>
      <c r="J1235">
        <v>1338.4230957</v>
      </c>
      <c r="K1235">
        <v>0</v>
      </c>
      <c r="L1235">
        <v>1200</v>
      </c>
      <c r="M1235">
        <v>1200</v>
      </c>
      <c r="N1235">
        <v>0</v>
      </c>
    </row>
    <row r="1236" spans="1:14" x14ac:dyDescent="0.25">
      <c r="A1236">
        <v>1370.117395</v>
      </c>
      <c r="B1236" s="1">
        <f>DATE(2014,1,30) + TIME(2,49,2)</f>
        <v>41669.117384259262</v>
      </c>
      <c r="C1236">
        <v>80</v>
      </c>
      <c r="D1236">
        <v>70.924446106000005</v>
      </c>
      <c r="E1236">
        <v>50</v>
      </c>
      <c r="F1236">
        <v>49.884426116999997</v>
      </c>
      <c r="G1236">
        <v>1309.1530762</v>
      </c>
      <c r="H1236">
        <v>1294.8004149999999</v>
      </c>
      <c r="I1236">
        <v>1342.0263672000001</v>
      </c>
      <c r="J1236">
        <v>1338.4193115</v>
      </c>
      <c r="K1236">
        <v>0</v>
      </c>
      <c r="L1236">
        <v>1200</v>
      </c>
      <c r="M1236">
        <v>1200</v>
      </c>
      <c r="N1236">
        <v>0</v>
      </c>
    </row>
    <row r="1237" spans="1:14" x14ac:dyDescent="0.25">
      <c r="A1237">
        <v>1372</v>
      </c>
      <c r="B1237" s="1">
        <f>DATE(2014,2,1) + TIME(0,0,0)</f>
        <v>41671</v>
      </c>
      <c r="C1237">
        <v>80</v>
      </c>
      <c r="D1237">
        <v>70.732322693</v>
      </c>
      <c r="E1237">
        <v>50</v>
      </c>
      <c r="F1237">
        <v>49.884708404999998</v>
      </c>
      <c r="G1237">
        <v>1308.9530029</v>
      </c>
      <c r="H1237">
        <v>1294.5148925999999</v>
      </c>
      <c r="I1237">
        <v>1342.0238036999999</v>
      </c>
      <c r="J1237">
        <v>1338.4141846</v>
      </c>
      <c r="K1237">
        <v>0</v>
      </c>
      <c r="L1237">
        <v>1200</v>
      </c>
      <c r="M1237">
        <v>1200</v>
      </c>
      <c r="N1237">
        <v>0</v>
      </c>
    </row>
    <row r="1238" spans="1:14" x14ac:dyDescent="0.25">
      <c r="A1238">
        <v>1375.4745270000001</v>
      </c>
      <c r="B1238" s="1">
        <f>DATE(2014,2,4) + TIME(11,23,19)</f>
        <v>41674.47452546296</v>
      </c>
      <c r="C1238">
        <v>80</v>
      </c>
      <c r="D1238">
        <v>70.495216369999994</v>
      </c>
      <c r="E1238">
        <v>50</v>
      </c>
      <c r="F1238">
        <v>49.885189056000002</v>
      </c>
      <c r="G1238">
        <v>1308.8234863</v>
      </c>
      <c r="H1238">
        <v>1294.2957764</v>
      </c>
      <c r="I1238">
        <v>1342.0250243999999</v>
      </c>
      <c r="J1238">
        <v>1338.4139404</v>
      </c>
      <c r="K1238">
        <v>0</v>
      </c>
      <c r="L1238">
        <v>1200</v>
      </c>
      <c r="M1238">
        <v>1200</v>
      </c>
      <c r="N1238">
        <v>0</v>
      </c>
    </row>
    <row r="1239" spans="1:14" x14ac:dyDescent="0.25">
      <c r="A1239">
        <v>1379.053862</v>
      </c>
      <c r="B1239" s="1">
        <f>DATE(2014,2,8) + TIME(1,17,33)</f>
        <v>41678.053854166668</v>
      </c>
      <c r="C1239">
        <v>80</v>
      </c>
      <c r="D1239">
        <v>70.234947204999997</v>
      </c>
      <c r="E1239">
        <v>50</v>
      </c>
      <c r="F1239">
        <v>49.885673523000001</v>
      </c>
      <c r="G1239">
        <v>1308.6124268000001</v>
      </c>
      <c r="H1239">
        <v>1293.9786377</v>
      </c>
      <c r="I1239">
        <v>1342.0241699000001</v>
      </c>
      <c r="J1239">
        <v>1338.4105225000001</v>
      </c>
      <c r="K1239">
        <v>0</v>
      </c>
      <c r="L1239">
        <v>1200</v>
      </c>
      <c r="M1239">
        <v>1200</v>
      </c>
      <c r="N1239">
        <v>0</v>
      </c>
    </row>
    <row r="1240" spans="1:14" x14ac:dyDescent="0.25">
      <c r="A1240">
        <v>1382.7063109999999</v>
      </c>
      <c r="B1240" s="1">
        <f>DATE(2014,2,11) + TIME(16,57,5)</f>
        <v>41681.706307870372</v>
      </c>
      <c r="C1240">
        <v>80</v>
      </c>
      <c r="D1240">
        <v>69.958923339999998</v>
      </c>
      <c r="E1240">
        <v>50</v>
      </c>
      <c r="F1240">
        <v>49.886157990000001</v>
      </c>
      <c r="G1240">
        <v>1308.3900146000001</v>
      </c>
      <c r="H1240">
        <v>1293.640625</v>
      </c>
      <c r="I1240">
        <v>1342.0233154</v>
      </c>
      <c r="J1240">
        <v>1338.4073486</v>
      </c>
      <c r="K1240">
        <v>0</v>
      </c>
      <c r="L1240">
        <v>1200</v>
      </c>
      <c r="M1240">
        <v>1200</v>
      </c>
      <c r="N1240">
        <v>0</v>
      </c>
    </row>
    <row r="1241" spans="1:14" x14ac:dyDescent="0.25">
      <c r="A1241">
        <v>1386.4306200000001</v>
      </c>
      <c r="B1241" s="1">
        <f>DATE(2014,2,15) + TIME(10,20,5)</f>
        <v>41685.430613425924</v>
      </c>
      <c r="C1241">
        <v>80</v>
      </c>
      <c r="D1241">
        <v>69.670104980000005</v>
      </c>
      <c r="E1241">
        <v>50</v>
      </c>
      <c r="F1241">
        <v>49.886642455999997</v>
      </c>
      <c r="G1241">
        <v>1308.1590576000001</v>
      </c>
      <c r="H1241">
        <v>1293.2868652</v>
      </c>
      <c r="I1241">
        <v>1342.0227050999999</v>
      </c>
      <c r="J1241">
        <v>1338.4042969</v>
      </c>
      <c r="K1241">
        <v>0</v>
      </c>
      <c r="L1241">
        <v>1200</v>
      </c>
      <c r="M1241">
        <v>1200</v>
      </c>
      <c r="N1241">
        <v>0</v>
      </c>
    </row>
    <row r="1242" spans="1:14" x14ac:dyDescent="0.25">
      <c r="A1242">
        <v>1390.2298880000001</v>
      </c>
      <c r="B1242" s="1">
        <f>DATE(2014,2,19) + TIME(5,31,2)</f>
        <v>41689.229884259257</v>
      </c>
      <c r="C1242">
        <v>80</v>
      </c>
      <c r="D1242">
        <v>69.369544982999997</v>
      </c>
      <c r="E1242">
        <v>50</v>
      </c>
      <c r="F1242">
        <v>49.887126922999997</v>
      </c>
      <c r="G1242">
        <v>1307.9205322</v>
      </c>
      <c r="H1242">
        <v>1292.9189452999999</v>
      </c>
      <c r="I1242">
        <v>1342.0222168</v>
      </c>
      <c r="J1242">
        <v>1338.4014893000001</v>
      </c>
      <c r="K1242">
        <v>0</v>
      </c>
      <c r="L1242">
        <v>1200</v>
      </c>
      <c r="M1242">
        <v>1200</v>
      </c>
      <c r="N1242">
        <v>0</v>
      </c>
    </row>
    <row r="1243" spans="1:14" x14ac:dyDescent="0.25">
      <c r="A1243">
        <v>1394.0962649999999</v>
      </c>
      <c r="B1243" s="1">
        <f>DATE(2014,2,23) + TIME(2,18,37)</f>
        <v>41693.096261574072</v>
      </c>
      <c r="C1243">
        <v>80</v>
      </c>
      <c r="D1243">
        <v>69.057403563999998</v>
      </c>
      <c r="E1243">
        <v>50</v>
      </c>
      <c r="F1243">
        <v>49.887603759999998</v>
      </c>
      <c r="G1243">
        <v>1307.6746826000001</v>
      </c>
      <c r="H1243">
        <v>1292.5377197</v>
      </c>
      <c r="I1243">
        <v>1342.0218506000001</v>
      </c>
      <c r="J1243">
        <v>1338.3988036999999</v>
      </c>
      <c r="K1243">
        <v>0</v>
      </c>
      <c r="L1243">
        <v>1200</v>
      </c>
      <c r="M1243">
        <v>1200</v>
      </c>
      <c r="N1243">
        <v>0</v>
      </c>
    </row>
    <row r="1244" spans="1:14" x14ac:dyDescent="0.25">
      <c r="A1244">
        <v>1398.032719</v>
      </c>
      <c r="B1244" s="1">
        <f>DATE(2014,2,27) + TIME(0,47,6)</f>
        <v>41697.032708333332</v>
      </c>
      <c r="C1244">
        <v>80</v>
      </c>
      <c r="D1244">
        <v>68.733367920000006</v>
      </c>
      <c r="E1244">
        <v>50</v>
      </c>
      <c r="F1244">
        <v>49.888080596999998</v>
      </c>
      <c r="G1244">
        <v>1307.4226074000001</v>
      </c>
      <c r="H1244">
        <v>1292.1444091999999</v>
      </c>
      <c r="I1244">
        <v>1342.0216064000001</v>
      </c>
      <c r="J1244">
        <v>1338.3963623</v>
      </c>
      <c r="K1244">
        <v>0</v>
      </c>
      <c r="L1244">
        <v>1200</v>
      </c>
      <c r="M1244">
        <v>1200</v>
      </c>
      <c r="N1244">
        <v>0</v>
      </c>
    </row>
    <row r="1245" spans="1:14" x14ac:dyDescent="0.25">
      <c r="A1245">
        <v>1400</v>
      </c>
      <c r="B1245" s="1">
        <f>DATE(2014,3,1) + TIME(0,0,0)</f>
        <v>41699</v>
      </c>
      <c r="C1245">
        <v>80</v>
      </c>
      <c r="D1245">
        <v>68.494148253999995</v>
      </c>
      <c r="E1245">
        <v>50</v>
      </c>
      <c r="F1245">
        <v>49.888328551999997</v>
      </c>
      <c r="G1245">
        <v>1307.1738281</v>
      </c>
      <c r="H1245">
        <v>1291.7795410000001</v>
      </c>
      <c r="I1245">
        <v>1342.0196533000001</v>
      </c>
      <c r="J1245">
        <v>1338.3923339999999</v>
      </c>
      <c r="K1245">
        <v>0</v>
      </c>
      <c r="L1245">
        <v>1200</v>
      </c>
      <c r="M1245">
        <v>1200</v>
      </c>
      <c r="N1245">
        <v>0</v>
      </c>
    </row>
    <row r="1246" spans="1:14" x14ac:dyDescent="0.25">
      <c r="A1246">
        <v>1403.9943290000001</v>
      </c>
      <c r="B1246" s="1">
        <f>DATE(2014,3,4) + TIME(23,51,50)</f>
        <v>41702.994328703702</v>
      </c>
      <c r="C1246">
        <v>80</v>
      </c>
      <c r="D1246">
        <v>68.197486877000003</v>
      </c>
      <c r="E1246">
        <v>50</v>
      </c>
      <c r="F1246">
        <v>49.888786316000001</v>
      </c>
      <c r="G1246">
        <v>1307.0236815999999</v>
      </c>
      <c r="H1246">
        <v>1291.5076904</v>
      </c>
      <c r="I1246">
        <v>1342.0217285000001</v>
      </c>
      <c r="J1246">
        <v>1338.3931885</v>
      </c>
      <c r="K1246">
        <v>0</v>
      </c>
      <c r="L1246">
        <v>1200</v>
      </c>
      <c r="M1246">
        <v>1200</v>
      </c>
      <c r="N1246">
        <v>0</v>
      </c>
    </row>
    <row r="1247" spans="1:14" x14ac:dyDescent="0.25">
      <c r="A1247">
        <v>1408.1338949999999</v>
      </c>
      <c r="B1247" s="1">
        <f>DATE(2014,3,9) + TIME(3,12,48)</f>
        <v>41707.133888888886</v>
      </c>
      <c r="C1247">
        <v>80</v>
      </c>
      <c r="D1247">
        <v>67.859504700000002</v>
      </c>
      <c r="E1247">
        <v>50</v>
      </c>
      <c r="F1247">
        <v>49.889247894</v>
      </c>
      <c r="G1247">
        <v>1306.7661132999999</v>
      </c>
      <c r="H1247">
        <v>1291.1060791</v>
      </c>
      <c r="I1247">
        <v>1342.0214844</v>
      </c>
      <c r="J1247">
        <v>1338.3911132999999</v>
      </c>
      <c r="K1247">
        <v>0</v>
      </c>
      <c r="L1247">
        <v>1200</v>
      </c>
      <c r="M1247">
        <v>1200</v>
      </c>
      <c r="N1247">
        <v>0</v>
      </c>
    </row>
    <row r="1248" spans="1:14" x14ac:dyDescent="0.25">
      <c r="A1248">
        <v>1412.375104</v>
      </c>
      <c r="B1248" s="1">
        <f>DATE(2014,3,13) + TIME(9,0,9)</f>
        <v>41711.375104166669</v>
      </c>
      <c r="C1248">
        <v>80</v>
      </c>
      <c r="D1248">
        <v>67.493667603000006</v>
      </c>
      <c r="E1248">
        <v>50</v>
      </c>
      <c r="F1248">
        <v>49.889713286999999</v>
      </c>
      <c r="G1248">
        <v>1306.4951172000001</v>
      </c>
      <c r="H1248">
        <v>1290.6781006000001</v>
      </c>
      <c r="I1248">
        <v>1342.0213623</v>
      </c>
      <c r="J1248">
        <v>1338.3891602000001</v>
      </c>
      <c r="K1248">
        <v>0</v>
      </c>
      <c r="L1248">
        <v>1200</v>
      </c>
      <c r="M1248">
        <v>1200</v>
      </c>
      <c r="N1248">
        <v>0</v>
      </c>
    </row>
    <row r="1249" spans="1:14" x14ac:dyDescent="0.25">
      <c r="A1249">
        <v>1416.733324</v>
      </c>
      <c r="B1249" s="1">
        <f>DATE(2014,3,17) + TIME(17,35,59)</f>
        <v>41715.73332175926</v>
      </c>
      <c r="C1249">
        <v>80</v>
      </c>
      <c r="D1249">
        <v>67.105476378999995</v>
      </c>
      <c r="E1249">
        <v>50</v>
      </c>
      <c r="F1249">
        <v>49.890178679999998</v>
      </c>
      <c r="G1249">
        <v>1306.2154541</v>
      </c>
      <c r="H1249">
        <v>1290.2322998</v>
      </c>
      <c r="I1249">
        <v>1342.0213623</v>
      </c>
      <c r="J1249">
        <v>1338.3873291</v>
      </c>
      <c r="K1249">
        <v>0</v>
      </c>
      <c r="L1249">
        <v>1200</v>
      </c>
      <c r="M1249">
        <v>1200</v>
      </c>
      <c r="N1249">
        <v>0</v>
      </c>
    </row>
    <row r="1250" spans="1:14" x14ac:dyDescent="0.25">
      <c r="A1250">
        <v>1421.1914420000001</v>
      </c>
      <c r="B1250" s="1">
        <f>DATE(2014,3,22) + TIME(4,35,40)</f>
        <v>41720.191435185188</v>
      </c>
      <c r="C1250">
        <v>80</v>
      </c>
      <c r="D1250">
        <v>66.696891785000005</v>
      </c>
      <c r="E1250">
        <v>50</v>
      </c>
      <c r="F1250">
        <v>49.890644072999997</v>
      </c>
      <c r="G1250">
        <v>1305.9281006000001</v>
      </c>
      <c r="H1250">
        <v>1289.7711182</v>
      </c>
      <c r="I1250">
        <v>1342.0214844</v>
      </c>
      <c r="J1250">
        <v>1338.3857422000001</v>
      </c>
      <c r="K1250">
        <v>0</v>
      </c>
      <c r="L1250">
        <v>1200</v>
      </c>
      <c r="M1250">
        <v>1200</v>
      </c>
      <c r="N1250">
        <v>0</v>
      </c>
    </row>
    <row r="1251" spans="1:14" x14ac:dyDescent="0.25">
      <c r="A1251">
        <v>1425.7454600000001</v>
      </c>
      <c r="B1251" s="1">
        <f>DATE(2014,3,26) + TIME(17,53,27)</f>
        <v>41724.745451388888</v>
      </c>
      <c r="C1251">
        <v>80</v>
      </c>
      <c r="D1251">
        <v>66.268898010000001</v>
      </c>
      <c r="E1251">
        <v>50</v>
      </c>
      <c r="F1251">
        <v>49.891101837000001</v>
      </c>
      <c r="G1251">
        <v>1305.6346435999999</v>
      </c>
      <c r="H1251">
        <v>1289.2972411999999</v>
      </c>
      <c r="I1251">
        <v>1342.0214844</v>
      </c>
      <c r="J1251">
        <v>1338.3842772999999</v>
      </c>
      <c r="K1251">
        <v>0</v>
      </c>
      <c r="L1251">
        <v>1200</v>
      </c>
      <c r="M1251">
        <v>1200</v>
      </c>
      <c r="N1251">
        <v>0</v>
      </c>
    </row>
    <row r="1252" spans="1:14" x14ac:dyDescent="0.25">
      <c r="A1252">
        <v>1430.4277440000001</v>
      </c>
      <c r="B1252" s="1">
        <f>DATE(2014,3,31) + TIME(10,15,57)</f>
        <v>41729.427743055552</v>
      </c>
      <c r="C1252">
        <v>80</v>
      </c>
      <c r="D1252">
        <v>65.820655822999996</v>
      </c>
      <c r="E1252">
        <v>50</v>
      </c>
      <c r="F1252">
        <v>49.891563415999997</v>
      </c>
      <c r="G1252">
        <v>1305.3360596</v>
      </c>
      <c r="H1252">
        <v>1288.8118896000001</v>
      </c>
      <c r="I1252">
        <v>1342.0216064000001</v>
      </c>
      <c r="J1252">
        <v>1338.3829346</v>
      </c>
      <c r="K1252">
        <v>0</v>
      </c>
      <c r="L1252">
        <v>1200</v>
      </c>
      <c r="M1252">
        <v>1200</v>
      </c>
      <c r="N1252">
        <v>0</v>
      </c>
    </row>
    <row r="1253" spans="1:14" x14ac:dyDescent="0.25">
      <c r="A1253">
        <v>1431</v>
      </c>
      <c r="B1253" s="1">
        <f>DATE(2014,4,1) + TIME(0,0,0)</f>
        <v>41730</v>
      </c>
      <c r="C1253">
        <v>80</v>
      </c>
      <c r="D1253">
        <v>65.687217712000006</v>
      </c>
      <c r="E1253">
        <v>50</v>
      </c>
      <c r="F1253">
        <v>49.891620635999999</v>
      </c>
      <c r="G1253">
        <v>1305.0562743999999</v>
      </c>
      <c r="H1253">
        <v>1288.4467772999999</v>
      </c>
      <c r="I1253">
        <v>1342.0177002</v>
      </c>
      <c r="J1253">
        <v>1338.3779297000001</v>
      </c>
      <c r="K1253">
        <v>0</v>
      </c>
      <c r="L1253">
        <v>1200</v>
      </c>
      <c r="M1253">
        <v>1200</v>
      </c>
      <c r="N1253">
        <v>0</v>
      </c>
    </row>
    <row r="1254" spans="1:14" x14ac:dyDescent="0.25">
      <c r="A1254">
        <v>1435.8108930000001</v>
      </c>
      <c r="B1254" s="1">
        <f>DATE(2014,4,5) + TIME(19,27,41)</f>
        <v>41734.810891203706</v>
      </c>
      <c r="C1254">
        <v>80</v>
      </c>
      <c r="D1254">
        <v>65.266059874999996</v>
      </c>
      <c r="E1254">
        <v>50</v>
      </c>
      <c r="F1254">
        <v>49.892074585000003</v>
      </c>
      <c r="G1254">
        <v>1304.9857178</v>
      </c>
      <c r="H1254">
        <v>1288.2292480000001</v>
      </c>
      <c r="I1254">
        <v>1342.0219727000001</v>
      </c>
      <c r="J1254">
        <v>1338.3818358999999</v>
      </c>
      <c r="K1254">
        <v>0</v>
      </c>
      <c r="L1254">
        <v>1200</v>
      </c>
      <c r="M1254">
        <v>1200</v>
      </c>
      <c r="N1254">
        <v>0</v>
      </c>
    </row>
    <row r="1255" spans="1:14" x14ac:dyDescent="0.25">
      <c r="A1255">
        <v>1440.8724890000001</v>
      </c>
      <c r="B1255" s="1">
        <f>DATE(2014,4,10) + TIME(20,56,23)</f>
        <v>41739.872488425928</v>
      </c>
      <c r="C1255">
        <v>80</v>
      </c>
      <c r="D1255">
        <v>64.785514832000004</v>
      </c>
      <c r="E1255">
        <v>50</v>
      </c>
      <c r="F1255">
        <v>49.892539978000002</v>
      </c>
      <c r="G1255">
        <v>1304.6817627</v>
      </c>
      <c r="H1255">
        <v>1287.7341309000001</v>
      </c>
      <c r="I1255">
        <v>1342.0219727000001</v>
      </c>
      <c r="J1255">
        <v>1338.3807373</v>
      </c>
      <c r="K1255">
        <v>0</v>
      </c>
      <c r="L1255">
        <v>1200</v>
      </c>
      <c r="M1255">
        <v>1200</v>
      </c>
      <c r="N1255">
        <v>0</v>
      </c>
    </row>
    <row r="1256" spans="1:14" x14ac:dyDescent="0.25">
      <c r="A1256">
        <v>1446.1110679999999</v>
      </c>
      <c r="B1256" s="1">
        <f>DATE(2014,4,16) + TIME(2,39,56)</f>
        <v>41745.111064814817</v>
      </c>
      <c r="C1256">
        <v>80</v>
      </c>
      <c r="D1256">
        <v>64.263336182000003</v>
      </c>
      <c r="E1256">
        <v>50</v>
      </c>
      <c r="F1256">
        <v>49.893005371000001</v>
      </c>
      <c r="G1256">
        <v>1304.362793</v>
      </c>
      <c r="H1256">
        <v>1287.2084961</v>
      </c>
      <c r="I1256">
        <v>1342.0219727000001</v>
      </c>
      <c r="J1256">
        <v>1338.3797606999999</v>
      </c>
      <c r="K1256">
        <v>0</v>
      </c>
      <c r="L1256">
        <v>1200</v>
      </c>
      <c r="M1256">
        <v>1200</v>
      </c>
      <c r="N1256">
        <v>0</v>
      </c>
    </row>
    <row r="1257" spans="1:14" x14ac:dyDescent="0.25">
      <c r="A1257">
        <v>1451.507881</v>
      </c>
      <c r="B1257" s="1">
        <f>DATE(2014,4,21) + TIME(12,11,20)</f>
        <v>41750.507870370369</v>
      </c>
      <c r="C1257">
        <v>80</v>
      </c>
      <c r="D1257">
        <v>63.708999634000001</v>
      </c>
      <c r="E1257">
        <v>50</v>
      </c>
      <c r="F1257">
        <v>49.893466949</v>
      </c>
      <c r="G1257">
        <v>1304.0360106999999</v>
      </c>
      <c r="H1257">
        <v>1286.6645507999999</v>
      </c>
      <c r="I1257">
        <v>1342.0219727000001</v>
      </c>
      <c r="J1257">
        <v>1338.3789062000001</v>
      </c>
      <c r="K1257">
        <v>0</v>
      </c>
      <c r="L1257">
        <v>1200</v>
      </c>
      <c r="M1257">
        <v>1200</v>
      </c>
      <c r="N1257">
        <v>0</v>
      </c>
    </row>
    <row r="1258" spans="1:14" x14ac:dyDescent="0.25">
      <c r="A1258">
        <v>1457.037493</v>
      </c>
      <c r="B1258" s="1">
        <f>DATE(2014,4,27) + TIME(0,53,59)</f>
        <v>41756.037488425929</v>
      </c>
      <c r="C1258">
        <v>80</v>
      </c>
      <c r="D1258">
        <v>63.127593994000001</v>
      </c>
      <c r="E1258">
        <v>50</v>
      </c>
      <c r="F1258">
        <v>49.893928528000004</v>
      </c>
      <c r="G1258">
        <v>1303.7048339999999</v>
      </c>
      <c r="H1258">
        <v>1286.1086425999999</v>
      </c>
      <c r="I1258">
        <v>1342.0219727000001</v>
      </c>
      <c r="J1258">
        <v>1338.3781738</v>
      </c>
      <c r="K1258">
        <v>0</v>
      </c>
      <c r="L1258">
        <v>1200</v>
      </c>
      <c r="M1258">
        <v>1200</v>
      </c>
      <c r="N1258">
        <v>0</v>
      </c>
    </row>
    <row r="1259" spans="1:14" x14ac:dyDescent="0.25">
      <c r="A1259">
        <v>1461</v>
      </c>
      <c r="B1259" s="1">
        <f>DATE(2014,5,1) + TIME(0,0,0)</f>
        <v>41760</v>
      </c>
      <c r="C1259">
        <v>80</v>
      </c>
      <c r="D1259">
        <v>62.591857910000002</v>
      </c>
      <c r="E1259">
        <v>50</v>
      </c>
      <c r="F1259">
        <v>49.894248961999999</v>
      </c>
      <c r="G1259">
        <v>1303.3756103999999</v>
      </c>
      <c r="H1259">
        <v>1285.5716553</v>
      </c>
      <c r="I1259">
        <v>1342.0209961</v>
      </c>
      <c r="J1259">
        <v>1338.3767089999999</v>
      </c>
      <c r="K1259">
        <v>0</v>
      </c>
      <c r="L1259">
        <v>1200</v>
      </c>
      <c r="M1259">
        <v>1200</v>
      </c>
      <c r="N1259">
        <v>0</v>
      </c>
    </row>
    <row r="1260" spans="1:14" x14ac:dyDescent="0.25">
      <c r="A1260">
        <v>1461.0000010000001</v>
      </c>
      <c r="B1260" s="1">
        <f>DATE(2014,5,1) + TIME(0,0,0)</f>
        <v>41760</v>
      </c>
      <c r="C1260">
        <v>80</v>
      </c>
      <c r="D1260">
        <v>62.591907501000001</v>
      </c>
      <c r="E1260">
        <v>50</v>
      </c>
      <c r="F1260">
        <v>49.89421463</v>
      </c>
      <c r="G1260">
        <v>1322.3048096</v>
      </c>
      <c r="H1260">
        <v>1303.6888428</v>
      </c>
      <c r="I1260">
        <v>1338.0954589999999</v>
      </c>
      <c r="J1260">
        <v>1335.0616454999999</v>
      </c>
      <c r="K1260">
        <v>1200</v>
      </c>
      <c r="L1260">
        <v>0</v>
      </c>
      <c r="M1260">
        <v>0</v>
      </c>
      <c r="N1260">
        <v>1200</v>
      </c>
    </row>
    <row r="1261" spans="1:14" x14ac:dyDescent="0.25">
      <c r="A1261">
        <v>1461.000004</v>
      </c>
      <c r="B1261" s="1">
        <f>DATE(2014,5,1) + TIME(0,0,0)</f>
        <v>41760</v>
      </c>
      <c r="C1261">
        <v>80</v>
      </c>
      <c r="D1261">
        <v>62.592048644999998</v>
      </c>
      <c r="E1261">
        <v>50</v>
      </c>
      <c r="F1261">
        <v>49.894119263</v>
      </c>
      <c r="G1261">
        <v>1323.1285399999999</v>
      </c>
      <c r="H1261">
        <v>1304.5704346</v>
      </c>
      <c r="I1261">
        <v>1337.3341064000001</v>
      </c>
      <c r="J1261">
        <v>1334.2995605000001</v>
      </c>
      <c r="K1261">
        <v>1200</v>
      </c>
      <c r="L1261">
        <v>0</v>
      </c>
      <c r="M1261">
        <v>0</v>
      </c>
      <c r="N1261">
        <v>1200</v>
      </c>
    </row>
    <row r="1262" spans="1:14" x14ac:dyDescent="0.25">
      <c r="A1262">
        <v>1461.0000130000001</v>
      </c>
      <c r="B1262" s="1">
        <f>DATE(2014,5,1) + TIME(0,0,1)</f>
        <v>41760.000011574077</v>
      </c>
      <c r="C1262">
        <v>80</v>
      </c>
      <c r="D1262">
        <v>62.592411040999998</v>
      </c>
      <c r="E1262">
        <v>50</v>
      </c>
      <c r="F1262">
        <v>49.893898010000001</v>
      </c>
      <c r="G1262">
        <v>1325.2421875</v>
      </c>
      <c r="H1262">
        <v>1306.8074951000001</v>
      </c>
      <c r="I1262">
        <v>1335.5811768000001</v>
      </c>
      <c r="J1262">
        <v>1332.5456543</v>
      </c>
      <c r="K1262">
        <v>1200</v>
      </c>
      <c r="L1262">
        <v>0</v>
      </c>
      <c r="M1262">
        <v>0</v>
      </c>
      <c r="N1262">
        <v>1200</v>
      </c>
    </row>
    <row r="1263" spans="1:14" x14ac:dyDescent="0.25">
      <c r="A1263">
        <v>1461.0000399999999</v>
      </c>
      <c r="B1263" s="1">
        <f>DATE(2014,5,1) + TIME(0,0,3)</f>
        <v>41760.000034722223</v>
      </c>
      <c r="C1263">
        <v>80</v>
      </c>
      <c r="D1263">
        <v>62.593223571999999</v>
      </c>
      <c r="E1263">
        <v>50</v>
      </c>
      <c r="F1263">
        <v>49.893524169999999</v>
      </c>
      <c r="G1263">
        <v>1329.7086182</v>
      </c>
      <c r="H1263">
        <v>1311.4385986</v>
      </c>
      <c r="I1263">
        <v>1332.6096190999999</v>
      </c>
      <c r="J1263">
        <v>1329.5743408000001</v>
      </c>
      <c r="K1263">
        <v>1200</v>
      </c>
      <c r="L1263">
        <v>0</v>
      </c>
      <c r="M1263">
        <v>0</v>
      </c>
      <c r="N1263">
        <v>1200</v>
      </c>
    </row>
    <row r="1264" spans="1:14" x14ac:dyDescent="0.25">
      <c r="A1264">
        <v>1461.000121</v>
      </c>
      <c r="B1264" s="1">
        <f>DATE(2014,5,1) + TIME(0,0,10)</f>
        <v>41760.000115740739</v>
      </c>
      <c r="C1264">
        <v>80</v>
      </c>
      <c r="D1264">
        <v>62.594783782999997</v>
      </c>
      <c r="E1264">
        <v>50</v>
      </c>
      <c r="F1264">
        <v>49.893077849999997</v>
      </c>
      <c r="G1264">
        <v>1336.8640137</v>
      </c>
      <c r="H1264">
        <v>1318.6861572</v>
      </c>
      <c r="I1264">
        <v>1329.1618652</v>
      </c>
      <c r="J1264">
        <v>1326.1314697</v>
      </c>
      <c r="K1264">
        <v>1200</v>
      </c>
      <c r="L1264">
        <v>0</v>
      </c>
      <c r="M1264">
        <v>0</v>
      </c>
      <c r="N1264">
        <v>1200</v>
      </c>
    </row>
    <row r="1265" spans="1:14" x14ac:dyDescent="0.25">
      <c r="A1265">
        <v>1461.000364</v>
      </c>
      <c r="B1265" s="1">
        <f>DATE(2014,5,1) + TIME(0,0,31)</f>
        <v>41760.000358796293</v>
      </c>
      <c r="C1265">
        <v>80</v>
      </c>
      <c r="D1265">
        <v>62.597759246999999</v>
      </c>
      <c r="E1265">
        <v>50</v>
      </c>
      <c r="F1265">
        <v>49.892635345000002</v>
      </c>
      <c r="G1265">
        <v>1345.8295897999999</v>
      </c>
      <c r="H1265">
        <v>1327.6350098</v>
      </c>
      <c r="I1265">
        <v>1325.9860839999999</v>
      </c>
      <c r="J1265">
        <v>1322.9532471</v>
      </c>
      <c r="K1265">
        <v>1200</v>
      </c>
      <c r="L1265">
        <v>0</v>
      </c>
      <c r="M1265">
        <v>0</v>
      </c>
      <c r="N1265">
        <v>1200</v>
      </c>
    </row>
    <row r="1266" spans="1:14" x14ac:dyDescent="0.25">
      <c r="A1266">
        <v>1461.0010930000001</v>
      </c>
      <c r="B1266" s="1">
        <f>DATE(2014,5,1) + TIME(0,1,34)</f>
        <v>41760.001087962963</v>
      </c>
      <c r="C1266">
        <v>80</v>
      </c>
      <c r="D1266">
        <v>62.604431151999997</v>
      </c>
      <c r="E1266">
        <v>50</v>
      </c>
      <c r="F1266">
        <v>49.892127991000002</v>
      </c>
      <c r="G1266">
        <v>1355.6031493999999</v>
      </c>
      <c r="H1266">
        <v>1337.3267822</v>
      </c>
      <c r="I1266">
        <v>1323.0395507999999</v>
      </c>
      <c r="J1266">
        <v>1319.9802245999999</v>
      </c>
      <c r="K1266">
        <v>1200</v>
      </c>
      <c r="L1266">
        <v>0</v>
      </c>
      <c r="M1266">
        <v>0</v>
      </c>
      <c r="N1266">
        <v>1200</v>
      </c>
    </row>
    <row r="1267" spans="1:14" x14ac:dyDescent="0.25">
      <c r="A1267">
        <v>1461.0032799999999</v>
      </c>
      <c r="B1267" s="1">
        <f>DATE(2014,5,1) + TIME(0,4,43)</f>
        <v>41760.003275462965</v>
      </c>
      <c r="C1267">
        <v>80</v>
      </c>
      <c r="D1267">
        <v>62.621906281000001</v>
      </c>
      <c r="E1267">
        <v>50</v>
      </c>
      <c r="F1267">
        <v>49.891426086000003</v>
      </c>
      <c r="G1267">
        <v>1365.0009766000001</v>
      </c>
      <c r="H1267">
        <v>1346.5895995999999</v>
      </c>
      <c r="I1267">
        <v>1320.7956543</v>
      </c>
      <c r="J1267">
        <v>1317.6778564000001</v>
      </c>
      <c r="K1267">
        <v>1200</v>
      </c>
      <c r="L1267">
        <v>0</v>
      </c>
      <c r="M1267">
        <v>0</v>
      </c>
      <c r="N1267">
        <v>1200</v>
      </c>
    </row>
    <row r="1268" spans="1:14" x14ac:dyDescent="0.25">
      <c r="A1268">
        <v>1461.0098410000001</v>
      </c>
      <c r="B1268" s="1">
        <f>DATE(2014,5,1) + TIME(0,14,10)</f>
        <v>41760.009837962964</v>
      </c>
      <c r="C1268">
        <v>80</v>
      </c>
      <c r="D1268">
        <v>62.671787262000002</v>
      </c>
      <c r="E1268">
        <v>50</v>
      </c>
      <c r="F1268">
        <v>49.890121460000003</v>
      </c>
      <c r="G1268">
        <v>1372.0859375</v>
      </c>
      <c r="H1268">
        <v>1353.5490723</v>
      </c>
      <c r="I1268">
        <v>1320.4688721</v>
      </c>
      <c r="J1268">
        <v>1317.3038329999999</v>
      </c>
      <c r="K1268">
        <v>1200</v>
      </c>
      <c r="L1268">
        <v>0</v>
      </c>
      <c r="M1268">
        <v>0</v>
      </c>
      <c r="N1268">
        <v>1200</v>
      </c>
    </row>
    <row r="1269" spans="1:14" x14ac:dyDescent="0.25">
      <c r="A1269">
        <v>1461.029524</v>
      </c>
      <c r="B1269" s="1">
        <f>DATE(2014,5,1) + TIME(0,42,30)</f>
        <v>41760.029513888891</v>
      </c>
      <c r="C1269">
        <v>80</v>
      </c>
      <c r="D1269">
        <v>62.818477631</v>
      </c>
      <c r="E1269">
        <v>50</v>
      </c>
      <c r="F1269">
        <v>49.886524199999997</v>
      </c>
      <c r="G1269">
        <v>1376.1577147999999</v>
      </c>
      <c r="H1269">
        <v>1357.5908202999999</v>
      </c>
      <c r="I1269">
        <v>1321.7098389</v>
      </c>
      <c r="J1269">
        <v>1318.5333252</v>
      </c>
      <c r="K1269">
        <v>1200</v>
      </c>
      <c r="L1269">
        <v>0</v>
      </c>
      <c r="M1269">
        <v>0</v>
      </c>
      <c r="N1269">
        <v>1200</v>
      </c>
    </row>
    <row r="1270" spans="1:14" x14ac:dyDescent="0.25">
      <c r="A1270">
        <v>1461.088573</v>
      </c>
      <c r="B1270" s="1">
        <f>DATE(2014,5,1) + TIME(2,7,32)</f>
        <v>41760.088564814818</v>
      </c>
      <c r="C1270">
        <v>80</v>
      </c>
      <c r="D1270">
        <v>63.246589661000002</v>
      </c>
      <c r="E1270">
        <v>50</v>
      </c>
      <c r="F1270">
        <v>49.875656128000003</v>
      </c>
      <c r="G1270">
        <v>1378.1385498</v>
      </c>
      <c r="H1270">
        <v>1359.6674805</v>
      </c>
      <c r="I1270">
        <v>1323.1236572</v>
      </c>
      <c r="J1270">
        <v>1319.9477539</v>
      </c>
      <c r="K1270">
        <v>1200</v>
      </c>
      <c r="L1270">
        <v>0</v>
      </c>
      <c r="M1270">
        <v>0</v>
      </c>
      <c r="N1270">
        <v>1200</v>
      </c>
    </row>
    <row r="1271" spans="1:14" x14ac:dyDescent="0.25">
      <c r="A1271">
        <v>1461.1801829999999</v>
      </c>
      <c r="B1271" s="1">
        <f>DATE(2014,5,1) + TIME(4,19,27)</f>
        <v>41760.180173611108</v>
      </c>
      <c r="C1271">
        <v>80</v>
      </c>
      <c r="D1271">
        <v>63.885375977000002</v>
      </c>
      <c r="E1271">
        <v>50</v>
      </c>
      <c r="F1271">
        <v>49.858989716000004</v>
      </c>
      <c r="G1271">
        <v>1378.7960204999999</v>
      </c>
      <c r="H1271">
        <v>1360.4794922000001</v>
      </c>
      <c r="I1271">
        <v>1323.8757324000001</v>
      </c>
      <c r="J1271">
        <v>1320.7000731999999</v>
      </c>
      <c r="K1271">
        <v>1200</v>
      </c>
      <c r="L1271">
        <v>0</v>
      </c>
      <c r="M1271">
        <v>0</v>
      </c>
      <c r="N1271">
        <v>1200</v>
      </c>
    </row>
    <row r="1272" spans="1:14" x14ac:dyDescent="0.25">
      <c r="A1272">
        <v>1461.2740309999999</v>
      </c>
      <c r="B1272" s="1">
        <f>DATE(2014,5,1) + TIME(6,34,36)</f>
        <v>41760.274027777778</v>
      </c>
      <c r="C1272">
        <v>80</v>
      </c>
      <c r="D1272">
        <v>64.514747619999994</v>
      </c>
      <c r="E1272">
        <v>50</v>
      </c>
      <c r="F1272">
        <v>49.842124939000001</v>
      </c>
      <c r="G1272">
        <v>1378.9686279</v>
      </c>
      <c r="H1272">
        <v>1360.7926024999999</v>
      </c>
      <c r="I1272">
        <v>1324.2150879000001</v>
      </c>
      <c r="J1272">
        <v>1321.0393065999999</v>
      </c>
      <c r="K1272">
        <v>1200</v>
      </c>
      <c r="L1272">
        <v>0</v>
      </c>
      <c r="M1272">
        <v>0</v>
      </c>
      <c r="N1272">
        <v>1200</v>
      </c>
    </row>
    <row r="1273" spans="1:14" x14ac:dyDescent="0.25">
      <c r="A1273">
        <v>1461.3702659999999</v>
      </c>
      <c r="B1273" s="1">
        <f>DATE(2014,5,1) + TIME(8,53,11)</f>
        <v>41760.370266203703</v>
      </c>
      <c r="C1273">
        <v>80</v>
      </c>
      <c r="D1273">
        <v>65.134849548000005</v>
      </c>
      <c r="E1273">
        <v>50</v>
      </c>
      <c r="F1273">
        <v>49.825069427000003</v>
      </c>
      <c r="G1273">
        <v>1378.9608154</v>
      </c>
      <c r="H1273">
        <v>1360.9210204999999</v>
      </c>
      <c r="I1273">
        <v>1324.3869629000001</v>
      </c>
      <c r="J1273">
        <v>1321.2106934000001</v>
      </c>
      <c r="K1273">
        <v>1200</v>
      </c>
      <c r="L1273">
        <v>0</v>
      </c>
      <c r="M1273">
        <v>0</v>
      </c>
      <c r="N1273">
        <v>1200</v>
      </c>
    </row>
    <row r="1274" spans="1:14" x14ac:dyDescent="0.25">
      <c r="A1274">
        <v>1461.469026</v>
      </c>
      <c r="B1274" s="1">
        <f>DATE(2014,5,1) + TIME(11,15,23)</f>
        <v>41760.4690162037</v>
      </c>
      <c r="C1274">
        <v>80</v>
      </c>
      <c r="D1274">
        <v>65.745689392000003</v>
      </c>
      <c r="E1274">
        <v>50</v>
      </c>
      <c r="F1274">
        <v>49.807823181000003</v>
      </c>
      <c r="G1274">
        <v>1378.8714600000001</v>
      </c>
      <c r="H1274">
        <v>1360.963501</v>
      </c>
      <c r="I1274">
        <v>1324.4769286999999</v>
      </c>
      <c r="J1274">
        <v>1321.300293</v>
      </c>
      <c r="K1274">
        <v>1200</v>
      </c>
      <c r="L1274">
        <v>0</v>
      </c>
      <c r="M1274">
        <v>0</v>
      </c>
      <c r="N1274">
        <v>1200</v>
      </c>
    </row>
    <row r="1275" spans="1:14" x14ac:dyDescent="0.25">
      <c r="A1275">
        <v>1461.570467</v>
      </c>
      <c r="B1275" s="1">
        <f>DATE(2014,5,1) + TIME(13,41,28)</f>
        <v>41760.570462962962</v>
      </c>
      <c r="C1275">
        <v>80</v>
      </c>
      <c r="D1275">
        <v>66.347114563000005</v>
      </c>
      <c r="E1275">
        <v>50</v>
      </c>
      <c r="F1275">
        <v>49.790374755999999</v>
      </c>
      <c r="G1275">
        <v>1378.7425536999999</v>
      </c>
      <c r="H1275">
        <v>1360.9622803</v>
      </c>
      <c r="I1275">
        <v>1324.5242920000001</v>
      </c>
      <c r="J1275">
        <v>1321.347168</v>
      </c>
      <c r="K1275">
        <v>1200</v>
      </c>
      <c r="L1275">
        <v>0</v>
      </c>
      <c r="M1275">
        <v>0</v>
      </c>
      <c r="N1275">
        <v>1200</v>
      </c>
    </row>
    <row r="1276" spans="1:14" x14ac:dyDescent="0.25">
      <c r="A1276">
        <v>1461.674759</v>
      </c>
      <c r="B1276" s="1">
        <f>DATE(2014,5,1) + TIME(16,11,39)</f>
        <v>41760.674756944441</v>
      </c>
      <c r="C1276">
        <v>80</v>
      </c>
      <c r="D1276">
        <v>66.939079285000005</v>
      </c>
      <c r="E1276">
        <v>50</v>
      </c>
      <c r="F1276">
        <v>49.772708893000001</v>
      </c>
      <c r="G1276">
        <v>1378.5952147999999</v>
      </c>
      <c r="H1276">
        <v>1360.9383545000001</v>
      </c>
      <c r="I1276">
        <v>1324.5490723</v>
      </c>
      <c r="J1276">
        <v>1321.3714600000001</v>
      </c>
      <c r="K1276">
        <v>1200</v>
      </c>
      <c r="L1276">
        <v>0</v>
      </c>
      <c r="M1276">
        <v>0</v>
      </c>
      <c r="N1276">
        <v>1200</v>
      </c>
    </row>
    <row r="1277" spans="1:14" x14ac:dyDescent="0.25">
      <c r="A1277">
        <v>1461.7820899999999</v>
      </c>
      <c r="B1277" s="1">
        <f>DATE(2014,5,1) + TIME(18,46,12)</f>
        <v>41760.782083333332</v>
      </c>
      <c r="C1277">
        <v>80</v>
      </c>
      <c r="D1277">
        <v>67.521530150999993</v>
      </c>
      <c r="E1277">
        <v>50</v>
      </c>
      <c r="F1277">
        <v>49.754810333000002</v>
      </c>
      <c r="G1277">
        <v>1378.4405518000001</v>
      </c>
      <c r="H1277">
        <v>1360.9029541</v>
      </c>
      <c r="I1277">
        <v>1324.5617675999999</v>
      </c>
      <c r="J1277">
        <v>1321.3835449000001</v>
      </c>
      <c r="K1277">
        <v>1200</v>
      </c>
      <c r="L1277">
        <v>0</v>
      </c>
      <c r="M1277">
        <v>0</v>
      </c>
      <c r="N1277">
        <v>1200</v>
      </c>
    </row>
    <row r="1278" spans="1:14" x14ac:dyDescent="0.25">
      <c r="A1278">
        <v>1461.8926630000001</v>
      </c>
      <c r="B1278" s="1">
        <f>DATE(2014,5,1) + TIME(21,25,26)</f>
        <v>41760.89266203704</v>
      </c>
      <c r="C1278">
        <v>80</v>
      </c>
      <c r="D1278">
        <v>68.09437561</v>
      </c>
      <c r="E1278">
        <v>50</v>
      </c>
      <c r="F1278">
        <v>49.736660004000001</v>
      </c>
      <c r="G1278">
        <v>1378.2840576000001</v>
      </c>
      <c r="H1278">
        <v>1360.8619385</v>
      </c>
      <c r="I1278">
        <v>1324.5681152</v>
      </c>
      <c r="J1278">
        <v>1321.3894043</v>
      </c>
      <c r="K1278">
        <v>1200</v>
      </c>
      <c r="L1278">
        <v>0</v>
      </c>
      <c r="M1278">
        <v>0</v>
      </c>
      <c r="N1278">
        <v>1200</v>
      </c>
    </row>
    <row r="1279" spans="1:14" x14ac:dyDescent="0.25">
      <c r="A1279">
        <v>1462.006746</v>
      </c>
      <c r="B1279" s="1">
        <f>DATE(2014,5,2) + TIME(0,9,42)</f>
        <v>41761.006736111114</v>
      </c>
      <c r="C1279">
        <v>80</v>
      </c>
      <c r="D1279">
        <v>68.657737732000001</v>
      </c>
      <c r="E1279">
        <v>50</v>
      </c>
      <c r="F1279">
        <v>49.718231201000002</v>
      </c>
      <c r="G1279">
        <v>1378.1286620999999</v>
      </c>
      <c r="H1279">
        <v>1360.8184814000001</v>
      </c>
      <c r="I1279">
        <v>1324.5711670000001</v>
      </c>
      <c r="J1279">
        <v>1321.3918457</v>
      </c>
      <c r="K1279">
        <v>1200</v>
      </c>
      <c r="L1279">
        <v>0</v>
      </c>
      <c r="M1279">
        <v>0</v>
      </c>
      <c r="N1279">
        <v>1200</v>
      </c>
    </row>
    <row r="1280" spans="1:14" x14ac:dyDescent="0.25">
      <c r="A1280">
        <v>1462.1245610000001</v>
      </c>
      <c r="B1280" s="1">
        <f>DATE(2014,5,2) + TIME(2,59,22)</f>
        <v>41761.124560185184</v>
      </c>
      <c r="C1280">
        <v>80</v>
      </c>
      <c r="D1280">
        <v>69.211372374999996</v>
      </c>
      <c r="E1280">
        <v>50</v>
      </c>
      <c r="F1280">
        <v>49.699504851999997</v>
      </c>
      <c r="G1280">
        <v>1377.9760742000001</v>
      </c>
      <c r="H1280">
        <v>1360.7739257999999</v>
      </c>
      <c r="I1280">
        <v>1324.5725098</v>
      </c>
      <c r="J1280">
        <v>1321.3925781</v>
      </c>
      <c r="K1280">
        <v>1200</v>
      </c>
      <c r="L1280">
        <v>0</v>
      </c>
      <c r="M1280">
        <v>0</v>
      </c>
      <c r="N1280">
        <v>1200</v>
      </c>
    </row>
    <row r="1281" spans="1:14" x14ac:dyDescent="0.25">
      <c r="A1281">
        <v>1462.246369</v>
      </c>
      <c r="B1281" s="1">
        <f>DATE(2014,5,2) + TIME(5,54,46)</f>
        <v>41761.246365740742</v>
      </c>
      <c r="C1281">
        <v>80</v>
      </c>
      <c r="D1281">
        <v>69.755104064999998</v>
      </c>
      <c r="E1281">
        <v>50</v>
      </c>
      <c r="F1281">
        <v>49.680461884000003</v>
      </c>
      <c r="G1281">
        <v>1377.8266602000001</v>
      </c>
      <c r="H1281">
        <v>1360.7292480000001</v>
      </c>
      <c r="I1281">
        <v>1324.5729980000001</v>
      </c>
      <c r="J1281">
        <v>1321.3923339999999</v>
      </c>
      <c r="K1281">
        <v>1200</v>
      </c>
      <c r="L1281">
        <v>0</v>
      </c>
      <c r="M1281">
        <v>0</v>
      </c>
      <c r="N1281">
        <v>1200</v>
      </c>
    </row>
    <row r="1282" spans="1:14" x14ac:dyDescent="0.25">
      <c r="A1282">
        <v>1462.3724709999999</v>
      </c>
      <c r="B1282" s="1">
        <f>DATE(2014,5,2) + TIME(8,56,21)</f>
        <v>41761.372465277775</v>
      </c>
      <c r="C1282">
        <v>80</v>
      </c>
      <c r="D1282">
        <v>70.288589478000006</v>
      </c>
      <c r="E1282">
        <v>50</v>
      </c>
      <c r="F1282">
        <v>49.661071776999997</v>
      </c>
      <c r="G1282">
        <v>1377.6806641000001</v>
      </c>
      <c r="H1282">
        <v>1360.6846923999999</v>
      </c>
      <c r="I1282">
        <v>1324.572876</v>
      </c>
      <c r="J1282">
        <v>1321.3916016000001</v>
      </c>
      <c r="K1282">
        <v>1200</v>
      </c>
      <c r="L1282">
        <v>0</v>
      </c>
      <c r="M1282">
        <v>0</v>
      </c>
      <c r="N1282">
        <v>1200</v>
      </c>
    </row>
    <row r="1283" spans="1:14" x14ac:dyDescent="0.25">
      <c r="A1283">
        <v>1462.503203</v>
      </c>
      <c r="B1283" s="1">
        <f>DATE(2014,5,2) + TIME(12,4,36)</f>
        <v>41761.503194444442</v>
      </c>
      <c r="C1283">
        <v>80</v>
      </c>
      <c r="D1283">
        <v>70.811706543</v>
      </c>
      <c r="E1283">
        <v>50</v>
      </c>
      <c r="F1283">
        <v>49.641304015999999</v>
      </c>
      <c r="G1283">
        <v>1377.5383300999999</v>
      </c>
      <c r="H1283">
        <v>1360.6402588000001</v>
      </c>
      <c r="I1283">
        <v>1324.5725098</v>
      </c>
      <c r="J1283">
        <v>1321.3905029</v>
      </c>
      <c r="K1283">
        <v>1200</v>
      </c>
      <c r="L1283">
        <v>0</v>
      </c>
      <c r="M1283">
        <v>0</v>
      </c>
      <c r="N1283">
        <v>1200</v>
      </c>
    </row>
    <row r="1284" spans="1:14" x14ac:dyDescent="0.25">
      <c r="A1284">
        <v>1462.6389369999999</v>
      </c>
      <c r="B1284" s="1">
        <f>DATE(2014,5,2) + TIME(15,20,4)</f>
        <v>41761.638935185183</v>
      </c>
      <c r="C1284">
        <v>80</v>
      </c>
      <c r="D1284">
        <v>71.324447632000002</v>
      </c>
      <c r="E1284">
        <v>50</v>
      </c>
      <c r="F1284">
        <v>49.621128081999998</v>
      </c>
      <c r="G1284">
        <v>1377.3992920000001</v>
      </c>
      <c r="H1284">
        <v>1360.5961914</v>
      </c>
      <c r="I1284">
        <v>1324.5718993999999</v>
      </c>
      <c r="J1284">
        <v>1321.3892822</v>
      </c>
      <c r="K1284">
        <v>1200</v>
      </c>
      <c r="L1284">
        <v>0</v>
      </c>
      <c r="M1284">
        <v>0</v>
      </c>
      <c r="N1284">
        <v>1200</v>
      </c>
    </row>
    <row r="1285" spans="1:14" x14ac:dyDescent="0.25">
      <c r="A1285">
        <v>1462.7800930000001</v>
      </c>
      <c r="B1285" s="1">
        <f>DATE(2014,5,2) + TIME(18,43,20)</f>
        <v>41761.780092592591</v>
      </c>
      <c r="C1285">
        <v>80</v>
      </c>
      <c r="D1285">
        <v>71.826629639000004</v>
      </c>
      <c r="E1285">
        <v>50</v>
      </c>
      <c r="F1285">
        <v>49.600509643999999</v>
      </c>
      <c r="G1285">
        <v>1377.2634277</v>
      </c>
      <c r="H1285">
        <v>1360.5522461</v>
      </c>
      <c r="I1285">
        <v>1324.5712891000001</v>
      </c>
      <c r="J1285">
        <v>1321.3878173999999</v>
      </c>
      <c r="K1285">
        <v>1200</v>
      </c>
      <c r="L1285">
        <v>0</v>
      </c>
      <c r="M1285">
        <v>0</v>
      </c>
      <c r="N1285">
        <v>1200</v>
      </c>
    </row>
    <row r="1286" spans="1:14" x14ac:dyDescent="0.25">
      <c r="A1286">
        <v>1462.92714</v>
      </c>
      <c r="B1286" s="1">
        <f>DATE(2014,5,2) + TIME(22,15,4)</f>
        <v>41761.927129629628</v>
      </c>
      <c r="C1286">
        <v>80</v>
      </c>
      <c r="D1286">
        <v>72.318061829000001</v>
      </c>
      <c r="E1286">
        <v>50</v>
      </c>
      <c r="F1286">
        <v>49.579402924</v>
      </c>
      <c r="G1286">
        <v>1377.1307373</v>
      </c>
      <c r="H1286">
        <v>1360.5085449000001</v>
      </c>
      <c r="I1286">
        <v>1324.5704346</v>
      </c>
      <c r="J1286">
        <v>1321.3863524999999</v>
      </c>
      <c r="K1286">
        <v>1200</v>
      </c>
      <c r="L1286">
        <v>0</v>
      </c>
      <c r="M1286">
        <v>0</v>
      </c>
      <c r="N1286">
        <v>1200</v>
      </c>
    </row>
    <row r="1287" spans="1:14" x14ac:dyDescent="0.25">
      <c r="A1287">
        <v>1463.080608</v>
      </c>
      <c r="B1287" s="1">
        <f>DATE(2014,5,3) + TIME(1,56,4)</f>
        <v>41762.080601851849</v>
      </c>
      <c r="C1287">
        <v>80</v>
      </c>
      <c r="D1287">
        <v>72.798500060999999</v>
      </c>
      <c r="E1287">
        <v>50</v>
      </c>
      <c r="F1287">
        <v>49.557762146000002</v>
      </c>
      <c r="G1287">
        <v>1377.0008545000001</v>
      </c>
      <c r="H1287">
        <v>1360.4647216999999</v>
      </c>
      <c r="I1287">
        <v>1324.5694579999999</v>
      </c>
      <c r="J1287">
        <v>1321.3846435999999</v>
      </c>
      <c r="K1287">
        <v>1200</v>
      </c>
      <c r="L1287">
        <v>0</v>
      </c>
      <c r="M1287">
        <v>0</v>
      </c>
      <c r="N1287">
        <v>1200</v>
      </c>
    </row>
    <row r="1288" spans="1:14" x14ac:dyDescent="0.25">
      <c r="A1288">
        <v>1463.2411010000001</v>
      </c>
      <c r="B1288" s="1">
        <f>DATE(2014,5,3) + TIME(5,47,11)</f>
        <v>41762.241099537037</v>
      </c>
      <c r="C1288">
        <v>80</v>
      </c>
      <c r="D1288">
        <v>73.267707825000002</v>
      </c>
      <c r="E1288">
        <v>50</v>
      </c>
      <c r="F1288">
        <v>49.535541533999996</v>
      </c>
      <c r="G1288">
        <v>1376.8736572</v>
      </c>
      <c r="H1288">
        <v>1360.4207764</v>
      </c>
      <c r="I1288">
        <v>1324.5684814000001</v>
      </c>
      <c r="J1288">
        <v>1321.3828125</v>
      </c>
      <c r="K1288">
        <v>1200</v>
      </c>
      <c r="L1288">
        <v>0</v>
      </c>
      <c r="M1288">
        <v>0</v>
      </c>
      <c r="N1288">
        <v>1200</v>
      </c>
    </row>
    <row r="1289" spans="1:14" x14ac:dyDescent="0.25">
      <c r="A1289">
        <v>1463.4093519999999</v>
      </c>
      <c r="B1289" s="1">
        <f>DATE(2014,5,3) + TIME(9,49,28)</f>
        <v>41762.409351851849</v>
      </c>
      <c r="C1289">
        <v>80</v>
      </c>
      <c r="D1289">
        <v>73.725532532000003</v>
      </c>
      <c r="E1289">
        <v>50</v>
      </c>
      <c r="F1289">
        <v>49.512672424000002</v>
      </c>
      <c r="G1289">
        <v>1376.7490233999999</v>
      </c>
      <c r="H1289">
        <v>1360.3767089999999</v>
      </c>
      <c r="I1289">
        <v>1324.5673827999999</v>
      </c>
      <c r="J1289">
        <v>1321.3808594</v>
      </c>
      <c r="K1289">
        <v>1200</v>
      </c>
      <c r="L1289">
        <v>0</v>
      </c>
      <c r="M1289">
        <v>0</v>
      </c>
      <c r="N1289">
        <v>1200</v>
      </c>
    </row>
    <row r="1290" spans="1:14" x14ac:dyDescent="0.25">
      <c r="A1290">
        <v>1463.5861950000001</v>
      </c>
      <c r="B1290" s="1">
        <f>DATE(2014,5,3) + TIME(14,4,7)</f>
        <v>41762.586192129631</v>
      </c>
      <c r="C1290">
        <v>80</v>
      </c>
      <c r="D1290">
        <v>74.171760559000006</v>
      </c>
      <c r="E1290">
        <v>50</v>
      </c>
      <c r="F1290">
        <v>49.489089966000002</v>
      </c>
      <c r="G1290">
        <v>1376.6264647999999</v>
      </c>
      <c r="H1290">
        <v>1360.3321533000001</v>
      </c>
      <c r="I1290">
        <v>1324.5661620999999</v>
      </c>
      <c r="J1290">
        <v>1321.3786620999999</v>
      </c>
      <c r="K1290">
        <v>1200</v>
      </c>
      <c r="L1290">
        <v>0</v>
      </c>
      <c r="M1290">
        <v>0</v>
      </c>
      <c r="N1290">
        <v>1200</v>
      </c>
    </row>
    <row r="1291" spans="1:14" x14ac:dyDescent="0.25">
      <c r="A1291">
        <v>1463.7724760000001</v>
      </c>
      <c r="B1291" s="1">
        <f>DATE(2014,5,3) + TIME(18,32,21)</f>
        <v>41762.772465277776</v>
      </c>
      <c r="C1291">
        <v>80</v>
      </c>
      <c r="D1291">
        <v>74.605873107999997</v>
      </c>
      <c r="E1291">
        <v>50</v>
      </c>
      <c r="F1291">
        <v>49.464717864999997</v>
      </c>
      <c r="G1291">
        <v>1376.5059814000001</v>
      </c>
      <c r="H1291">
        <v>1360.2872314000001</v>
      </c>
      <c r="I1291">
        <v>1324.5648193</v>
      </c>
      <c r="J1291">
        <v>1321.3764647999999</v>
      </c>
      <c r="K1291">
        <v>1200</v>
      </c>
      <c r="L1291">
        <v>0</v>
      </c>
      <c r="M1291">
        <v>0</v>
      </c>
      <c r="N1291">
        <v>1200</v>
      </c>
    </row>
    <row r="1292" spans="1:14" x14ac:dyDescent="0.25">
      <c r="A1292">
        <v>1463.9692640000001</v>
      </c>
      <c r="B1292" s="1">
        <f>DATE(2014,5,3) + TIME(23,15,44)</f>
        <v>41762.969259259262</v>
      </c>
      <c r="C1292">
        <v>80</v>
      </c>
      <c r="D1292">
        <v>75.027503967000001</v>
      </c>
      <c r="E1292">
        <v>50</v>
      </c>
      <c r="F1292">
        <v>49.439476012999997</v>
      </c>
      <c r="G1292">
        <v>1376.3873291</v>
      </c>
      <c r="H1292">
        <v>1360.2415771000001</v>
      </c>
      <c r="I1292">
        <v>1324.5633545000001</v>
      </c>
      <c r="J1292">
        <v>1321.3740233999999</v>
      </c>
      <c r="K1292">
        <v>1200</v>
      </c>
      <c r="L1292">
        <v>0</v>
      </c>
      <c r="M1292">
        <v>0</v>
      </c>
      <c r="N1292">
        <v>1200</v>
      </c>
    </row>
    <row r="1293" spans="1:14" x14ac:dyDescent="0.25">
      <c r="A1293">
        <v>1464.177813</v>
      </c>
      <c r="B1293" s="1">
        <f>DATE(2014,5,4) + TIME(4,16,3)</f>
        <v>41763.177812499998</v>
      </c>
      <c r="C1293">
        <v>80</v>
      </c>
      <c r="D1293">
        <v>75.436004639000004</v>
      </c>
      <c r="E1293">
        <v>50</v>
      </c>
      <c r="F1293">
        <v>49.413257598999998</v>
      </c>
      <c r="G1293">
        <v>1376.2702637</v>
      </c>
      <c r="H1293">
        <v>1360.1951904</v>
      </c>
      <c r="I1293">
        <v>1324.5617675999999</v>
      </c>
      <c r="J1293">
        <v>1321.3714600000001</v>
      </c>
      <c r="K1293">
        <v>1200</v>
      </c>
      <c r="L1293">
        <v>0</v>
      </c>
      <c r="M1293">
        <v>0</v>
      </c>
      <c r="N1293">
        <v>1200</v>
      </c>
    </row>
    <row r="1294" spans="1:14" x14ac:dyDescent="0.25">
      <c r="A1294">
        <v>1464.3996010000001</v>
      </c>
      <c r="B1294" s="1">
        <f>DATE(2014,5,4) + TIME(9,35,25)</f>
        <v>41763.399594907409</v>
      </c>
      <c r="C1294">
        <v>80</v>
      </c>
      <c r="D1294">
        <v>75.831222534000005</v>
      </c>
      <c r="E1294">
        <v>50</v>
      </c>
      <c r="F1294">
        <v>49.385948181000003</v>
      </c>
      <c r="G1294">
        <v>1376.1545410000001</v>
      </c>
      <c r="H1294">
        <v>1360.1478271000001</v>
      </c>
      <c r="I1294">
        <v>1324.5600586</v>
      </c>
      <c r="J1294">
        <v>1321.3687743999999</v>
      </c>
      <c r="K1294">
        <v>1200</v>
      </c>
      <c r="L1294">
        <v>0</v>
      </c>
      <c r="M1294">
        <v>0</v>
      </c>
      <c r="N1294">
        <v>1200</v>
      </c>
    </row>
    <row r="1295" spans="1:14" x14ac:dyDescent="0.25">
      <c r="A1295">
        <v>1464.6363530000001</v>
      </c>
      <c r="B1295" s="1">
        <f>DATE(2014,5,4) + TIME(15,16,20)</f>
        <v>41763.636342592596</v>
      </c>
      <c r="C1295">
        <v>80</v>
      </c>
      <c r="D1295">
        <v>76.212638854999994</v>
      </c>
      <c r="E1295">
        <v>50</v>
      </c>
      <c r="F1295">
        <v>49.357406615999999</v>
      </c>
      <c r="G1295">
        <v>1376.0399170000001</v>
      </c>
      <c r="H1295">
        <v>1360.0992432</v>
      </c>
      <c r="I1295">
        <v>1324.5582274999999</v>
      </c>
      <c r="J1295">
        <v>1321.3658447</v>
      </c>
      <c r="K1295">
        <v>1200</v>
      </c>
      <c r="L1295">
        <v>0</v>
      </c>
      <c r="M1295">
        <v>0</v>
      </c>
      <c r="N1295">
        <v>1200</v>
      </c>
    </row>
    <row r="1296" spans="1:14" x14ac:dyDescent="0.25">
      <c r="A1296">
        <v>1464.8902539999999</v>
      </c>
      <c r="B1296" s="1">
        <f>DATE(2014,5,4) + TIME(21,21,57)</f>
        <v>41763.890243055554</v>
      </c>
      <c r="C1296">
        <v>80</v>
      </c>
      <c r="D1296">
        <v>76.579833984000004</v>
      </c>
      <c r="E1296">
        <v>50</v>
      </c>
      <c r="F1296">
        <v>49.327465056999998</v>
      </c>
      <c r="G1296">
        <v>1375.9260254000001</v>
      </c>
      <c r="H1296">
        <v>1360.0494385</v>
      </c>
      <c r="I1296">
        <v>1324.5562743999999</v>
      </c>
      <c r="J1296">
        <v>1321.3626709</v>
      </c>
      <c r="K1296">
        <v>1200</v>
      </c>
      <c r="L1296">
        <v>0</v>
      </c>
      <c r="M1296">
        <v>0</v>
      </c>
      <c r="N1296">
        <v>1200</v>
      </c>
    </row>
    <row r="1297" spans="1:14" x14ac:dyDescent="0.25">
      <c r="A1297">
        <v>1465.163924</v>
      </c>
      <c r="B1297" s="1">
        <f>DATE(2014,5,5) + TIME(3,56,3)</f>
        <v>41764.163923611108</v>
      </c>
      <c r="C1297">
        <v>80</v>
      </c>
      <c r="D1297">
        <v>76.932266235</v>
      </c>
      <c r="E1297">
        <v>50</v>
      </c>
      <c r="F1297">
        <v>49.295917510999999</v>
      </c>
      <c r="G1297">
        <v>1375.8127440999999</v>
      </c>
      <c r="H1297">
        <v>1359.9979248</v>
      </c>
      <c r="I1297">
        <v>1324.5540771000001</v>
      </c>
      <c r="J1297">
        <v>1321.3592529</v>
      </c>
      <c r="K1297">
        <v>1200</v>
      </c>
      <c r="L1297">
        <v>0</v>
      </c>
      <c r="M1297">
        <v>0</v>
      </c>
      <c r="N1297">
        <v>1200</v>
      </c>
    </row>
    <row r="1298" spans="1:14" x14ac:dyDescent="0.25">
      <c r="A1298">
        <v>1465.4606100000001</v>
      </c>
      <c r="B1298" s="1">
        <f>DATE(2014,5,5) + TIME(11,3,16)</f>
        <v>41764.460601851853</v>
      </c>
      <c r="C1298">
        <v>80</v>
      </c>
      <c r="D1298">
        <v>77.269340514999996</v>
      </c>
      <c r="E1298">
        <v>50</v>
      </c>
      <c r="F1298">
        <v>49.262516022</v>
      </c>
      <c r="G1298">
        <v>1375.6995850000001</v>
      </c>
      <c r="H1298">
        <v>1359.9445800999999</v>
      </c>
      <c r="I1298">
        <v>1324.5516356999999</v>
      </c>
      <c r="J1298">
        <v>1321.3554687999999</v>
      </c>
      <c r="K1298">
        <v>1200</v>
      </c>
      <c r="L1298">
        <v>0</v>
      </c>
      <c r="M1298">
        <v>0</v>
      </c>
      <c r="N1298">
        <v>1200</v>
      </c>
    </row>
    <row r="1299" spans="1:14" x14ac:dyDescent="0.25">
      <c r="A1299">
        <v>1465.7844</v>
      </c>
      <c r="B1299" s="1">
        <f>DATE(2014,5,5) + TIME(18,49,32)</f>
        <v>41764.784398148149</v>
      </c>
      <c r="C1299">
        <v>80</v>
      </c>
      <c r="D1299">
        <v>77.590393066000004</v>
      </c>
      <c r="E1299">
        <v>50</v>
      </c>
      <c r="F1299">
        <v>49.226955414000003</v>
      </c>
      <c r="G1299">
        <v>1375.5860596</v>
      </c>
      <c r="H1299">
        <v>1359.8890381000001</v>
      </c>
      <c r="I1299">
        <v>1324.5490723</v>
      </c>
      <c r="J1299">
        <v>1321.3514404</v>
      </c>
      <c r="K1299">
        <v>1200</v>
      </c>
      <c r="L1299">
        <v>0</v>
      </c>
      <c r="M1299">
        <v>0</v>
      </c>
      <c r="N1299">
        <v>1200</v>
      </c>
    </row>
    <row r="1300" spans="1:14" x14ac:dyDescent="0.25">
      <c r="A1300">
        <v>1466.1203390000001</v>
      </c>
      <c r="B1300" s="1">
        <f>DATE(2014,5,6) + TIME(2,53,17)</f>
        <v>41765.120335648149</v>
      </c>
      <c r="C1300">
        <v>80</v>
      </c>
      <c r="D1300">
        <v>77.879707335999996</v>
      </c>
      <c r="E1300">
        <v>50</v>
      </c>
      <c r="F1300">
        <v>49.190769195999998</v>
      </c>
      <c r="G1300">
        <v>1375.4774170000001</v>
      </c>
      <c r="H1300">
        <v>1359.8330077999999</v>
      </c>
      <c r="I1300">
        <v>1324.5461425999999</v>
      </c>
      <c r="J1300">
        <v>1321.3470459</v>
      </c>
      <c r="K1300">
        <v>1200</v>
      </c>
      <c r="L1300">
        <v>0</v>
      </c>
      <c r="M1300">
        <v>0</v>
      </c>
      <c r="N1300">
        <v>1200</v>
      </c>
    </row>
    <row r="1301" spans="1:14" x14ac:dyDescent="0.25">
      <c r="A1301">
        <v>1466.458253</v>
      </c>
      <c r="B1301" s="1">
        <f>DATE(2014,5,6) + TIME(10,59,53)</f>
        <v>41765.458252314813</v>
      </c>
      <c r="C1301">
        <v>80</v>
      </c>
      <c r="D1301">
        <v>78.132270813000005</v>
      </c>
      <c r="E1301">
        <v>50</v>
      </c>
      <c r="F1301">
        <v>49.154933929000002</v>
      </c>
      <c r="G1301">
        <v>1375.3757324000001</v>
      </c>
      <c r="H1301">
        <v>1359.7780762</v>
      </c>
      <c r="I1301">
        <v>1324.5430908000001</v>
      </c>
      <c r="J1301">
        <v>1321.3425293</v>
      </c>
      <c r="K1301">
        <v>1200</v>
      </c>
      <c r="L1301">
        <v>0</v>
      </c>
      <c r="M1301">
        <v>0</v>
      </c>
      <c r="N1301">
        <v>1200</v>
      </c>
    </row>
    <row r="1302" spans="1:14" x14ac:dyDescent="0.25">
      <c r="A1302">
        <v>1466.800023</v>
      </c>
      <c r="B1302" s="1">
        <f>DATE(2014,5,6) + TIME(19,12,1)</f>
        <v>41765.800011574072</v>
      </c>
      <c r="C1302">
        <v>80</v>
      </c>
      <c r="D1302">
        <v>78.353622436999999</v>
      </c>
      <c r="E1302">
        <v>50</v>
      </c>
      <c r="F1302">
        <v>49.119239807</v>
      </c>
      <c r="G1302">
        <v>1375.2797852000001</v>
      </c>
      <c r="H1302">
        <v>1359.7246094</v>
      </c>
      <c r="I1302">
        <v>1324.5399170000001</v>
      </c>
      <c r="J1302">
        <v>1321.3378906</v>
      </c>
      <c r="K1302">
        <v>1200</v>
      </c>
      <c r="L1302">
        <v>0</v>
      </c>
      <c r="M1302">
        <v>0</v>
      </c>
      <c r="N1302">
        <v>1200</v>
      </c>
    </row>
    <row r="1303" spans="1:14" x14ac:dyDescent="0.25">
      <c r="A1303">
        <v>1467.1468199999999</v>
      </c>
      <c r="B1303" s="1">
        <f>DATE(2014,5,7) + TIME(3,31,25)</f>
        <v>41766.146817129629</v>
      </c>
      <c r="C1303">
        <v>80</v>
      </c>
      <c r="D1303">
        <v>78.547874450999998</v>
      </c>
      <c r="E1303">
        <v>50</v>
      </c>
      <c r="F1303">
        <v>49.083568573000001</v>
      </c>
      <c r="G1303">
        <v>1375.1889647999999</v>
      </c>
      <c r="H1303">
        <v>1359.6723632999999</v>
      </c>
      <c r="I1303">
        <v>1324.5366211</v>
      </c>
      <c r="J1303">
        <v>1321.3331298999999</v>
      </c>
      <c r="K1303">
        <v>1200</v>
      </c>
      <c r="L1303">
        <v>0</v>
      </c>
      <c r="M1303">
        <v>0</v>
      </c>
      <c r="N1303">
        <v>1200</v>
      </c>
    </row>
    <row r="1304" spans="1:14" x14ac:dyDescent="0.25">
      <c r="A1304">
        <v>1467.4998399999999</v>
      </c>
      <c r="B1304" s="1">
        <f>DATE(2014,5,7) + TIME(11,59,46)</f>
        <v>41766.499837962961</v>
      </c>
      <c r="C1304">
        <v>80</v>
      </c>
      <c r="D1304">
        <v>78.718490600999999</v>
      </c>
      <c r="E1304">
        <v>50</v>
      </c>
      <c r="F1304">
        <v>49.047801970999998</v>
      </c>
      <c r="G1304">
        <v>1375.1022949000001</v>
      </c>
      <c r="H1304">
        <v>1359.6210937999999</v>
      </c>
      <c r="I1304">
        <v>1324.5333252</v>
      </c>
      <c r="J1304">
        <v>1321.3282471</v>
      </c>
      <c r="K1304">
        <v>1200</v>
      </c>
      <c r="L1304">
        <v>0</v>
      </c>
      <c r="M1304">
        <v>0</v>
      </c>
      <c r="N1304">
        <v>1200</v>
      </c>
    </row>
    <row r="1305" spans="1:14" x14ac:dyDescent="0.25">
      <c r="A1305">
        <v>1467.860291</v>
      </c>
      <c r="B1305" s="1">
        <f>DATE(2014,5,7) + TIME(20,38,49)</f>
        <v>41766.860289351855</v>
      </c>
      <c r="C1305">
        <v>80</v>
      </c>
      <c r="D1305">
        <v>78.868385314999998</v>
      </c>
      <c r="E1305">
        <v>50</v>
      </c>
      <c r="F1305">
        <v>49.011825561999999</v>
      </c>
      <c r="G1305">
        <v>1375.0192870999999</v>
      </c>
      <c r="H1305">
        <v>1359.5706786999999</v>
      </c>
      <c r="I1305">
        <v>1324.5299072</v>
      </c>
      <c r="J1305">
        <v>1321.3232422000001</v>
      </c>
      <c r="K1305">
        <v>1200</v>
      </c>
      <c r="L1305">
        <v>0</v>
      </c>
      <c r="M1305">
        <v>0</v>
      </c>
      <c r="N1305">
        <v>1200</v>
      </c>
    </row>
    <row r="1306" spans="1:14" x14ac:dyDescent="0.25">
      <c r="A1306">
        <v>1468.2294380000001</v>
      </c>
      <c r="B1306" s="1">
        <f>DATE(2014,5,8) + TIME(5,30,23)</f>
        <v>41767.229432870372</v>
      </c>
      <c r="C1306">
        <v>80</v>
      </c>
      <c r="D1306">
        <v>79.000053406000006</v>
      </c>
      <c r="E1306">
        <v>50</v>
      </c>
      <c r="F1306">
        <v>48.975521088000001</v>
      </c>
      <c r="G1306">
        <v>1374.9393310999999</v>
      </c>
      <c r="H1306">
        <v>1359.5209961</v>
      </c>
      <c r="I1306">
        <v>1324.5263672000001</v>
      </c>
      <c r="J1306">
        <v>1321.3181152</v>
      </c>
      <c r="K1306">
        <v>1200</v>
      </c>
      <c r="L1306">
        <v>0</v>
      </c>
      <c r="M1306">
        <v>0</v>
      </c>
      <c r="N1306">
        <v>1200</v>
      </c>
    </row>
    <row r="1307" spans="1:14" x14ac:dyDescent="0.25">
      <c r="A1307">
        <v>1468.6086210000001</v>
      </c>
      <c r="B1307" s="1">
        <f>DATE(2014,5,8) + TIME(14,36,24)</f>
        <v>41767.608611111114</v>
      </c>
      <c r="C1307">
        <v>80</v>
      </c>
      <c r="D1307">
        <v>79.115631104000002</v>
      </c>
      <c r="E1307">
        <v>50</v>
      </c>
      <c r="F1307">
        <v>48.938777924</v>
      </c>
      <c r="G1307">
        <v>1374.8620605000001</v>
      </c>
      <c r="H1307">
        <v>1359.4719238</v>
      </c>
      <c r="I1307">
        <v>1324.5227050999999</v>
      </c>
      <c r="J1307">
        <v>1321.3127440999999</v>
      </c>
      <c r="K1307">
        <v>1200</v>
      </c>
      <c r="L1307">
        <v>0</v>
      </c>
      <c r="M1307">
        <v>0</v>
      </c>
      <c r="N1307">
        <v>1200</v>
      </c>
    </row>
    <row r="1308" spans="1:14" x14ac:dyDescent="0.25">
      <c r="A1308">
        <v>1468.9992850000001</v>
      </c>
      <c r="B1308" s="1">
        <f>DATE(2014,5,8) + TIME(23,58,58)</f>
        <v>41767.999282407407</v>
      </c>
      <c r="C1308">
        <v>80</v>
      </c>
      <c r="D1308">
        <v>79.216964722</v>
      </c>
      <c r="E1308">
        <v>50</v>
      </c>
      <c r="F1308">
        <v>48.901477814000003</v>
      </c>
      <c r="G1308">
        <v>1374.7869873</v>
      </c>
      <c r="H1308">
        <v>1359.4230957</v>
      </c>
      <c r="I1308">
        <v>1324.5189209</v>
      </c>
      <c r="J1308">
        <v>1321.307251</v>
      </c>
      <c r="K1308">
        <v>1200</v>
      </c>
      <c r="L1308">
        <v>0</v>
      </c>
      <c r="M1308">
        <v>0</v>
      </c>
      <c r="N1308">
        <v>1200</v>
      </c>
    </row>
    <row r="1309" spans="1:14" x14ac:dyDescent="0.25">
      <c r="A1309">
        <v>1469.403206</v>
      </c>
      <c r="B1309" s="1">
        <f>DATE(2014,5,9) + TIME(9,40,37)</f>
        <v>41768.40320601852</v>
      </c>
      <c r="C1309">
        <v>80</v>
      </c>
      <c r="D1309">
        <v>79.305709839000002</v>
      </c>
      <c r="E1309">
        <v>50</v>
      </c>
      <c r="F1309">
        <v>48.863487243999998</v>
      </c>
      <c r="G1309">
        <v>1374.7137451000001</v>
      </c>
      <c r="H1309">
        <v>1359.3747559000001</v>
      </c>
      <c r="I1309">
        <v>1324.5150146000001</v>
      </c>
      <c r="J1309">
        <v>1321.3015137</v>
      </c>
      <c r="K1309">
        <v>1200</v>
      </c>
      <c r="L1309">
        <v>0</v>
      </c>
      <c r="M1309">
        <v>0</v>
      </c>
      <c r="N1309">
        <v>1200</v>
      </c>
    </row>
    <row r="1310" spans="1:14" x14ac:dyDescent="0.25">
      <c r="A1310">
        <v>1469.8221080000001</v>
      </c>
      <c r="B1310" s="1">
        <f>DATE(2014,5,9) + TIME(19,43,50)</f>
        <v>41768.822106481479</v>
      </c>
      <c r="C1310">
        <v>80</v>
      </c>
      <c r="D1310">
        <v>79.383255004999995</v>
      </c>
      <c r="E1310">
        <v>50</v>
      </c>
      <c r="F1310">
        <v>48.824672698999997</v>
      </c>
      <c r="G1310">
        <v>1374.6419678</v>
      </c>
      <c r="H1310">
        <v>1359.3264160000001</v>
      </c>
      <c r="I1310">
        <v>1324.5109863</v>
      </c>
      <c r="J1310">
        <v>1321.2956543</v>
      </c>
      <c r="K1310">
        <v>1200</v>
      </c>
      <c r="L1310">
        <v>0</v>
      </c>
      <c r="M1310">
        <v>0</v>
      </c>
      <c r="N1310">
        <v>1200</v>
      </c>
    </row>
    <row r="1311" spans="1:14" x14ac:dyDescent="0.25">
      <c r="A1311">
        <v>1470.257928</v>
      </c>
      <c r="B1311" s="1">
        <f>DATE(2014,5,10) + TIME(6,11,24)</f>
        <v>41769.257916666669</v>
      </c>
      <c r="C1311">
        <v>80</v>
      </c>
      <c r="D1311">
        <v>79.450828552000004</v>
      </c>
      <c r="E1311">
        <v>50</v>
      </c>
      <c r="F1311">
        <v>48.784900665000002</v>
      </c>
      <c r="G1311">
        <v>1374.5714111</v>
      </c>
      <c r="H1311">
        <v>1359.2780762</v>
      </c>
      <c r="I1311">
        <v>1324.5067139</v>
      </c>
      <c r="J1311">
        <v>1321.2894286999999</v>
      </c>
      <c r="K1311">
        <v>1200</v>
      </c>
      <c r="L1311">
        <v>0</v>
      </c>
      <c r="M1311">
        <v>0</v>
      </c>
      <c r="N1311">
        <v>1200</v>
      </c>
    </row>
    <row r="1312" spans="1:14" x14ac:dyDescent="0.25">
      <c r="A1312">
        <v>1470.7129910000001</v>
      </c>
      <c r="B1312" s="1">
        <f>DATE(2014,5,10) + TIME(17,6,42)</f>
        <v>41769.71298611111</v>
      </c>
      <c r="C1312">
        <v>80</v>
      </c>
      <c r="D1312">
        <v>79.509529114000003</v>
      </c>
      <c r="E1312">
        <v>50</v>
      </c>
      <c r="F1312">
        <v>48.744014739999997</v>
      </c>
      <c r="G1312">
        <v>1374.5017089999999</v>
      </c>
      <c r="H1312">
        <v>1359.2297363</v>
      </c>
      <c r="I1312">
        <v>1324.5021973</v>
      </c>
      <c r="J1312">
        <v>1321.2829589999999</v>
      </c>
      <c r="K1312">
        <v>1200</v>
      </c>
      <c r="L1312">
        <v>0</v>
      </c>
      <c r="M1312">
        <v>0</v>
      </c>
      <c r="N1312">
        <v>1200</v>
      </c>
    </row>
    <row r="1313" spans="1:14" x14ac:dyDescent="0.25">
      <c r="A1313">
        <v>1471.1899860000001</v>
      </c>
      <c r="B1313" s="1">
        <f>DATE(2014,5,11) + TIME(4,33,34)</f>
        <v>41770.189976851849</v>
      </c>
      <c r="C1313">
        <v>80</v>
      </c>
      <c r="D1313">
        <v>79.560356139999996</v>
      </c>
      <c r="E1313">
        <v>50</v>
      </c>
      <c r="F1313">
        <v>48.701828003000003</v>
      </c>
      <c r="G1313">
        <v>1374.4326172000001</v>
      </c>
      <c r="H1313">
        <v>1359.1811522999999</v>
      </c>
      <c r="I1313">
        <v>1324.4974365</v>
      </c>
      <c r="J1313">
        <v>1321.2761230000001</v>
      </c>
      <c r="K1313">
        <v>1200</v>
      </c>
      <c r="L1313">
        <v>0</v>
      </c>
      <c r="M1313">
        <v>0</v>
      </c>
      <c r="N1313">
        <v>1200</v>
      </c>
    </row>
    <row r="1314" spans="1:14" x14ac:dyDescent="0.25">
      <c r="A1314">
        <v>1471.692033</v>
      </c>
      <c r="B1314" s="1">
        <f>DATE(2014,5,11) + TIME(16,36,31)</f>
        <v>41770.692025462966</v>
      </c>
      <c r="C1314">
        <v>80</v>
      </c>
      <c r="D1314">
        <v>79.604156493999994</v>
      </c>
      <c r="E1314">
        <v>50</v>
      </c>
      <c r="F1314">
        <v>48.658145904999998</v>
      </c>
      <c r="G1314">
        <v>1374.3636475000001</v>
      </c>
      <c r="H1314">
        <v>1359.1322021000001</v>
      </c>
      <c r="I1314">
        <v>1324.4924315999999</v>
      </c>
      <c r="J1314">
        <v>1321.2689209</v>
      </c>
      <c r="K1314">
        <v>1200</v>
      </c>
      <c r="L1314">
        <v>0</v>
      </c>
      <c r="M1314">
        <v>0</v>
      </c>
      <c r="N1314">
        <v>1200</v>
      </c>
    </row>
    <row r="1315" spans="1:14" x14ac:dyDescent="0.25">
      <c r="A1315">
        <v>1472.222884</v>
      </c>
      <c r="B1315" s="1">
        <f>DATE(2014,5,12) + TIME(5,20,57)</f>
        <v>41771.222881944443</v>
      </c>
      <c r="C1315">
        <v>80</v>
      </c>
      <c r="D1315">
        <v>79.641738892000006</v>
      </c>
      <c r="E1315">
        <v>50</v>
      </c>
      <c r="F1315">
        <v>48.612728119000003</v>
      </c>
      <c r="G1315">
        <v>1374.2947998</v>
      </c>
      <c r="H1315">
        <v>1359.0826416</v>
      </c>
      <c r="I1315">
        <v>1324.4871826000001</v>
      </c>
      <c r="J1315">
        <v>1321.2612305</v>
      </c>
      <c r="K1315">
        <v>1200</v>
      </c>
      <c r="L1315">
        <v>0</v>
      </c>
      <c r="M1315">
        <v>0</v>
      </c>
      <c r="N1315">
        <v>1200</v>
      </c>
    </row>
    <row r="1316" spans="1:14" x14ac:dyDescent="0.25">
      <c r="A1316">
        <v>1472.7871259999999</v>
      </c>
      <c r="B1316" s="1">
        <f>DATE(2014,5,12) + TIME(18,53,27)</f>
        <v>41771.787118055552</v>
      </c>
      <c r="C1316">
        <v>80</v>
      </c>
      <c r="D1316">
        <v>79.673789978000002</v>
      </c>
      <c r="E1316">
        <v>50</v>
      </c>
      <c r="F1316">
        <v>48.565296173</v>
      </c>
      <c r="G1316">
        <v>1374.2254639</v>
      </c>
      <c r="H1316">
        <v>1359.0324707</v>
      </c>
      <c r="I1316">
        <v>1324.4815673999999</v>
      </c>
      <c r="J1316">
        <v>1321.2531738</v>
      </c>
      <c r="K1316">
        <v>1200</v>
      </c>
      <c r="L1316">
        <v>0</v>
      </c>
      <c r="M1316">
        <v>0</v>
      </c>
      <c r="N1316">
        <v>1200</v>
      </c>
    </row>
    <row r="1317" spans="1:14" x14ac:dyDescent="0.25">
      <c r="A1317">
        <v>1473.354605</v>
      </c>
      <c r="B1317" s="1">
        <f>DATE(2014,5,13) + TIME(8,30,37)</f>
        <v>41772.354594907411</v>
      </c>
      <c r="C1317">
        <v>80</v>
      </c>
      <c r="D1317">
        <v>79.699661254999995</v>
      </c>
      <c r="E1317">
        <v>50</v>
      </c>
      <c r="F1317">
        <v>48.517955780000001</v>
      </c>
      <c r="G1317">
        <v>1374.1560059000001</v>
      </c>
      <c r="H1317">
        <v>1358.9815673999999</v>
      </c>
      <c r="I1317">
        <v>1324.4755858999999</v>
      </c>
      <c r="J1317">
        <v>1321.2445068</v>
      </c>
      <c r="K1317">
        <v>1200</v>
      </c>
      <c r="L1317">
        <v>0</v>
      </c>
      <c r="M1317">
        <v>0</v>
      </c>
      <c r="N1317">
        <v>1200</v>
      </c>
    </row>
    <row r="1318" spans="1:14" x14ac:dyDescent="0.25">
      <c r="A1318">
        <v>1473.926164</v>
      </c>
      <c r="B1318" s="1">
        <f>DATE(2014,5,13) + TIME(22,13,40)</f>
        <v>41772.926157407404</v>
      </c>
      <c r="C1318">
        <v>80</v>
      </c>
      <c r="D1318">
        <v>79.720565796000002</v>
      </c>
      <c r="E1318">
        <v>50</v>
      </c>
      <c r="F1318">
        <v>48.470691680999998</v>
      </c>
      <c r="G1318">
        <v>1374.0893555</v>
      </c>
      <c r="H1318">
        <v>1358.9323730000001</v>
      </c>
      <c r="I1318">
        <v>1324.4693603999999</v>
      </c>
      <c r="J1318">
        <v>1321.2357178</v>
      </c>
      <c r="K1318">
        <v>1200</v>
      </c>
      <c r="L1318">
        <v>0</v>
      </c>
      <c r="M1318">
        <v>0</v>
      </c>
      <c r="N1318">
        <v>1200</v>
      </c>
    </row>
    <row r="1319" spans="1:14" x14ac:dyDescent="0.25">
      <c r="A1319">
        <v>1474.5044130000001</v>
      </c>
      <c r="B1319" s="1">
        <f>DATE(2014,5,14) + TIME(12,6,21)</f>
        <v>41773.50440972222</v>
      </c>
      <c r="C1319">
        <v>80</v>
      </c>
      <c r="D1319">
        <v>79.737510681000003</v>
      </c>
      <c r="E1319">
        <v>50</v>
      </c>
      <c r="F1319">
        <v>48.423347473</v>
      </c>
      <c r="G1319">
        <v>1374.0251464999999</v>
      </c>
      <c r="H1319">
        <v>1358.8847656</v>
      </c>
      <c r="I1319">
        <v>1324.4631348</v>
      </c>
      <c r="J1319">
        <v>1321.2268065999999</v>
      </c>
      <c r="K1319">
        <v>1200</v>
      </c>
      <c r="L1319">
        <v>0</v>
      </c>
      <c r="M1319">
        <v>0</v>
      </c>
      <c r="N1319">
        <v>1200</v>
      </c>
    </row>
    <row r="1320" spans="1:14" x14ac:dyDescent="0.25">
      <c r="A1320">
        <v>1475.0918799999999</v>
      </c>
      <c r="B1320" s="1">
        <f>DATE(2014,5,15) + TIME(2,12,18)</f>
        <v>41774.091874999998</v>
      </c>
      <c r="C1320">
        <v>80</v>
      </c>
      <c r="D1320">
        <v>79.751281738000003</v>
      </c>
      <c r="E1320">
        <v>50</v>
      </c>
      <c r="F1320">
        <v>48.375778197999999</v>
      </c>
      <c r="G1320">
        <v>1373.9628906</v>
      </c>
      <c r="H1320">
        <v>1358.838501</v>
      </c>
      <c r="I1320">
        <v>1324.4567870999999</v>
      </c>
      <c r="J1320">
        <v>1321.2177733999999</v>
      </c>
      <c r="K1320">
        <v>1200</v>
      </c>
      <c r="L1320">
        <v>0</v>
      </c>
      <c r="M1320">
        <v>0</v>
      </c>
      <c r="N1320">
        <v>1200</v>
      </c>
    </row>
    <row r="1321" spans="1:14" x14ac:dyDescent="0.25">
      <c r="A1321">
        <v>1475.6912850000001</v>
      </c>
      <c r="B1321" s="1">
        <f>DATE(2014,5,15) + TIME(16,35,26)</f>
        <v>41774.69127314815</v>
      </c>
      <c r="C1321">
        <v>80</v>
      </c>
      <c r="D1321">
        <v>79.762496948000006</v>
      </c>
      <c r="E1321">
        <v>50</v>
      </c>
      <c r="F1321">
        <v>48.327827454000001</v>
      </c>
      <c r="G1321">
        <v>1373.9020995999999</v>
      </c>
      <c r="H1321">
        <v>1358.7933350000001</v>
      </c>
      <c r="I1321">
        <v>1324.4503173999999</v>
      </c>
      <c r="J1321">
        <v>1321.2084961</v>
      </c>
      <c r="K1321">
        <v>1200</v>
      </c>
      <c r="L1321">
        <v>0</v>
      </c>
      <c r="M1321">
        <v>0</v>
      </c>
      <c r="N1321">
        <v>1200</v>
      </c>
    </row>
    <row r="1322" spans="1:14" x14ac:dyDescent="0.25">
      <c r="A1322">
        <v>1476.3053130000001</v>
      </c>
      <c r="B1322" s="1">
        <f>DATE(2014,5,16) + TIME(7,19,39)</f>
        <v>41775.305312500001</v>
      </c>
      <c r="C1322">
        <v>80</v>
      </c>
      <c r="D1322">
        <v>79.771636963000006</v>
      </c>
      <c r="E1322">
        <v>50</v>
      </c>
      <c r="F1322">
        <v>48.279338836999997</v>
      </c>
      <c r="G1322">
        <v>1373.8425293</v>
      </c>
      <c r="H1322">
        <v>1358.7489014</v>
      </c>
      <c r="I1322">
        <v>1324.4437256000001</v>
      </c>
      <c r="J1322">
        <v>1321.1988524999999</v>
      </c>
      <c r="K1322">
        <v>1200</v>
      </c>
      <c r="L1322">
        <v>0</v>
      </c>
      <c r="M1322">
        <v>0</v>
      </c>
      <c r="N1322">
        <v>1200</v>
      </c>
    </row>
    <row r="1323" spans="1:14" x14ac:dyDescent="0.25">
      <c r="A1323">
        <v>1476.9365519999999</v>
      </c>
      <c r="B1323" s="1">
        <f>DATE(2014,5,16) + TIME(22,28,38)</f>
        <v>41775.936550925922</v>
      </c>
      <c r="C1323">
        <v>80</v>
      </c>
      <c r="D1323">
        <v>79.779083252000007</v>
      </c>
      <c r="E1323">
        <v>50</v>
      </c>
      <c r="F1323">
        <v>48.230171204000001</v>
      </c>
      <c r="G1323">
        <v>1373.7838135</v>
      </c>
      <c r="H1323">
        <v>1358.7049560999999</v>
      </c>
      <c r="I1323">
        <v>1324.4368896000001</v>
      </c>
      <c r="J1323">
        <v>1321.1890868999999</v>
      </c>
      <c r="K1323">
        <v>1200</v>
      </c>
      <c r="L1323">
        <v>0</v>
      </c>
      <c r="M1323">
        <v>0</v>
      </c>
      <c r="N1323">
        <v>1200</v>
      </c>
    </row>
    <row r="1324" spans="1:14" x14ac:dyDescent="0.25">
      <c r="A1324">
        <v>1477.585511</v>
      </c>
      <c r="B1324" s="1">
        <f>DATE(2014,5,17) + TIME(14,3,8)</f>
        <v>41776.585509259261</v>
      </c>
      <c r="C1324">
        <v>80</v>
      </c>
      <c r="D1324">
        <v>79.785133361999996</v>
      </c>
      <c r="E1324">
        <v>50</v>
      </c>
      <c r="F1324">
        <v>48.180309295999997</v>
      </c>
      <c r="G1324">
        <v>1373.7257079999999</v>
      </c>
      <c r="H1324">
        <v>1358.661499</v>
      </c>
      <c r="I1324">
        <v>1324.4298096</v>
      </c>
      <c r="J1324">
        <v>1321.1788329999999</v>
      </c>
      <c r="K1324">
        <v>1200</v>
      </c>
      <c r="L1324">
        <v>0</v>
      </c>
      <c r="M1324">
        <v>0</v>
      </c>
      <c r="N1324">
        <v>1200</v>
      </c>
    </row>
    <row r="1325" spans="1:14" x14ac:dyDescent="0.25">
      <c r="A1325">
        <v>1478.2542599999999</v>
      </c>
      <c r="B1325" s="1">
        <f>DATE(2014,5,18) + TIME(6,6,8)</f>
        <v>41777.254259259258</v>
      </c>
      <c r="C1325">
        <v>80</v>
      </c>
      <c r="D1325">
        <v>79.790031432999996</v>
      </c>
      <c r="E1325">
        <v>50</v>
      </c>
      <c r="F1325">
        <v>48.129653931</v>
      </c>
      <c r="G1325">
        <v>1373.6682129000001</v>
      </c>
      <c r="H1325">
        <v>1358.6185303</v>
      </c>
      <c r="I1325">
        <v>1324.4224853999999</v>
      </c>
      <c r="J1325">
        <v>1321.1683350000001</v>
      </c>
      <c r="K1325">
        <v>1200</v>
      </c>
      <c r="L1325">
        <v>0</v>
      </c>
      <c r="M1325">
        <v>0</v>
      </c>
      <c r="N1325">
        <v>1200</v>
      </c>
    </row>
    <row r="1326" spans="1:14" x14ac:dyDescent="0.25">
      <c r="A1326">
        <v>1478.9456929999999</v>
      </c>
      <c r="B1326" s="1">
        <f>DATE(2014,5,18) + TIME(22,41,47)</f>
        <v>41777.94568287037</v>
      </c>
      <c r="C1326">
        <v>80</v>
      </c>
      <c r="D1326">
        <v>79.794006347999996</v>
      </c>
      <c r="E1326">
        <v>50</v>
      </c>
      <c r="F1326">
        <v>48.078056334999999</v>
      </c>
      <c r="G1326">
        <v>1373.6109618999999</v>
      </c>
      <c r="H1326">
        <v>1358.5756836</v>
      </c>
      <c r="I1326">
        <v>1324.4149170000001</v>
      </c>
      <c r="J1326">
        <v>1321.1574707</v>
      </c>
      <c r="K1326">
        <v>1200</v>
      </c>
      <c r="L1326">
        <v>0</v>
      </c>
      <c r="M1326">
        <v>0</v>
      </c>
      <c r="N1326">
        <v>1200</v>
      </c>
    </row>
    <row r="1327" spans="1:14" x14ac:dyDescent="0.25">
      <c r="A1327">
        <v>1479.663444</v>
      </c>
      <c r="B1327" s="1">
        <f>DATE(2014,5,19) + TIME(15,55,21)</f>
        <v>41778.663437499999</v>
      </c>
      <c r="C1327">
        <v>80</v>
      </c>
      <c r="D1327">
        <v>79.797225952000005</v>
      </c>
      <c r="E1327">
        <v>50</v>
      </c>
      <c r="F1327">
        <v>48.025325774999999</v>
      </c>
      <c r="G1327">
        <v>1373.5539550999999</v>
      </c>
      <c r="H1327">
        <v>1358.5329589999999</v>
      </c>
      <c r="I1327">
        <v>1324.4071045000001</v>
      </c>
      <c r="J1327">
        <v>1321.1461182</v>
      </c>
      <c r="K1327">
        <v>1200</v>
      </c>
      <c r="L1327">
        <v>0</v>
      </c>
      <c r="M1327">
        <v>0</v>
      </c>
      <c r="N1327">
        <v>1200</v>
      </c>
    </row>
    <row r="1328" spans="1:14" x14ac:dyDescent="0.25">
      <c r="A1328">
        <v>1480.4116779999999</v>
      </c>
      <c r="B1328" s="1">
        <f>DATE(2014,5,20) + TIME(9,52,48)</f>
        <v>41779.411666666667</v>
      </c>
      <c r="C1328">
        <v>80</v>
      </c>
      <c r="D1328">
        <v>79.799835204999994</v>
      </c>
      <c r="E1328">
        <v>50</v>
      </c>
      <c r="F1328">
        <v>47.971263884999999</v>
      </c>
      <c r="G1328">
        <v>1373.4968262</v>
      </c>
      <c r="H1328">
        <v>1358.4902344</v>
      </c>
      <c r="I1328">
        <v>1324.3989257999999</v>
      </c>
      <c r="J1328">
        <v>1321.1342772999999</v>
      </c>
      <c r="K1328">
        <v>1200</v>
      </c>
      <c r="L1328">
        <v>0</v>
      </c>
      <c r="M1328">
        <v>0</v>
      </c>
      <c r="N1328">
        <v>1200</v>
      </c>
    </row>
    <row r="1329" spans="1:14" x14ac:dyDescent="0.25">
      <c r="A1329">
        <v>1481.1952369999999</v>
      </c>
      <c r="B1329" s="1">
        <f>DATE(2014,5,21) + TIME(4,41,8)</f>
        <v>41780.195231481484</v>
      </c>
      <c r="C1329">
        <v>80</v>
      </c>
      <c r="D1329">
        <v>79.801940918</v>
      </c>
      <c r="E1329">
        <v>50</v>
      </c>
      <c r="F1329">
        <v>47.915630341000004</v>
      </c>
      <c r="G1329">
        <v>1373.4393310999999</v>
      </c>
      <c r="H1329">
        <v>1358.4472656</v>
      </c>
      <c r="I1329">
        <v>1324.3903809000001</v>
      </c>
      <c r="J1329">
        <v>1321.1219481999999</v>
      </c>
      <c r="K1329">
        <v>1200</v>
      </c>
      <c r="L1329">
        <v>0</v>
      </c>
      <c r="M1329">
        <v>0</v>
      </c>
      <c r="N1329">
        <v>1200</v>
      </c>
    </row>
    <row r="1330" spans="1:14" x14ac:dyDescent="0.25">
      <c r="A1330">
        <v>1482.019695</v>
      </c>
      <c r="B1330" s="1">
        <f>DATE(2014,5,22) + TIME(0,28,21)</f>
        <v>41781.019687499997</v>
      </c>
      <c r="C1330">
        <v>80</v>
      </c>
      <c r="D1330">
        <v>79.803642272999994</v>
      </c>
      <c r="E1330">
        <v>50</v>
      </c>
      <c r="F1330">
        <v>47.858161926000001</v>
      </c>
      <c r="G1330">
        <v>1373.3812256000001</v>
      </c>
      <c r="H1330">
        <v>1358.4038086</v>
      </c>
      <c r="I1330">
        <v>1324.3813477000001</v>
      </c>
      <c r="J1330">
        <v>1321.1088867000001</v>
      </c>
      <c r="K1330">
        <v>1200</v>
      </c>
      <c r="L1330">
        <v>0</v>
      </c>
      <c r="M1330">
        <v>0</v>
      </c>
      <c r="N1330">
        <v>1200</v>
      </c>
    </row>
    <row r="1331" spans="1:14" x14ac:dyDescent="0.25">
      <c r="A1331">
        <v>1482.868964</v>
      </c>
      <c r="B1331" s="1">
        <f>DATE(2014,5,22) + TIME(20,51,18)</f>
        <v>41781.868958333333</v>
      </c>
      <c r="C1331">
        <v>80</v>
      </c>
      <c r="D1331">
        <v>79.804992675999998</v>
      </c>
      <c r="E1331">
        <v>50</v>
      </c>
      <c r="F1331">
        <v>47.799747467000003</v>
      </c>
      <c r="G1331">
        <v>1373.3221435999999</v>
      </c>
      <c r="H1331">
        <v>1358.3597411999999</v>
      </c>
      <c r="I1331">
        <v>1324.3718262</v>
      </c>
      <c r="J1331">
        <v>1321.0952147999999</v>
      </c>
      <c r="K1331">
        <v>1200</v>
      </c>
      <c r="L1331">
        <v>0</v>
      </c>
      <c r="M1331">
        <v>0</v>
      </c>
      <c r="N1331">
        <v>1200</v>
      </c>
    </row>
    <row r="1332" spans="1:14" x14ac:dyDescent="0.25">
      <c r="A1332">
        <v>1483.722344</v>
      </c>
      <c r="B1332" s="1">
        <f>DATE(2014,5,23) + TIME(17,20,10)</f>
        <v>41782.722337962965</v>
      </c>
      <c r="C1332">
        <v>80</v>
      </c>
      <c r="D1332">
        <v>79.806045531999999</v>
      </c>
      <c r="E1332">
        <v>50</v>
      </c>
      <c r="F1332">
        <v>47.741523743000002</v>
      </c>
      <c r="G1332">
        <v>1373.2634277</v>
      </c>
      <c r="H1332">
        <v>1358.315918</v>
      </c>
      <c r="I1332">
        <v>1324.3619385</v>
      </c>
      <c r="J1332">
        <v>1321.0810547000001</v>
      </c>
      <c r="K1332">
        <v>1200</v>
      </c>
      <c r="L1332">
        <v>0</v>
      </c>
      <c r="M1332">
        <v>0</v>
      </c>
      <c r="N1332">
        <v>1200</v>
      </c>
    </row>
    <row r="1333" spans="1:14" x14ac:dyDescent="0.25">
      <c r="A1333">
        <v>1484.583781</v>
      </c>
      <c r="B1333" s="1">
        <f>DATE(2014,5,24) + TIME(14,0,38)</f>
        <v>41783.583773148152</v>
      </c>
      <c r="C1333">
        <v>80</v>
      </c>
      <c r="D1333">
        <v>79.806869507000002</v>
      </c>
      <c r="E1333">
        <v>50</v>
      </c>
      <c r="F1333">
        <v>47.683383941999999</v>
      </c>
      <c r="G1333">
        <v>1373.2064209</v>
      </c>
      <c r="H1333">
        <v>1358.2734375</v>
      </c>
      <c r="I1333">
        <v>1324.3520507999999</v>
      </c>
      <c r="J1333">
        <v>1321.0666504000001</v>
      </c>
      <c r="K1333">
        <v>1200</v>
      </c>
      <c r="L1333">
        <v>0</v>
      </c>
      <c r="M1333">
        <v>0</v>
      </c>
      <c r="N1333">
        <v>1200</v>
      </c>
    </row>
    <row r="1334" spans="1:14" x14ac:dyDescent="0.25">
      <c r="A1334">
        <v>1485.45713</v>
      </c>
      <c r="B1334" s="1">
        <f>DATE(2014,5,25) + TIME(10,58,16)</f>
        <v>41784.457129629627</v>
      </c>
      <c r="C1334">
        <v>80</v>
      </c>
      <c r="D1334">
        <v>79.807525635000005</v>
      </c>
      <c r="E1334">
        <v>50</v>
      </c>
      <c r="F1334">
        <v>47.625209808000001</v>
      </c>
      <c r="G1334">
        <v>1373.1506348</v>
      </c>
      <c r="H1334">
        <v>1358.2319336</v>
      </c>
      <c r="I1334">
        <v>1324.3420410000001</v>
      </c>
      <c r="J1334">
        <v>1321.052124</v>
      </c>
      <c r="K1334">
        <v>1200</v>
      </c>
      <c r="L1334">
        <v>0</v>
      </c>
      <c r="M1334">
        <v>0</v>
      </c>
      <c r="N1334">
        <v>1200</v>
      </c>
    </row>
    <row r="1335" spans="1:14" x14ac:dyDescent="0.25">
      <c r="A1335">
        <v>1486.346497</v>
      </c>
      <c r="B1335" s="1">
        <f>DATE(2014,5,26) + TIME(8,18,57)</f>
        <v>41785.346493055556</v>
      </c>
      <c r="C1335">
        <v>80</v>
      </c>
      <c r="D1335">
        <v>79.808059692</v>
      </c>
      <c r="E1335">
        <v>50</v>
      </c>
      <c r="F1335">
        <v>47.566844940000003</v>
      </c>
      <c r="G1335">
        <v>1373.0959473</v>
      </c>
      <c r="H1335">
        <v>1358.1911620999999</v>
      </c>
      <c r="I1335">
        <v>1324.3317870999999</v>
      </c>
      <c r="J1335">
        <v>1321.0373535000001</v>
      </c>
      <c r="K1335">
        <v>1200</v>
      </c>
      <c r="L1335">
        <v>0</v>
      </c>
      <c r="M1335">
        <v>0</v>
      </c>
      <c r="N1335">
        <v>1200</v>
      </c>
    </row>
    <row r="1336" spans="1:14" x14ac:dyDescent="0.25">
      <c r="A1336">
        <v>1487.2560140000001</v>
      </c>
      <c r="B1336" s="1">
        <f>DATE(2014,5,27) + TIME(6,8,39)</f>
        <v>41786.256006944444</v>
      </c>
      <c r="C1336">
        <v>80</v>
      </c>
      <c r="D1336">
        <v>79.808494568</v>
      </c>
      <c r="E1336">
        <v>50</v>
      </c>
      <c r="F1336">
        <v>47.50812912</v>
      </c>
      <c r="G1336">
        <v>1373.0419922000001</v>
      </c>
      <c r="H1336">
        <v>1358.1511230000001</v>
      </c>
      <c r="I1336">
        <v>1324.3212891000001</v>
      </c>
      <c r="J1336">
        <v>1321.0220947</v>
      </c>
      <c r="K1336">
        <v>1200</v>
      </c>
      <c r="L1336">
        <v>0</v>
      </c>
      <c r="M1336">
        <v>0</v>
      </c>
      <c r="N1336">
        <v>1200</v>
      </c>
    </row>
    <row r="1337" spans="1:14" x14ac:dyDescent="0.25">
      <c r="A1337">
        <v>1488.1895830000001</v>
      </c>
      <c r="B1337" s="1">
        <f>DATE(2014,5,28) + TIME(4,32,59)</f>
        <v>41787.189571759256</v>
      </c>
      <c r="C1337">
        <v>80</v>
      </c>
      <c r="D1337">
        <v>79.808868407999995</v>
      </c>
      <c r="E1337">
        <v>50</v>
      </c>
      <c r="F1337">
        <v>47.448905945</v>
      </c>
      <c r="G1337">
        <v>1372.9885254000001</v>
      </c>
      <c r="H1337">
        <v>1358.1113281</v>
      </c>
      <c r="I1337">
        <v>1324.3105469</v>
      </c>
      <c r="J1337">
        <v>1321.0065918</v>
      </c>
      <c r="K1337">
        <v>1200</v>
      </c>
      <c r="L1337">
        <v>0</v>
      </c>
      <c r="M1337">
        <v>0</v>
      </c>
      <c r="N1337">
        <v>1200</v>
      </c>
    </row>
    <row r="1338" spans="1:14" x14ac:dyDescent="0.25">
      <c r="A1338">
        <v>1489.1518209999999</v>
      </c>
      <c r="B1338" s="1">
        <f>DATE(2014,5,29) + TIME(3,38,37)</f>
        <v>41788.151817129627</v>
      </c>
      <c r="C1338">
        <v>80</v>
      </c>
      <c r="D1338">
        <v>79.809181213000002</v>
      </c>
      <c r="E1338">
        <v>50</v>
      </c>
      <c r="F1338">
        <v>47.388992309999999</v>
      </c>
      <c r="G1338">
        <v>1372.9351807</v>
      </c>
      <c r="H1338">
        <v>1358.0717772999999</v>
      </c>
      <c r="I1338">
        <v>1324.2995605000001</v>
      </c>
      <c r="J1338">
        <v>1320.9906006000001</v>
      </c>
      <c r="K1338">
        <v>1200</v>
      </c>
      <c r="L1338">
        <v>0</v>
      </c>
      <c r="M1338">
        <v>0</v>
      </c>
      <c r="N1338">
        <v>1200</v>
      </c>
    </row>
    <row r="1339" spans="1:14" x14ac:dyDescent="0.25">
      <c r="A1339">
        <v>1490.147856</v>
      </c>
      <c r="B1339" s="1">
        <f>DATE(2014,5,30) + TIME(3,32,54)</f>
        <v>41789.147847222222</v>
      </c>
      <c r="C1339">
        <v>80</v>
      </c>
      <c r="D1339">
        <v>79.809455872000001</v>
      </c>
      <c r="E1339">
        <v>50</v>
      </c>
      <c r="F1339">
        <v>47.328186035000002</v>
      </c>
      <c r="G1339">
        <v>1372.8818358999999</v>
      </c>
      <c r="H1339">
        <v>1358.0322266000001</v>
      </c>
      <c r="I1339">
        <v>1324.2882079999999</v>
      </c>
      <c r="J1339">
        <v>1320.973999</v>
      </c>
      <c r="K1339">
        <v>1200</v>
      </c>
      <c r="L1339">
        <v>0</v>
      </c>
      <c r="M1339">
        <v>0</v>
      </c>
      <c r="N1339">
        <v>1200</v>
      </c>
    </row>
    <row r="1340" spans="1:14" x14ac:dyDescent="0.25">
      <c r="A1340">
        <v>1491.1834260000001</v>
      </c>
      <c r="B1340" s="1">
        <f>DATE(2014,5,31) + TIME(4,24,8)</f>
        <v>41790.183425925927</v>
      </c>
      <c r="C1340">
        <v>80</v>
      </c>
      <c r="D1340">
        <v>79.809707642000006</v>
      </c>
      <c r="E1340">
        <v>50</v>
      </c>
      <c r="F1340">
        <v>47.266273499</v>
      </c>
      <c r="G1340">
        <v>1372.8282471</v>
      </c>
      <c r="H1340">
        <v>1357.9924315999999</v>
      </c>
      <c r="I1340">
        <v>1324.2764893000001</v>
      </c>
      <c r="J1340">
        <v>1320.9569091999999</v>
      </c>
      <c r="K1340">
        <v>1200</v>
      </c>
      <c r="L1340">
        <v>0</v>
      </c>
      <c r="M1340">
        <v>0</v>
      </c>
      <c r="N1340">
        <v>1200</v>
      </c>
    </row>
    <row r="1341" spans="1:14" x14ac:dyDescent="0.25">
      <c r="A1341">
        <v>1492</v>
      </c>
      <c r="B1341" s="1">
        <f>DATE(2014,6,1) + TIME(0,0,0)</f>
        <v>41791</v>
      </c>
      <c r="C1341">
        <v>80</v>
      </c>
      <c r="D1341">
        <v>79.809867858999993</v>
      </c>
      <c r="E1341">
        <v>50</v>
      </c>
      <c r="F1341">
        <v>47.214946746999999</v>
      </c>
      <c r="G1341">
        <v>1372.7740478999999</v>
      </c>
      <c r="H1341">
        <v>1357.9522704999999</v>
      </c>
      <c r="I1341">
        <v>1324.2642822</v>
      </c>
      <c r="J1341">
        <v>1320.9396973</v>
      </c>
      <c r="K1341">
        <v>1200</v>
      </c>
      <c r="L1341">
        <v>0</v>
      </c>
      <c r="M1341">
        <v>0</v>
      </c>
      <c r="N1341">
        <v>1200</v>
      </c>
    </row>
    <row r="1342" spans="1:14" x14ac:dyDescent="0.25">
      <c r="A1342">
        <v>1493.081678</v>
      </c>
      <c r="B1342" s="1">
        <f>DATE(2014,6,2) + TIME(1,57,36)</f>
        <v>41792.081666666665</v>
      </c>
      <c r="C1342">
        <v>80</v>
      </c>
      <c r="D1342">
        <v>79.810081482000001</v>
      </c>
      <c r="E1342">
        <v>50</v>
      </c>
      <c r="F1342">
        <v>47.153133392000001</v>
      </c>
      <c r="G1342">
        <v>1372.7326660000001</v>
      </c>
      <c r="H1342">
        <v>1357.9216309000001</v>
      </c>
      <c r="I1342">
        <v>1324.2543945</v>
      </c>
      <c r="J1342">
        <v>1320.9246826000001</v>
      </c>
      <c r="K1342">
        <v>1200</v>
      </c>
      <c r="L1342">
        <v>0</v>
      </c>
      <c r="M1342">
        <v>0</v>
      </c>
      <c r="N1342">
        <v>1200</v>
      </c>
    </row>
    <row r="1343" spans="1:14" x14ac:dyDescent="0.25">
      <c r="A1343">
        <v>1494.212759</v>
      </c>
      <c r="B1343" s="1">
        <f>DATE(2014,6,3) + TIME(5,6,22)</f>
        <v>41793.212754629632</v>
      </c>
      <c r="C1343">
        <v>80</v>
      </c>
      <c r="D1343">
        <v>79.810287475999999</v>
      </c>
      <c r="E1343">
        <v>50</v>
      </c>
      <c r="F1343">
        <v>47.089763640999998</v>
      </c>
      <c r="G1343">
        <v>1372.6790771000001</v>
      </c>
      <c r="H1343">
        <v>1357.8819579999999</v>
      </c>
      <c r="I1343">
        <v>1324.2416992000001</v>
      </c>
      <c r="J1343">
        <v>1320.9061279</v>
      </c>
      <c r="K1343">
        <v>1200</v>
      </c>
      <c r="L1343">
        <v>0</v>
      </c>
      <c r="M1343">
        <v>0</v>
      </c>
      <c r="N1343">
        <v>1200</v>
      </c>
    </row>
    <row r="1344" spans="1:14" x14ac:dyDescent="0.25">
      <c r="A1344">
        <v>1495.34824</v>
      </c>
      <c r="B1344" s="1">
        <f>DATE(2014,6,4) + TIME(8,21,27)</f>
        <v>41794.348229166666</v>
      </c>
      <c r="C1344">
        <v>80</v>
      </c>
      <c r="D1344">
        <v>79.810478209999999</v>
      </c>
      <c r="E1344">
        <v>50</v>
      </c>
      <c r="F1344">
        <v>47.026679993000002</v>
      </c>
      <c r="G1344">
        <v>1372.6245117000001</v>
      </c>
      <c r="H1344">
        <v>1357.8416748</v>
      </c>
      <c r="I1344">
        <v>1324.2285156</v>
      </c>
      <c r="J1344">
        <v>1320.8868408000001</v>
      </c>
      <c r="K1344">
        <v>1200</v>
      </c>
      <c r="L1344">
        <v>0</v>
      </c>
      <c r="M1344">
        <v>0</v>
      </c>
      <c r="N1344">
        <v>1200</v>
      </c>
    </row>
    <row r="1345" spans="1:14" x14ac:dyDescent="0.25">
      <c r="A1345">
        <v>1496.4933599999999</v>
      </c>
      <c r="B1345" s="1">
        <f>DATE(2014,6,5) + TIME(11,50,26)</f>
        <v>41795.493356481478</v>
      </c>
      <c r="C1345">
        <v>80</v>
      </c>
      <c r="D1345">
        <v>79.810653686999999</v>
      </c>
      <c r="E1345">
        <v>50</v>
      </c>
      <c r="F1345">
        <v>46.96390152</v>
      </c>
      <c r="G1345">
        <v>1372.5714111</v>
      </c>
      <c r="H1345">
        <v>1357.8022461</v>
      </c>
      <c r="I1345">
        <v>1324.2152100000001</v>
      </c>
      <c r="J1345">
        <v>1320.8674315999999</v>
      </c>
      <c r="K1345">
        <v>1200</v>
      </c>
      <c r="L1345">
        <v>0</v>
      </c>
      <c r="M1345">
        <v>0</v>
      </c>
      <c r="N1345">
        <v>1200</v>
      </c>
    </row>
    <row r="1346" spans="1:14" x14ac:dyDescent="0.25">
      <c r="A1346">
        <v>1497.653311</v>
      </c>
      <c r="B1346" s="1">
        <f>DATE(2014,6,6) + TIME(15,40,46)</f>
        <v>41796.653310185182</v>
      </c>
      <c r="C1346">
        <v>80</v>
      </c>
      <c r="D1346">
        <v>79.810829162999994</v>
      </c>
      <c r="E1346">
        <v>50</v>
      </c>
      <c r="F1346">
        <v>46.901378631999997</v>
      </c>
      <c r="G1346">
        <v>1372.5192870999999</v>
      </c>
      <c r="H1346">
        <v>1357.7637939000001</v>
      </c>
      <c r="I1346">
        <v>1324.2016602000001</v>
      </c>
      <c r="J1346">
        <v>1320.8477783000001</v>
      </c>
      <c r="K1346">
        <v>1200</v>
      </c>
      <c r="L1346">
        <v>0</v>
      </c>
      <c r="M1346">
        <v>0</v>
      </c>
      <c r="N1346">
        <v>1200</v>
      </c>
    </row>
    <row r="1347" spans="1:14" x14ac:dyDescent="0.25">
      <c r="A1347">
        <v>1498.8337039999999</v>
      </c>
      <c r="B1347" s="1">
        <f>DATE(2014,6,7) + TIME(20,0,32)</f>
        <v>41797.833703703705</v>
      </c>
      <c r="C1347">
        <v>80</v>
      </c>
      <c r="D1347">
        <v>79.811004639000004</v>
      </c>
      <c r="E1347">
        <v>50</v>
      </c>
      <c r="F1347">
        <v>46.839000702</v>
      </c>
      <c r="G1347">
        <v>1372.4680175999999</v>
      </c>
      <c r="H1347">
        <v>1357.7257079999999</v>
      </c>
      <c r="I1347">
        <v>1324.1881103999999</v>
      </c>
      <c r="J1347">
        <v>1320.8277588000001</v>
      </c>
      <c r="K1347">
        <v>1200</v>
      </c>
      <c r="L1347">
        <v>0</v>
      </c>
      <c r="M1347">
        <v>0</v>
      </c>
      <c r="N1347">
        <v>1200</v>
      </c>
    </row>
    <row r="1348" spans="1:14" x14ac:dyDescent="0.25">
      <c r="A1348">
        <v>1500.0399279999999</v>
      </c>
      <c r="B1348" s="1">
        <f>DATE(2014,6,9) + TIME(0,57,29)</f>
        <v>41799.039918981478</v>
      </c>
      <c r="C1348">
        <v>80</v>
      </c>
      <c r="D1348">
        <v>79.811180114999999</v>
      </c>
      <c r="E1348">
        <v>50</v>
      </c>
      <c r="F1348">
        <v>46.77664566</v>
      </c>
      <c r="G1348">
        <v>1372.4171143000001</v>
      </c>
      <c r="H1348">
        <v>1357.6881103999999</v>
      </c>
      <c r="I1348">
        <v>1324.1743164</v>
      </c>
      <c r="J1348">
        <v>1320.8074951000001</v>
      </c>
      <c r="K1348">
        <v>1200</v>
      </c>
      <c r="L1348">
        <v>0</v>
      </c>
      <c r="M1348">
        <v>0</v>
      </c>
      <c r="N1348">
        <v>1200</v>
      </c>
    </row>
    <row r="1349" spans="1:14" x14ac:dyDescent="0.25">
      <c r="A1349">
        <v>1501.277413</v>
      </c>
      <c r="B1349" s="1">
        <f>DATE(2014,6,10) + TIME(6,39,28)</f>
        <v>41800.277407407404</v>
      </c>
      <c r="C1349">
        <v>80</v>
      </c>
      <c r="D1349">
        <v>79.811363220000004</v>
      </c>
      <c r="E1349">
        <v>50</v>
      </c>
      <c r="F1349">
        <v>46.714176178000002</v>
      </c>
      <c r="G1349">
        <v>1372.3665771000001</v>
      </c>
      <c r="H1349">
        <v>1357.6506348</v>
      </c>
      <c r="I1349">
        <v>1324.1602783000001</v>
      </c>
      <c r="J1349">
        <v>1320.7867432</v>
      </c>
      <c r="K1349">
        <v>1200</v>
      </c>
      <c r="L1349">
        <v>0</v>
      </c>
      <c r="M1349">
        <v>0</v>
      </c>
      <c r="N1349">
        <v>1200</v>
      </c>
    </row>
    <row r="1350" spans="1:14" x14ac:dyDescent="0.25">
      <c r="A1350">
        <v>1502.5524620000001</v>
      </c>
      <c r="B1350" s="1">
        <f>DATE(2014,6,11) + TIME(13,15,32)</f>
        <v>41801.552453703705</v>
      </c>
      <c r="C1350">
        <v>80</v>
      </c>
      <c r="D1350">
        <v>79.811546325999998</v>
      </c>
      <c r="E1350">
        <v>50</v>
      </c>
      <c r="F1350">
        <v>46.651435851999999</v>
      </c>
      <c r="G1350">
        <v>1372.315918</v>
      </c>
      <c r="H1350">
        <v>1357.6132812000001</v>
      </c>
      <c r="I1350">
        <v>1324.145874</v>
      </c>
      <c r="J1350">
        <v>1320.765625</v>
      </c>
      <c r="K1350">
        <v>1200</v>
      </c>
      <c r="L1350">
        <v>0</v>
      </c>
      <c r="M1350">
        <v>0</v>
      </c>
      <c r="N1350">
        <v>1200</v>
      </c>
    </row>
    <row r="1351" spans="1:14" x14ac:dyDescent="0.25">
      <c r="A1351">
        <v>1503.8720960000001</v>
      </c>
      <c r="B1351" s="1">
        <f>DATE(2014,6,12) + TIME(20,55,49)</f>
        <v>41802.872094907405</v>
      </c>
      <c r="C1351">
        <v>80</v>
      </c>
      <c r="D1351">
        <v>79.811737061000002</v>
      </c>
      <c r="E1351">
        <v>50</v>
      </c>
      <c r="F1351">
        <v>46.588249206999997</v>
      </c>
      <c r="G1351">
        <v>1372.2651367000001</v>
      </c>
      <c r="H1351">
        <v>1357.5756836</v>
      </c>
      <c r="I1351">
        <v>1324.1312256000001</v>
      </c>
      <c r="J1351">
        <v>1320.7438964999999</v>
      </c>
      <c r="K1351">
        <v>1200</v>
      </c>
      <c r="L1351">
        <v>0</v>
      </c>
      <c r="M1351">
        <v>0</v>
      </c>
      <c r="N1351">
        <v>1200</v>
      </c>
    </row>
    <row r="1352" spans="1:14" x14ac:dyDescent="0.25">
      <c r="A1352">
        <v>1505.2441960000001</v>
      </c>
      <c r="B1352" s="1">
        <f>DATE(2014,6,14) + TIME(5,51,38)</f>
        <v>41804.244189814817</v>
      </c>
      <c r="C1352">
        <v>80</v>
      </c>
      <c r="D1352">
        <v>79.811935425000001</v>
      </c>
      <c r="E1352">
        <v>50</v>
      </c>
      <c r="F1352">
        <v>46.524425506999997</v>
      </c>
      <c r="G1352">
        <v>1372.2139893000001</v>
      </c>
      <c r="H1352">
        <v>1357.5377197</v>
      </c>
      <c r="I1352">
        <v>1324.1160889</v>
      </c>
      <c r="J1352">
        <v>1320.7215576000001</v>
      </c>
      <c r="K1352">
        <v>1200</v>
      </c>
      <c r="L1352">
        <v>0</v>
      </c>
      <c r="M1352">
        <v>0</v>
      </c>
      <c r="N1352">
        <v>1200</v>
      </c>
    </row>
    <row r="1353" spans="1:14" x14ac:dyDescent="0.25">
      <c r="A1353">
        <v>1506.6779469999999</v>
      </c>
      <c r="B1353" s="1">
        <f>DATE(2014,6,15) + TIME(16,16,14)</f>
        <v>41805.677939814814</v>
      </c>
      <c r="C1353">
        <v>80</v>
      </c>
      <c r="D1353">
        <v>79.812141417999996</v>
      </c>
      <c r="E1353">
        <v>50</v>
      </c>
      <c r="F1353">
        <v>46.459770202999998</v>
      </c>
      <c r="G1353">
        <v>1372.1621094</v>
      </c>
      <c r="H1353">
        <v>1357.4992675999999</v>
      </c>
      <c r="I1353">
        <v>1324.1004639</v>
      </c>
      <c r="J1353">
        <v>1320.6983643000001</v>
      </c>
      <c r="K1353">
        <v>1200</v>
      </c>
      <c r="L1353">
        <v>0</v>
      </c>
      <c r="M1353">
        <v>0</v>
      </c>
      <c r="N1353">
        <v>1200</v>
      </c>
    </row>
    <row r="1354" spans="1:14" x14ac:dyDescent="0.25">
      <c r="A1354">
        <v>1508.164084</v>
      </c>
      <c r="B1354" s="1">
        <f>DATE(2014,6,17) + TIME(3,56,16)</f>
        <v>41807.164074074077</v>
      </c>
      <c r="C1354">
        <v>80</v>
      </c>
      <c r="D1354">
        <v>79.812362671000002</v>
      </c>
      <c r="E1354">
        <v>50</v>
      </c>
      <c r="F1354">
        <v>46.394630432</v>
      </c>
      <c r="G1354">
        <v>1372.109375</v>
      </c>
      <c r="H1354">
        <v>1357.4602050999999</v>
      </c>
      <c r="I1354">
        <v>1324.0843506000001</v>
      </c>
      <c r="J1354">
        <v>1320.6744385</v>
      </c>
      <c r="K1354">
        <v>1200</v>
      </c>
      <c r="L1354">
        <v>0</v>
      </c>
      <c r="M1354">
        <v>0</v>
      </c>
      <c r="N1354">
        <v>1200</v>
      </c>
    </row>
    <row r="1355" spans="1:14" x14ac:dyDescent="0.25">
      <c r="A1355">
        <v>1509.6534790000001</v>
      </c>
      <c r="B1355" s="1">
        <f>DATE(2014,6,18) + TIME(15,41,0)</f>
        <v>41808.65347222222</v>
      </c>
      <c r="C1355">
        <v>80</v>
      </c>
      <c r="D1355">
        <v>79.812583923000005</v>
      </c>
      <c r="E1355">
        <v>50</v>
      </c>
      <c r="F1355">
        <v>46.330513000000003</v>
      </c>
      <c r="G1355">
        <v>1372.0560303</v>
      </c>
      <c r="H1355">
        <v>1357.4205322</v>
      </c>
      <c r="I1355">
        <v>1324.067749</v>
      </c>
      <c r="J1355">
        <v>1320.6497803</v>
      </c>
      <c r="K1355">
        <v>1200</v>
      </c>
      <c r="L1355">
        <v>0</v>
      </c>
      <c r="M1355">
        <v>0</v>
      </c>
      <c r="N1355">
        <v>1200</v>
      </c>
    </row>
    <row r="1356" spans="1:14" x14ac:dyDescent="0.25">
      <c r="A1356">
        <v>1511.1531319999999</v>
      </c>
      <c r="B1356" s="1">
        <f>DATE(2014,6,20) + TIME(3,40,30)</f>
        <v>41810.153124999997</v>
      </c>
      <c r="C1356">
        <v>80</v>
      </c>
      <c r="D1356">
        <v>79.812797545999999</v>
      </c>
      <c r="E1356">
        <v>50</v>
      </c>
      <c r="F1356">
        <v>46.267539978000002</v>
      </c>
      <c r="G1356">
        <v>1372.0039062000001</v>
      </c>
      <c r="H1356">
        <v>1357.3819579999999</v>
      </c>
      <c r="I1356">
        <v>1324.0511475000001</v>
      </c>
      <c r="J1356">
        <v>1320.6251221</v>
      </c>
      <c r="K1356">
        <v>1200</v>
      </c>
      <c r="L1356">
        <v>0</v>
      </c>
      <c r="M1356">
        <v>0</v>
      </c>
      <c r="N1356">
        <v>1200</v>
      </c>
    </row>
    <row r="1357" spans="1:14" x14ac:dyDescent="0.25">
      <c r="A1357">
        <v>1512.670022</v>
      </c>
      <c r="B1357" s="1">
        <f>DATE(2014,6,21) + TIME(16,4,49)</f>
        <v>41811.670011574075</v>
      </c>
      <c r="C1357">
        <v>80</v>
      </c>
      <c r="D1357">
        <v>79.813018799000005</v>
      </c>
      <c r="E1357">
        <v>50</v>
      </c>
      <c r="F1357">
        <v>46.205711364999999</v>
      </c>
      <c r="G1357">
        <v>1371.9528809000001</v>
      </c>
      <c r="H1357">
        <v>1357.3439940999999</v>
      </c>
      <c r="I1357">
        <v>1324.034668</v>
      </c>
      <c r="J1357">
        <v>1320.6004639</v>
      </c>
      <c r="K1357">
        <v>1200</v>
      </c>
      <c r="L1357">
        <v>0</v>
      </c>
      <c r="M1357">
        <v>0</v>
      </c>
      <c r="N1357">
        <v>1200</v>
      </c>
    </row>
    <row r="1358" spans="1:14" x14ac:dyDescent="0.25">
      <c r="A1358">
        <v>1514.211104</v>
      </c>
      <c r="B1358" s="1">
        <f>DATE(2014,6,23) + TIME(5,3,59)</f>
        <v>41813.211099537039</v>
      </c>
      <c r="C1358">
        <v>80</v>
      </c>
      <c r="D1358">
        <v>79.813247681000007</v>
      </c>
      <c r="E1358">
        <v>50</v>
      </c>
      <c r="F1358">
        <v>46.144969940000003</v>
      </c>
      <c r="G1358">
        <v>1371.9024658000001</v>
      </c>
      <c r="H1358">
        <v>1357.3063964999999</v>
      </c>
      <c r="I1358">
        <v>1324.0180664</v>
      </c>
      <c r="J1358">
        <v>1320.5756836</v>
      </c>
      <c r="K1358">
        <v>1200</v>
      </c>
      <c r="L1358">
        <v>0</v>
      </c>
      <c r="M1358">
        <v>0</v>
      </c>
      <c r="N1358">
        <v>1200</v>
      </c>
    </row>
    <row r="1359" spans="1:14" x14ac:dyDescent="0.25">
      <c r="A1359">
        <v>1515.784447</v>
      </c>
      <c r="B1359" s="1">
        <f>DATE(2014,6,24) + TIME(18,49,36)</f>
        <v>41814.784444444442</v>
      </c>
      <c r="C1359">
        <v>80</v>
      </c>
      <c r="D1359">
        <v>79.813476562000005</v>
      </c>
      <c r="E1359">
        <v>50</v>
      </c>
      <c r="F1359">
        <v>46.085212708</v>
      </c>
      <c r="G1359">
        <v>1371.8524170000001</v>
      </c>
      <c r="H1359">
        <v>1357.2691649999999</v>
      </c>
      <c r="I1359">
        <v>1324.0014647999999</v>
      </c>
      <c r="J1359">
        <v>1320.5507812000001</v>
      </c>
      <c r="K1359">
        <v>1200</v>
      </c>
      <c r="L1359">
        <v>0</v>
      </c>
      <c r="M1359">
        <v>0</v>
      </c>
      <c r="N1359">
        <v>1200</v>
      </c>
    </row>
    <row r="1360" spans="1:14" x14ac:dyDescent="0.25">
      <c r="A1360">
        <v>1517.3969219999999</v>
      </c>
      <c r="B1360" s="1">
        <f>DATE(2014,6,26) + TIME(9,31,34)</f>
        <v>41816.396921296298</v>
      </c>
      <c r="C1360">
        <v>80</v>
      </c>
      <c r="D1360">
        <v>79.813720703000001</v>
      </c>
      <c r="E1360">
        <v>50</v>
      </c>
      <c r="F1360">
        <v>46.026355743000003</v>
      </c>
      <c r="G1360">
        <v>1371.8026123</v>
      </c>
      <c r="H1360">
        <v>1357.2320557</v>
      </c>
      <c r="I1360">
        <v>1323.9846190999999</v>
      </c>
      <c r="J1360">
        <v>1320.5255127</v>
      </c>
      <c r="K1360">
        <v>1200</v>
      </c>
      <c r="L1360">
        <v>0</v>
      </c>
      <c r="M1360">
        <v>0</v>
      </c>
      <c r="N1360">
        <v>1200</v>
      </c>
    </row>
    <row r="1361" spans="1:14" x14ac:dyDescent="0.25">
      <c r="A1361">
        <v>1519.0566879999999</v>
      </c>
      <c r="B1361" s="1">
        <f>DATE(2014,6,28) + TIME(1,21,37)</f>
        <v>41818.05667824074</v>
      </c>
      <c r="C1361">
        <v>80</v>
      </c>
      <c r="D1361">
        <v>79.813964843999997</v>
      </c>
      <c r="E1361">
        <v>50</v>
      </c>
      <c r="F1361">
        <v>45.968307494999998</v>
      </c>
      <c r="G1361">
        <v>1371.7528076000001</v>
      </c>
      <c r="H1361">
        <v>1357.1948242000001</v>
      </c>
      <c r="I1361">
        <v>1323.9677733999999</v>
      </c>
      <c r="J1361">
        <v>1320.5</v>
      </c>
      <c r="K1361">
        <v>1200</v>
      </c>
      <c r="L1361">
        <v>0</v>
      </c>
      <c r="M1361">
        <v>0</v>
      </c>
      <c r="N1361">
        <v>1200</v>
      </c>
    </row>
    <row r="1362" spans="1:14" x14ac:dyDescent="0.25">
      <c r="A1362">
        <v>1520.772911</v>
      </c>
      <c r="B1362" s="1">
        <f>DATE(2014,6,29) + TIME(18,32,59)</f>
        <v>41819.772905092592</v>
      </c>
      <c r="C1362">
        <v>80</v>
      </c>
      <c r="D1362">
        <v>79.814224242999998</v>
      </c>
      <c r="E1362">
        <v>50</v>
      </c>
      <c r="F1362">
        <v>45.910987853999998</v>
      </c>
      <c r="G1362">
        <v>1371.7026367000001</v>
      </c>
      <c r="H1362">
        <v>1357.1573486</v>
      </c>
      <c r="I1362">
        <v>1323.9505615</v>
      </c>
      <c r="J1362">
        <v>1320.4741211</v>
      </c>
      <c r="K1362">
        <v>1200</v>
      </c>
      <c r="L1362">
        <v>0</v>
      </c>
      <c r="M1362">
        <v>0</v>
      </c>
      <c r="N1362">
        <v>1200</v>
      </c>
    </row>
    <row r="1363" spans="1:14" x14ac:dyDescent="0.25">
      <c r="A1363">
        <v>1522</v>
      </c>
      <c r="B1363" s="1">
        <f>DATE(2014,7,1) + TIME(0,0,0)</f>
        <v>41821</v>
      </c>
      <c r="C1363">
        <v>80</v>
      </c>
      <c r="D1363">
        <v>79.814392089999998</v>
      </c>
      <c r="E1363">
        <v>50</v>
      </c>
      <c r="F1363">
        <v>45.866455078000001</v>
      </c>
      <c r="G1363">
        <v>1371.6518555</v>
      </c>
      <c r="H1363">
        <v>1357.1193848</v>
      </c>
      <c r="I1363">
        <v>1323.9334716999999</v>
      </c>
      <c r="J1363">
        <v>1320.4488524999999</v>
      </c>
      <c r="K1363">
        <v>1200</v>
      </c>
      <c r="L1363">
        <v>0</v>
      </c>
      <c r="M1363">
        <v>0</v>
      </c>
      <c r="N1363">
        <v>1200</v>
      </c>
    </row>
    <row r="1364" spans="1:14" x14ac:dyDescent="0.25">
      <c r="A1364">
        <v>1523.7831040000001</v>
      </c>
      <c r="B1364" s="1">
        <f>DATE(2014,7,2) + TIME(18,47,40)</f>
        <v>41822.783101851855</v>
      </c>
      <c r="C1364">
        <v>80</v>
      </c>
      <c r="D1364">
        <v>79.814666747999993</v>
      </c>
      <c r="E1364">
        <v>50</v>
      </c>
      <c r="F1364">
        <v>45.813392639</v>
      </c>
      <c r="G1364">
        <v>1371.6165771000001</v>
      </c>
      <c r="H1364">
        <v>1357.0928954999999</v>
      </c>
      <c r="I1364">
        <v>1323.9202881000001</v>
      </c>
      <c r="J1364">
        <v>1320.4281006000001</v>
      </c>
      <c r="K1364">
        <v>1200</v>
      </c>
      <c r="L1364">
        <v>0</v>
      </c>
      <c r="M1364">
        <v>0</v>
      </c>
      <c r="N1364">
        <v>1200</v>
      </c>
    </row>
    <row r="1365" spans="1:14" x14ac:dyDescent="0.25">
      <c r="A1365">
        <v>1525.6340150000001</v>
      </c>
      <c r="B1365" s="1">
        <f>DATE(2014,7,4) + TIME(15,12,58)</f>
        <v>41824.634004629632</v>
      </c>
      <c r="C1365">
        <v>80</v>
      </c>
      <c r="D1365">
        <v>79.814949036000002</v>
      </c>
      <c r="E1365">
        <v>50</v>
      </c>
      <c r="F1365">
        <v>45.760551452999998</v>
      </c>
      <c r="G1365">
        <v>1371.5661620999999</v>
      </c>
      <c r="H1365">
        <v>1357.0550536999999</v>
      </c>
      <c r="I1365">
        <v>1323.9029541</v>
      </c>
      <c r="J1365">
        <v>1320.4017334</v>
      </c>
      <c r="K1365">
        <v>1200</v>
      </c>
      <c r="L1365">
        <v>0</v>
      </c>
      <c r="M1365">
        <v>0</v>
      </c>
      <c r="N1365">
        <v>1200</v>
      </c>
    </row>
    <row r="1366" spans="1:14" x14ac:dyDescent="0.25">
      <c r="A1366">
        <v>1527.4967280000001</v>
      </c>
      <c r="B1366" s="1">
        <f>DATE(2014,7,6) + TIME(11,55,17)</f>
        <v>41826.496724537035</v>
      </c>
      <c r="C1366">
        <v>80</v>
      </c>
      <c r="D1366">
        <v>79.815231323000006</v>
      </c>
      <c r="E1366">
        <v>50</v>
      </c>
      <c r="F1366">
        <v>45.709308624000002</v>
      </c>
      <c r="G1366">
        <v>1371.5147704999999</v>
      </c>
      <c r="H1366">
        <v>1357.0164795000001</v>
      </c>
      <c r="I1366">
        <v>1323.885376</v>
      </c>
      <c r="J1366">
        <v>1320.3747559000001</v>
      </c>
      <c r="K1366">
        <v>1200</v>
      </c>
      <c r="L1366">
        <v>0</v>
      </c>
      <c r="M1366">
        <v>0</v>
      </c>
      <c r="N1366">
        <v>1200</v>
      </c>
    </row>
    <row r="1367" spans="1:14" x14ac:dyDescent="0.25">
      <c r="A1367">
        <v>1529.380185</v>
      </c>
      <c r="B1367" s="1">
        <f>DATE(2014,7,8) + TIME(9,7,27)</f>
        <v>41828.380173611113</v>
      </c>
      <c r="C1367">
        <v>80</v>
      </c>
      <c r="D1367">
        <v>79.815521239999995</v>
      </c>
      <c r="E1367">
        <v>50</v>
      </c>
      <c r="F1367">
        <v>45.660049438000001</v>
      </c>
      <c r="G1367">
        <v>1371.4643555</v>
      </c>
      <c r="H1367">
        <v>1356.9785156</v>
      </c>
      <c r="I1367">
        <v>1323.8677978999999</v>
      </c>
      <c r="J1367">
        <v>1320.3479004000001</v>
      </c>
      <c r="K1367">
        <v>1200</v>
      </c>
      <c r="L1367">
        <v>0</v>
      </c>
      <c r="M1367">
        <v>0</v>
      </c>
      <c r="N1367">
        <v>1200</v>
      </c>
    </row>
    <row r="1368" spans="1:14" x14ac:dyDescent="0.25">
      <c r="A1368">
        <v>1531.2933700000001</v>
      </c>
      <c r="B1368" s="1">
        <f>DATE(2014,7,10) + TIME(7,2,27)</f>
        <v>41830.293368055558</v>
      </c>
      <c r="C1368">
        <v>80</v>
      </c>
      <c r="D1368">
        <v>79.815803528000004</v>
      </c>
      <c r="E1368">
        <v>50</v>
      </c>
      <c r="F1368">
        <v>45.612976074000002</v>
      </c>
      <c r="G1368">
        <v>1371.4145507999999</v>
      </c>
      <c r="H1368">
        <v>1356.940918</v>
      </c>
      <c r="I1368">
        <v>1323.8504639</v>
      </c>
      <c r="J1368">
        <v>1320.3211670000001</v>
      </c>
      <c r="K1368">
        <v>1200</v>
      </c>
      <c r="L1368">
        <v>0</v>
      </c>
      <c r="M1368">
        <v>0</v>
      </c>
      <c r="N1368">
        <v>1200</v>
      </c>
    </row>
    <row r="1369" spans="1:14" x14ac:dyDescent="0.25">
      <c r="A1369">
        <v>1533.2464</v>
      </c>
      <c r="B1369" s="1">
        <f>DATE(2014,7,12) + TIME(5,54,48)</f>
        <v>41832.246388888889</v>
      </c>
      <c r="C1369">
        <v>80</v>
      </c>
      <c r="D1369">
        <v>79.816101074000002</v>
      </c>
      <c r="E1369">
        <v>50</v>
      </c>
      <c r="F1369">
        <v>45.568191528</v>
      </c>
      <c r="G1369">
        <v>1371.3649902</v>
      </c>
      <c r="H1369">
        <v>1356.9035644999999</v>
      </c>
      <c r="I1369">
        <v>1323.8331298999999</v>
      </c>
      <c r="J1369">
        <v>1320.2945557</v>
      </c>
      <c r="K1369">
        <v>1200</v>
      </c>
      <c r="L1369">
        <v>0</v>
      </c>
      <c r="M1369">
        <v>0</v>
      </c>
      <c r="N1369">
        <v>1200</v>
      </c>
    </row>
    <row r="1370" spans="1:14" x14ac:dyDescent="0.25">
      <c r="A1370">
        <v>1535.2487980000001</v>
      </c>
      <c r="B1370" s="1">
        <f>DATE(2014,7,14) + TIME(5,58,16)</f>
        <v>41834.248796296299</v>
      </c>
      <c r="C1370">
        <v>80</v>
      </c>
      <c r="D1370">
        <v>79.816398621000005</v>
      </c>
      <c r="E1370">
        <v>50</v>
      </c>
      <c r="F1370">
        <v>45.525783539000003</v>
      </c>
      <c r="G1370">
        <v>1371.3155518000001</v>
      </c>
      <c r="H1370">
        <v>1356.8660889</v>
      </c>
      <c r="I1370">
        <v>1323.8160399999999</v>
      </c>
      <c r="J1370">
        <v>1320.2679443</v>
      </c>
      <c r="K1370">
        <v>1200</v>
      </c>
      <c r="L1370">
        <v>0</v>
      </c>
      <c r="M1370">
        <v>0</v>
      </c>
      <c r="N1370">
        <v>1200</v>
      </c>
    </row>
    <row r="1371" spans="1:14" x14ac:dyDescent="0.25">
      <c r="A1371">
        <v>1537.310798</v>
      </c>
      <c r="B1371" s="1">
        <f>DATE(2014,7,16) + TIME(7,27,32)</f>
        <v>41836.310787037037</v>
      </c>
      <c r="C1371">
        <v>80</v>
      </c>
      <c r="D1371">
        <v>79.816703795999999</v>
      </c>
      <c r="E1371">
        <v>50</v>
      </c>
      <c r="F1371">
        <v>45.485851287999999</v>
      </c>
      <c r="G1371">
        <v>1371.2659911999999</v>
      </c>
      <c r="H1371">
        <v>1356.8284911999999</v>
      </c>
      <c r="I1371">
        <v>1323.7989502</v>
      </c>
      <c r="J1371">
        <v>1320.2413329999999</v>
      </c>
      <c r="K1371">
        <v>1200</v>
      </c>
      <c r="L1371">
        <v>0</v>
      </c>
      <c r="M1371">
        <v>0</v>
      </c>
      <c r="N1371">
        <v>1200</v>
      </c>
    </row>
    <row r="1372" spans="1:14" x14ac:dyDescent="0.25">
      <c r="A1372">
        <v>1539.4443200000001</v>
      </c>
      <c r="B1372" s="1">
        <f>DATE(2014,7,18) + TIME(10,39,49)</f>
        <v>41838.44431712963</v>
      </c>
      <c r="C1372">
        <v>80</v>
      </c>
      <c r="D1372">
        <v>79.817024231000005</v>
      </c>
      <c r="E1372">
        <v>50</v>
      </c>
      <c r="F1372">
        <v>45.448528289999999</v>
      </c>
      <c r="G1372">
        <v>1371.2159423999999</v>
      </c>
      <c r="H1372">
        <v>1356.7905272999999</v>
      </c>
      <c r="I1372">
        <v>1323.7818603999999</v>
      </c>
      <c r="J1372">
        <v>1320.2145995999999</v>
      </c>
      <c r="K1372">
        <v>1200</v>
      </c>
      <c r="L1372">
        <v>0</v>
      </c>
      <c r="M1372">
        <v>0</v>
      </c>
      <c r="N1372">
        <v>1200</v>
      </c>
    </row>
    <row r="1373" spans="1:14" x14ac:dyDescent="0.25">
      <c r="A1373">
        <v>1541.66059</v>
      </c>
      <c r="B1373" s="1">
        <f>DATE(2014,7,20) + TIME(15,51,15)</f>
        <v>41840.660590277781</v>
      </c>
      <c r="C1373">
        <v>80</v>
      </c>
      <c r="D1373">
        <v>79.817359924000002</v>
      </c>
      <c r="E1373">
        <v>50</v>
      </c>
      <c r="F1373">
        <v>45.414016724</v>
      </c>
      <c r="G1373">
        <v>1371.1652832</v>
      </c>
      <c r="H1373">
        <v>1356.7519531</v>
      </c>
      <c r="I1373">
        <v>1323.7648925999999</v>
      </c>
      <c r="J1373">
        <v>1320.1878661999999</v>
      </c>
      <c r="K1373">
        <v>1200</v>
      </c>
      <c r="L1373">
        <v>0</v>
      </c>
      <c r="M1373">
        <v>0</v>
      </c>
      <c r="N1373">
        <v>1200</v>
      </c>
    </row>
    <row r="1374" spans="1:14" x14ac:dyDescent="0.25">
      <c r="A1374">
        <v>1543.960793</v>
      </c>
      <c r="B1374" s="1">
        <f>DATE(2014,7,22) + TIME(23,3,32)</f>
        <v>41842.960787037038</v>
      </c>
      <c r="C1374">
        <v>80</v>
      </c>
      <c r="D1374">
        <v>79.817695618000002</v>
      </c>
      <c r="E1374">
        <v>50</v>
      </c>
      <c r="F1374">
        <v>45.382682799999998</v>
      </c>
      <c r="G1374">
        <v>1371.1138916</v>
      </c>
      <c r="H1374">
        <v>1356.7126464999999</v>
      </c>
      <c r="I1374">
        <v>1323.7479248</v>
      </c>
      <c r="J1374">
        <v>1320.1608887</v>
      </c>
      <c r="K1374">
        <v>1200</v>
      </c>
      <c r="L1374">
        <v>0</v>
      </c>
      <c r="M1374">
        <v>0</v>
      </c>
      <c r="N1374">
        <v>1200</v>
      </c>
    </row>
    <row r="1375" spans="1:14" x14ac:dyDescent="0.25">
      <c r="A1375">
        <v>1546.276284</v>
      </c>
      <c r="B1375" s="1">
        <f>DATE(2014,7,25) + TIME(6,37,50)</f>
        <v>41845.276273148149</v>
      </c>
      <c r="C1375">
        <v>80</v>
      </c>
      <c r="D1375">
        <v>79.818038939999994</v>
      </c>
      <c r="E1375">
        <v>50</v>
      </c>
      <c r="F1375">
        <v>45.355400084999999</v>
      </c>
      <c r="G1375">
        <v>1371.0615233999999</v>
      </c>
      <c r="H1375">
        <v>1356.6727295000001</v>
      </c>
      <c r="I1375">
        <v>1323.730957</v>
      </c>
      <c r="J1375">
        <v>1320.1340332</v>
      </c>
      <c r="K1375">
        <v>1200</v>
      </c>
      <c r="L1375">
        <v>0</v>
      </c>
      <c r="M1375">
        <v>0</v>
      </c>
      <c r="N1375">
        <v>1200</v>
      </c>
    </row>
    <row r="1376" spans="1:14" x14ac:dyDescent="0.25">
      <c r="A1376">
        <v>1548.612811</v>
      </c>
      <c r="B1376" s="1">
        <f>DATE(2014,7,27) + TIME(14,42,26)</f>
        <v>41847.612800925926</v>
      </c>
      <c r="C1376">
        <v>80</v>
      </c>
      <c r="D1376">
        <v>79.818382263000004</v>
      </c>
      <c r="E1376">
        <v>50</v>
      </c>
      <c r="F1376">
        <v>45.332527161000002</v>
      </c>
      <c r="G1376">
        <v>1371.0100098</v>
      </c>
      <c r="H1376">
        <v>1356.6333007999999</v>
      </c>
      <c r="I1376">
        <v>1323.7145995999999</v>
      </c>
      <c r="J1376">
        <v>1320.1077881000001</v>
      </c>
      <c r="K1376">
        <v>1200</v>
      </c>
      <c r="L1376">
        <v>0</v>
      </c>
      <c r="M1376">
        <v>0</v>
      </c>
      <c r="N1376">
        <v>1200</v>
      </c>
    </row>
    <row r="1377" spans="1:14" x14ac:dyDescent="0.25">
      <c r="A1377">
        <v>1550.982047</v>
      </c>
      <c r="B1377" s="1">
        <f>DATE(2014,7,29) + TIME(23,34,8)</f>
        <v>41849.982037037036</v>
      </c>
      <c r="C1377">
        <v>80</v>
      </c>
      <c r="D1377">
        <v>79.818725585999999</v>
      </c>
      <c r="E1377">
        <v>50</v>
      </c>
      <c r="F1377">
        <v>45.314304352000001</v>
      </c>
      <c r="G1377">
        <v>1370.9591064000001</v>
      </c>
      <c r="H1377">
        <v>1356.5941161999999</v>
      </c>
      <c r="I1377">
        <v>1323.6989745999999</v>
      </c>
      <c r="J1377">
        <v>1320.0823975000001</v>
      </c>
      <c r="K1377">
        <v>1200</v>
      </c>
      <c r="L1377">
        <v>0</v>
      </c>
      <c r="M1377">
        <v>0</v>
      </c>
      <c r="N1377">
        <v>1200</v>
      </c>
    </row>
    <row r="1378" spans="1:14" x14ac:dyDescent="0.25">
      <c r="A1378">
        <v>1553</v>
      </c>
      <c r="B1378" s="1">
        <f>DATE(2014,8,1) + TIME(0,0,0)</f>
        <v>41852</v>
      </c>
      <c r="C1378">
        <v>80</v>
      </c>
      <c r="D1378">
        <v>79.819000243999994</v>
      </c>
      <c r="E1378">
        <v>50</v>
      </c>
      <c r="F1378">
        <v>45.302207946999999</v>
      </c>
      <c r="G1378">
        <v>1370.9085693</v>
      </c>
      <c r="H1378">
        <v>1356.5551757999999</v>
      </c>
      <c r="I1378">
        <v>1323.684082</v>
      </c>
      <c r="J1378">
        <v>1320.0581055</v>
      </c>
      <c r="K1378">
        <v>1200</v>
      </c>
      <c r="L1378">
        <v>0</v>
      </c>
      <c r="M1378">
        <v>0</v>
      </c>
      <c r="N1378">
        <v>1200</v>
      </c>
    </row>
    <row r="1379" spans="1:14" x14ac:dyDescent="0.25">
      <c r="A1379">
        <v>1555.4138049999999</v>
      </c>
      <c r="B1379" s="1">
        <f>DATE(2014,8,3) + TIME(9,55,52)</f>
        <v>41854.4137962963</v>
      </c>
      <c r="C1379">
        <v>80</v>
      </c>
      <c r="D1379">
        <v>79.819358825999998</v>
      </c>
      <c r="E1379">
        <v>50</v>
      </c>
      <c r="F1379">
        <v>45.293704986999998</v>
      </c>
      <c r="G1379">
        <v>1370.8664550999999</v>
      </c>
      <c r="H1379">
        <v>1356.5225829999999</v>
      </c>
      <c r="I1379">
        <v>1323.6711425999999</v>
      </c>
      <c r="J1379">
        <v>1320.0369873</v>
      </c>
      <c r="K1379">
        <v>1200</v>
      </c>
      <c r="L1379">
        <v>0</v>
      </c>
      <c r="M1379">
        <v>0</v>
      </c>
      <c r="N1379">
        <v>1200</v>
      </c>
    </row>
    <row r="1380" spans="1:14" x14ac:dyDescent="0.25">
      <c r="A1380">
        <v>1557.944825</v>
      </c>
      <c r="B1380" s="1">
        <f>DATE(2014,8,5) + TIME(22,40,32)</f>
        <v>41856.944814814815</v>
      </c>
      <c r="C1380">
        <v>80</v>
      </c>
      <c r="D1380">
        <v>79.819725036999998</v>
      </c>
      <c r="E1380">
        <v>50</v>
      </c>
      <c r="F1380">
        <v>45.290287018000001</v>
      </c>
      <c r="G1380">
        <v>1370.8168945</v>
      </c>
      <c r="H1380">
        <v>1356.4842529</v>
      </c>
      <c r="I1380">
        <v>1323.6574707</v>
      </c>
      <c r="J1380">
        <v>1320.0142822</v>
      </c>
      <c r="K1380">
        <v>1200</v>
      </c>
      <c r="L1380">
        <v>0</v>
      </c>
      <c r="M1380">
        <v>0</v>
      </c>
      <c r="N1380">
        <v>1200</v>
      </c>
    </row>
    <row r="1381" spans="1:14" x14ac:dyDescent="0.25">
      <c r="A1381">
        <v>1560.557237</v>
      </c>
      <c r="B1381" s="1">
        <f>DATE(2014,8,8) + TIME(13,22,25)</f>
        <v>41859.557233796295</v>
      </c>
      <c r="C1381">
        <v>80</v>
      </c>
      <c r="D1381">
        <v>79.820091247999997</v>
      </c>
      <c r="E1381">
        <v>50</v>
      </c>
      <c r="F1381">
        <v>45.292667389000002</v>
      </c>
      <c r="G1381">
        <v>1370.7658690999999</v>
      </c>
      <c r="H1381">
        <v>1356.4448242000001</v>
      </c>
      <c r="I1381">
        <v>1323.6441649999999</v>
      </c>
      <c r="J1381">
        <v>1319.9916992000001</v>
      </c>
      <c r="K1381">
        <v>1200</v>
      </c>
      <c r="L1381">
        <v>0</v>
      </c>
      <c r="M1381">
        <v>0</v>
      </c>
      <c r="N1381">
        <v>1200</v>
      </c>
    </row>
    <row r="1382" spans="1:14" x14ac:dyDescent="0.25">
      <c r="A1382">
        <v>1563.2573170000001</v>
      </c>
      <c r="B1382" s="1">
        <f>DATE(2014,8,11) + TIME(6,10,32)</f>
        <v>41862.257314814815</v>
      </c>
      <c r="C1382">
        <v>80</v>
      </c>
      <c r="D1382">
        <v>79.820480347</v>
      </c>
      <c r="E1382">
        <v>50</v>
      </c>
      <c r="F1382">
        <v>45.301509856999999</v>
      </c>
      <c r="G1382">
        <v>1370.7143555</v>
      </c>
      <c r="H1382">
        <v>1356.4046631000001</v>
      </c>
      <c r="I1382">
        <v>1323.6313477000001</v>
      </c>
      <c r="J1382">
        <v>1319.9698486</v>
      </c>
      <c r="K1382">
        <v>1200</v>
      </c>
      <c r="L1382">
        <v>0</v>
      </c>
      <c r="M1382">
        <v>0</v>
      </c>
      <c r="N1382">
        <v>1200</v>
      </c>
    </row>
    <row r="1383" spans="1:14" x14ac:dyDescent="0.25">
      <c r="A1383">
        <v>1565.9997310000001</v>
      </c>
      <c r="B1383" s="1">
        <f>DATE(2014,8,13) + TIME(23,59,36)</f>
        <v>41864.999722222223</v>
      </c>
      <c r="C1383">
        <v>80</v>
      </c>
      <c r="D1383">
        <v>79.820861816000004</v>
      </c>
      <c r="E1383">
        <v>50</v>
      </c>
      <c r="F1383">
        <v>45.317428589000002</v>
      </c>
      <c r="G1383">
        <v>1370.6621094</v>
      </c>
      <c r="H1383">
        <v>1356.3640137</v>
      </c>
      <c r="I1383">
        <v>1323.6192627</v>
      </c>
      <c r="J1383">
        <v>1319.9488524999999</v>
      </c>
      <c r="K1383">
        <v>1200</v>
      </c>
      <c r="L1383">
        <v>0</v>
      </c>
      <c r="M1383">
        <v>0</v>
      </c>
      <c r="N1383">
        <v>1200</v>
      </c>
    </row>
    <row r="1384" spans="1:14" x14ac:dyDescent="0.25">
      <c r="A1384">
        <v>1568.799996</v>
      </c>
      <c r="B1384" s="1">
        <f>DATE(2014,8,16) + TIME(19,11,59)</f>
        <v>41867.799988425926</v>
      </c>
      <c r="C1384">
        <v>80</v>
      </c>
      <c r="D1384">
        <v>79.821250915999997</v>
      </c>
      <c r="E1384">
        <v>50</v>
      </c>
      <c r="F1384">
        <v>45.340965271000002</v>
      </c>
      <c r="G1384">
        <v>1370.6101074000001</v>
      </c>
      <c r="H1384">
        <v>1356.3233643000001</v>
      </c>
      <c r="I1384">
        <v>1323.6082764</v>
      </c>
      <c r="J1384">
        <v>1319.9290771000001</v>
      </c>
      <c r="K1384">
        <v>1200</v>
      </c>
      <c r="L1384">
        <v>0</v>
      </c>
      <c r="M1384">
        <v>0</v>
      </c>
      <c r="N1384">
        <v>1200</v>
      </c>
    </row>
    <row r="1385" spans="1:14" x14ac:dyDescent="0.25">
      <c r="A1385">
        <v>1571.6372839999999</v>
      </c>
      <c r="B1385" s="1">
        <f>DATE(2014,8,19) + TIME(15,17,41)</f>
        <v>41870.637280092589</v>
      </c>
      <c r="C1385">
        <v>80</v>
      </c>
      <c r="D1385">
        <v>79.821640015</v>
      </c>
      <c r="E1385">
        <v>50</v>
      </c>
      <c r="F1385">
        <v>45.372615814</v>
      </c>
      <c r="G1385">
        <v>1370.5581055</v>
      </c>
      <c r="H1385">
        <v>1356.2825928</v>
      </c>
      <c r="I1385">
        <v>1323.5981445</v>
      </c>
      <c r="J1385">
        <v>1319.9107666</v>
      </c>
      <c r="K1385">
        <v>1200</v>
      </c>
      <c r="L1385">
        <v>0</v>
      </c>
      <c r="M1385">
        <v>0</v>
      </c>
      <c r="N1385">
        <v>1200</v>
      </c>
    </row>
    <row r="1386" spans="1:14" x14ac:dyDescent="0.25">
      <c r="A1386">
        <v>1574.525627</v>
      </c>
      <c r="B1386" s="1">
        <f>DATE(2014,8,22) + TIME(12,36,54)</f>
        <v>41873.525625000002</v>
      </c>
      <c r="C1386">
        <v>80</v>
      </c>
      <c r="D1386">
        <v>79.822029114000003</v>
      </c>
      <c r="E1386">
        <v>50</v>
      </c>
      <c r="F1386">
        <v>45.412956238</v>
      </c>
      <c r="G1386">
        <v>1370.5064697</v>
      </c>
      <c r="H1386">
        <v>1356.2419434000001</v>
      </c>
      <c r="I1386">
        <v>1323.5893555</v>
      </c>
      <c r="J1386">
        <v>1319.8939209</v>
      </c>
      <c r="K1386">
        <v>1200</v>
      </c>
      <c r="L1386">
        <v>0</v>
      </c>
      <c r="M1386">
        <v>0</v>
      </c>
      <c r="N1386">
        <v>1200</v>
      </c>
    </row>
    <row r="1387" spans="1:14" x14ac:dyDescent="0.25">
      <c r="A1387">
        <v>1577.480746</v>
      </c>
      <c r="B1387" s="1">
        <f>DATE(2014,8,25) + TIME(11,32,16)</f>
        <v>41876.480740740742</v>
      </c>
      <c r="C1387">
        <v>80</v>
      </c>
      <c r="D1387">
        <v>79.822433472</v>
      </c>
      <c r="E1387">
        <v>50</v>
      </c>
      <c r="F1387">
        <v>45.462772369</v>
      </c>
      <c r="G1387">
        <v>1370.4549560999999</v>
      </c>
      <c r="H1387">
        <v>1356.2012939000001</v>
      </c>
      <c r="I1387">
        <v>1323.5816649999999</v>
      </c>
      <c r="J1387">
        <v>1319.8789062000001</v>
      </c>
      <c r="K1387">
        <v>1200</v>
      </c>
      <c r="L1387">
        <v>0</v>
      </c>
      <c r="M1387">
        <v>0</v>
      </c>
      <c r="N1387">
        <v>1200</v>
      </c>
    </row>
    <row r="1388" spans="1:14" x14ac:dyDescent="0.25">
      <c r="A1388">
        <v>1580.5214510000001</v>
      </c>
      <c r="B1388" s="1">
        <f>DATE(2014,8,28) + TIME(12,30,53)</f>
        <v>41879.52144675926</v>
      </c>
      <c r="C1388">
        <v>80</v>
      </c>
      <c r="D1388">
        <v>79.822837829999997</v>
      </c>
      <c r="E1388">
        <v>50</v>
      </c>
      <c r="F1388">
        <v>45.523090363000001</v>
      </c>
      <c r="G1388">
        <v>1370.4031981999999</v>
      </c>
      <c r="H1388">
        <v>1356.1604004000001</v>
      </c>
      <c r="I1388">
        <v>1323.5754394999999</v>
      </c>
      <c r="J1388">
        <v>1319.8656006000001</v>
      </c>
      <c r="K1388">
        <v>1200</v>
      </c>
      <c r="L1388">
        <v>0</v>
      </c>
      <c r="M1388">
        <v>0</v>
      </c>
      <c r="N1388">
        <v>1200</v>
      </c>
    </row>
    <row r="1389" spans="1:14" x14ac:dyDescent="0.25">
      <c r="A1389">
        <v>1583.6649299999999</v>
      </c>
      <c r="B1389" s="1">
        <f>DATE(2014,8,31) + TIME(15,57,29)</f>
        <v>41882.664918981478</v>
      </c>
      <c r="C1389">
        <v>80</v>
      </c>
      <c r="D1389">
        <v>79.823249817000004</v>
      </c>
      <c r="E1389">
        <v>50</v>
      </c>
      <c r="F1389">
        <v>45.595191956000001</v>
      </c>
      <c r="G1389">
        <v>1370.3509521000001</v>
      </c>
      <c r="H1389">
        <v>1356.1190185999999</v>
      </c>
      <c r="I1389">
        <v>1323.5706786999999</v>
      </c>
      <c r="J1389">
        <v>1319.8542480000001</v>
      </c>
      <c r="K1389">
        <v>1200</v>
      </c>
      <c r="L1389">
        <v>0</v>
      </c>
      <c r="M1389">
        <v>0</v>
      </c>
      <c r="N1389">
        <v>1200</v>
      </c>
    </row>
    <row r="1390" spans="1:14" x14ac:dyDescent="0.25">
      <c r="A1390">
        <v>1584</v>
      </c>
      <c r="B1390" s="1">
        <f>DATE(2014,9,1) + TIME(0,0,0)</f>
        <v>41883</v>
      </c>
      <c r="C1390">
        <v>80</v>
      </c>
      <c r="D1390">
        <v>79.823280334000003</v>
      </c>
      <c r="E1390">
        <v>50</v>
      </c>
      <c r="F1390">
        <v>45.613002776999998</v>
      </c>
      <c r="G1390">
        <v>1370.2995605000001</v>
      </c>
      <c r="H1390">
        <v>1356.0786132999999</v>
      </c>
      <c r="I1390">
        <v>1323.5736084</v>
      </c>
      <c r="J1390">
        <v>1319.8487548999999</v>
      </c>
      <c r="K1390">
        <v>1200</v>
      </c>
      <c r="L1390">
        <v>0</v>
      </c>
      <c r="M1390">
        <v>0</v>
      </c>
      <c r="N1390">
        <v>1200</v>
      </c>
    </row>
    <row r="1391" spans="1:14" x14ac:dyDescent="0.25">
      <c r="A1391">
        <v>1587.1874620000001</v>
      </c>
      <c r="B1391" s="1">
        <f>DATE(2014,9,4) + TIME(4,29,56)</f>
        <v>41886.1874537037</v>
      </c>
      <c r="C1391">
        <v>80</v>
      </c>
      <c r="D1391">
        <v>79.823707580999994</v>
      </c>
      <c r="E1391">
        <v>50</v>
      </c>
      <c r="F1391">
        <v>45.693935394</v>
      </c>
      <c r="G1391">
        <v>1370.2922363</v>
      </c>
      <c r="H1391">
        <v>1356.0722656</v>
      </c>
      <c r="I1391">
        <v>1323.5668945</v>
      </c>
      <c r="J1391">
        <v>1319.8442382999999</v>
      </c>
      <c r="K1391">
        <v>1200</v>
      </c>
      <c r="L1391">
        <v>0</v>
      </c>
      <c r="M1391">
        <v>0</v>
      </c>
      <c r="N1391">
        <v>1200</v>
      </c>
    </row>
    <row r="1392" spans="1:14" x14ac:dyDescent="0.25">
      <c r="A1392">
        <v>1590.440576</v>
      </c>
      <c r="B1392" s="1">
        <f>DATE(2014,9,7) + TIME(10,34,25)</f>
        <v>41889.440567129626</v>
      </c>
      <c r="C1392">
        <v>80</v>
      </c>
      <c r="D1392">
        <v>79.824134826999995</v>
      </c>
      <c r="E1392">
        <v>50</v>
      </c>
      <c r="F1392">
        <v>45.790973663000003</v>
      </c>
      <c r="G1392">
        <v>1370.2399902</v>
      </c>
      <c r="H1392">
        <v>1356.0306396000001</v>
      </c>
      <c r="I1392">
        <v>1323.565918</v>
      </c>
      <c r="J1392">
        <v>1319.8380127</v>
      </c>
      <c r="K1392">
        <v>1200</v>
      </c>
      <c r="L1392">
        <v>0</v>
      </c>
      <c r="M1392">
        <v>0</v>
      </c>
      <c r="N1392">
        <v>1200</v>
      </c>
    </row>
    <row r="1393" spans="1:14" x14ac:dyDescent="0.25">
      <c r="A1393">
        <v>1593.7717419999999</v>
      </c>
      <c r="B1393" s="1">
        <f>DATE(2014,9,10) + TIME(18,31,18)</f>
        <v>41892.771736111114</v>
      </c>
      <c r="C1393">
        <v>80</v>
      </c>
      <c r="D1393">
        <v>79.824562072999996</v>
      </c>
      <c r="E1393">
        <v>50</v>
      </c>
      <c r="F1393">
        <v>45.903865814</v>
      </c>
      <c r="G1393">
        <v>1370.1875</v>
      </c>
      <c r="H1393">
        <v>1355.9886475000001</v>
      </c>
      <c r="I1393">
        <v>1323.5667725000001</v>
      </c>
      <c r="J1393">
        <v>1319.8343506000001</v>
      </c>
      <c r="K1393">
        <v>1200</v>
      </c>
      <c r="L1393">
        <v>0</v>
      </c>
      <c r="M1393">
        <v>0</v>
      </c>
      <c r="N1393">
        <v>1200</v>
      </c>
    </row>
    <row r="1394" spans="1:14" x14ac:dyDescent="0.25">
      <c r="A1394">
        <v>1597.2017840000001</v>
      </c>
      <c r="B1394" s="1">
        <f>DATE(2014,9,14) + TIME(4,50,34)</f>
        <v>41896.201782407406</v>
      </c>
      <c r="C1394">
        <v>80</v>
      </c>
      <c r="D1394">
        <v>79.824989318999997</v>
      </c>
      <c r="E1394">
        <v>50</v>
      </c>
      <c r="F1394">
        <v>46.033626556000002</v>
      </c>
      <c r="G1394">
        <v>1370.1346435999999</v>
      </c>
      <c r="H1394">
        <v>1355.9462891000001</v>
      </c>
      <c r="I1394">
        <v>1323.5695800999999</v>
      </c>
      <c r="J1394">
        <v>1319.8336182</v>
      </c>
      <c r="K1394">
        <v>1200</v>
      </c>
      <c r="L1394">
        <v>0</v>
      </c>
      <c r="M1394">
        <v>0</v>
      </c>
      <c r="N1394">
        <v>1200</v>
      </c>
    </row>
    <row r="1395" spans="1:14" x14ac:dyDescent="0.25">
      <c r="A1395">
        <v>1600.723401</v>
      </c>
      <c r="B1395" s="1">
        <f>DATE(2014,9,17) + TIME(17,21,41)</f>
        <v>41899.723391203705</v>
      </c>
      <c r="C1395">
        <v>80</v>
      </c>
      <c r="D1395">
        <v>79.825431824000006</v>
      </c>
      <c r="E1395">
        <v>50</v>
      </c>
      <c r="F1395">
        <v>46.181598663000003</v>
      </c>
      <c r="G1395">
        <v>1370.0814209</v>
      </c>
      <c r="H1395">
        <v>1355.9034423999999</v>
      </c>
      <c r="I1395">
        <v>1323.574707</v>
      </c>
      <c r="J1395">
        <v>1319.8361815999999</v>
      </c>
      <c r="K1395">
        <v>1200</v>
      </c>
      <c r="L1395">
        <v>0</v>
      </c>
      <c r="M1395">
        <v>0</v>
      </c>
      <c r="N1395">
        <v>1200</v>
      </c>
    </row>
    <row r="1396" spans="1:14" x14ac:dyDescent="0.25">
      <c r="A1396">
        <v>1604.298297</v>
      </c>
      <c r="B1396" s="1">
        <f>DATE(2014,9,21) + TIME(7,9,32)</f>
        <v>41903.29828703704</v>
      </c>
      <c r="C1396">
        <v>80</v>
      </c>
      <c r="D1396">
        <v>79.825874329000001</v>
      </c>
      <c r="E1396">
        <v>50</v>
      </c>
      <c r="F1396">
        <v>46.348461151000002</v>
      </c>
      <c r="G1396">
        <v>1370.027832</v>
      </c>
      <c r="H1396">
        <v>1355.8602295000001</v>
      </c>
      <c r="I1396">
        <v>1323.5822754000001</v>
      </c>
      <c r="J1396">
        <v>1319.8424072</v>
      </c>
      <c r="K1396">
        <v>1200</v>
      </c>
      <c r="L1396">
        <v>0</v>
      </c>
      <c r="M1396">
        <v>0</v>
      </c>
      <c r="N1396">
        <v>1200</v>
      </c>
    </row>
    <row r="1397" spans="1:14" x14ac:dyDescent="0.25">
      <c r="A1397">
        <v>1607.910181</v>
      </c>
      <c r="B1397" s="1">
        <f>DATE(2014,9,24) + TIME(21,50,39)</f>
        <v>41906.910173611112</v>
      </c>
      <c r="C1397">
        <v>80</v>
      </c>
      <c r="D1397">
        <v>79.826309203999998</v>
      </c>
      <c r="E1397">
        <v>50</v>
      </c>
      <c r="F1397">
        <v>46.534423828000001</v>
      </c>
      <c r="G1397">
        <v>1369.9744873</v>
      </c>
      <c r="H1397">
        <v>1355.8170166</v>
      </c>
      <c r="I1397">
        <v>1323.5926514</v>
      </c>
      <c r="J1397">
        <v>1319.8525391000001</v>
      </c>
      <c r="K1397">
        <v>1200</v>
      </c>
      <c r="L1397">
        <v>0</v>
      </c>
      <c r="M1397">
        <v>0</v>
      </c>
      <c r="N1397">
        <v>1200</v>
      </c>
    </row>
    <row r="1398" spans="1:14" x14ac:dyDescent="0.25">
      <c r="A1398">
        <v>1611.5836509999999</v>
      </c>
      <c r="B1398" s="1">
        <f>DATE(2014,9,28) + TIME(14,0,27)</f>
        <v>41910.583645833336</v>
      </c>
      <c r="C1398">
        <v>80</v>
      </c>
      <c r="D1398">
        <v>79.826751709000007</v>
      </c>
      <c r="E1398">
        <v>50</v>
      </c>
      <c r="F1398">
        <v>46.740390777999998</v>
      </c>
      <c r="G1398">
        <v>1369.9217529</v>
      </c>
      <c r="H1398">
        <v>1355.7741699000001</v>
      </c>
      <c r="I1398">
        <v>1323.6055908000001</v>
      </c>
      <c r="J1398">
        <v>1319.8666992000001</v>
      </c>
      <c r="K1398">
        <v>1200</v>
      </c>
      <c r="L1398">
        <v>0</v>
      </c>
      <c r="M1398">
        <v>0</v>
      </c>
      <c r="N1398">
        <v>1200</v>
      </c>
    </row>
    <row r="1399" spans="1:14" x14ac:dyDescent="0.25">
      <c r="A1399">
        <v>1614</v>
      </c>
      <c r="B1399" s="1">
        <f>DATE(2014,10,1) + TIME(0,0,0)</f>
        <v>41913</v>
      </c>
      <c r="C1399">
        <v>80</v>
      </c>
      <c r="D1399">
        <v>79.827018738000007</v>
      </c>
      <c r="E1399">
        <v>50</v>
      </c>
      <c r="F1399">
        <v>46.926998138000002</v>
      </c>
      <c r="G1399">
        <v>1369.8692627</v>
      </c>
      <c r="H1399">
        <v>1355.7315673999999</v>
      </c>
      <c r="I1399">
        <v>1323.6229248</v>
      </c>
      <c r="J1399">
        <v>1319.8847656</v>
      </c>
      <c r="K1399">
        <v>1200</v>
      </c>
      <c r="L1399">
        <v>0</v>
      </c>
      <c r="M1399">
        <v>0</v>
      </c>
      <c r="N1399">
        <v>1200</v>
      </c>
    </row>
    <row r="1400" spans="1:14" x14ac:dyDescent="0.25">
      <c r="A1400">
        <v>1617.7556830000001</v>
      </c>
      <c r="B1400" s="1">
        <f>DATE(2014,10,4) + TIME(18,8,11)</f>
        <v>41916.755682870367</v>
      </c>
      <c r="C1400">
        <v>80</v>
      </c>
      <c r="D1400">
        <v>79.827476501000007</v>
      </c>
      <c r="E1400">
        <v>50</v>
      </c>
      <c r="F1400">
        <v>47.144035338999998</v>
      </c>
      <c r="G1400">
        <v>1369.8350829999999</v>
      </c>
      <c r="H1400">
        <v>1355.7036132999999</v>
      </c>
      <c r="I1400">
        <v>1323.6343993999999</v>
      </c>
      <c r="J1400">
        <v>1319.9022216999999</v>
      </c>
      <c r="K1400">
        <v>1200</v>
      </c>
      <c r="L1400">
        <v>0</v>
      </c>
      <c r="M1400">
        <v>0</v>
      </c>
      <c r="N1400">
        <v>1200</v>
      </c>
    </row>
    <row r="1401" spans="1:14" x14ac:dyDescent="0.25">
      <c r="A1401">
        <v>1621.701945</v>
      </c>
      <c r="B1401" s="1">
        <f>DATE(2014,10,8) + TIME(16,50,48)</f>
        <v>41920.701944444445</v>
      </c>
      <c r="C1401">
        <v>80</v>
      </c>
      <c r="D1401">
        <v>79.827941894999995</v>
      </c>
      <c r="E1401">
        <v>50</v>
      </c>
      <c r="F1401">
        <v>47.400459290000001</v>
      </c>
      <c r="G1401">
        <v>1369.7833252</v>
      </c>
      <c r="H1401">
        <v>1355.6612548999999</v>
      </c>
      <c r="I1401">
        <v>1323.6545410000001</v>
      </c>
      <c r="J1401">
        <v>1319.9268798999999</v>
      </c>
      <c r="K1401">
        <v>1200</v>
      </c>
      <c r="L1401">
        <v>0</v>
      </c>
      <c r="M1401">
        <v>0</v>
      </c>
      <c r="N1401">
        <v>1200</v>
      </c>
    </row>
    <row r="1402" spans="1:14" x14ac:dyDescent="0.25">
      <c r="A1402">
        <v>1625.7870370000001</v>
      </c>
      <c r="B1402" s="1">
        <f>DATE(2014,10,12) + TIME(18,53,20)</f>
        <v>41924.787037037036</v>
      </c>
      <c r="C1402">
        <v>80</v>
      </c>
      <c r="D1402">
        <v>79.828414917000003</v>
      </c>
      <c r="E1402">
        <v>50</v>
      </c>
      <c r="F1402">
        <v>47.691570282000001</v>
      </c>
      <c r="G1402">
        <v>1369.7298584</v>
      </c>
      <c r="H1402">
        <v>1355.6175536999999</v>
      </c>
      <c r="I1402">
        <v>1323.6788329999999</v>
      </c>
      <c r="J1402">
        <v>1319.9577637</v>
      </c>
      <c r="K1402">
        <v>1200</v>
      </c>
      <c r="L1402">
        <v>0</v>
      </c>
      <c r="M1402">
        <v>0</v>
      </c>
      <c r="N1402">
        <v>1200</v>
      </c>
    </row>
    <row r="1403" spans="1:14" x14ac:dyDescent="0.25">
      <c r="A1403">
        <v>1629.9067090000001</v>
      </c>
      <c r="B1403" s="1">
        <f>DATE(2014,10,16) + TIME(21,45,39)</f>
        <v>41928.906701388885</v>
      </c>
      <c r="C1403">
        <v>80</v>
      </c>
      <c r="D1403">
        <v>79.828880310000002</v>
      </c>
      <c r="E1403">
        <v>50</v>
      </c>
      <c r="F1403">
        <v>48.012142181000002</v>
      </c>
      <c r="G1403">
        <v>1369.6759033000001</v>
      </c>
      <c r="H1403">
        <v>1355.5733643000001</v>
      </c>
      <c r="I1403">
        <v>1323.7072754000001</v>
      </c>
      <c r="J1403">
        <v>1319.9949951000001</v>
      </c>
      <c r="K1403">
        <v>1200</v>
      </c>
      <c r="L1403">
        <v>0</v>
      </c>
      <c r="M1403">
        <v>0</v>
      </c>
      <c r="N1403">
        <v>1200</v>
      </c>
    </row>
    <row r="1404" spans="1:14" x14ac:dyDescent="0.25">
      <c r="A1404">
        <v>1634.0766040000001</v>
      </c>
      <c r="B1404" s="1">
        <f>DATE(2014,10,21) + TIME(1,50,18)</f>
        <v>41933.076597222222</v>
      </c>
      <c r="C1404">
        <v>80</v>
      </c>
      <c r="D1404">
        <v>79.829338074000006</v>
      </c>
      <c r="E1404">
        <v>50</v>
      </c>
      <c r="F1404">
        <v>48.357975005999997</v>
      </c>
      <c r="G1404">
        <v>1369.6226807</v>
      </c>
      <c r="H1404">
        <v>1355.5296631000001</v>
      </c>
      <c r="I1404">
        <v>1323.7393798999999</v>
      </c>
      <c r="J1404">
        <v>1320.0378418</v>
      </c>
      <c r="K1404">
        <v>1200</v>
      </c>
      <c r="L1404">
        <v>0</v>
      </c>
      <c r="M1404">
        <v>0</v>
      </c>
      <c r="N1404">
        <v>1200</v>
      </c>
    </row>
    <row r="1405" spans="1:14" x14ac:dyDescent="0.25">
      <c r="A1405">
        <v>1638.325439</v>
      </c>
      <c r="B1405" s="1">
        <f>DATE(2014,10,25) + TIME(7,48,37)</f>
        <v>41937.325428240743</v>
      </c>
      <c r="C1405">
        <v>80</v>
      </c>
      <c r="D1405">
        <v>79.829803467000005</v>
      </c>
      <c r="E1405">
        <v>50</v>
      </c>
      <c r="F1405">
        <v>48.728023528999998</v>
      </c>
      <c r="G1405">
        <v>1369.5700684000001</v>
      </c>
      <c r="H1405">
        <v>1355.4863281</v>
      </c>
      <c r="I1405">
        <v>1323.7749022999999</v>
      </c>
      <c r="J1405">
        <v>1320.0864257999999</v>
      </c>
      <c r="K1405">
        <v>1200</v>
      </c>
      <c r="L1405">
        <v>0</v>
      </c>
      <c r="M1405">
        <v>0</v>
      </c>
      <c r="N1405">
        <v>1200</v>
      </c>
    </row>
    <row r="1406" spans="1:14" x14ac:dyDescent="0.25">
      <c r="A1406">
        <v>1642.6805899999999</v>
      </c>
      <c r="B1406" s="1">
        <f>DATE(2014,10,29) + TIME(16,20,2)</f>
        <v>41941.680578703701</v>
      </c>
      <c r="C1406">
        <v>80</v>
      </c>
      <c r="D1406">
        <v>79.830276488999999</v>
      </c>
      <c r="E1406">
        <v>50</v>
      </c>
      <c r="F1406">
        <v>49.122669219999999</v>
      </c>
      <c r="G1406">
        <v>1369.5178223</v>
      </c>
      <c r="H1406">
        <v>1355.4433594</v>
      </c>
      <c r="I1406">
        <v>1323.8142089999999</v>
      </c>
      <c r="J1406">
        <v>1320.140625</v>
      </c>
      <c r="K1406">
        <v>1200</v>
      </c>
      <c r="L1406">
        <v>0</v>
      </c>
      <c r="M1406">
        <v>0</v>
      </c>
      <c r="N1406">
        <v>1200</v>
      </c>
    </row>
    <row r="1407" spans="1:14" x14ac:dyDescent="0.25">
      <c r="A1407">
        <v>1645</v>
      </c>
      <c r="B1407" s="1">
        <f>DATE(2014,11,1) + TIME(0,0,0)</f>
        <v>41944</v>
      </c>
      <c r="C1407">
        <v>80</v>
      </c>
      <c r="D1407">
        <v>79.830497742000006</v>
      </c>
      <c r="E1407">
        <v>50</v>
      </c>
      <c r="F1407">
        <v>49.439258574999997</v>
      </c>
      <c r="G1407">
        <v>1369.4660644999999</v>
      </c>
      <c r="H1407">
        <v>1355.4007568</v>
      </c>
      <c r="I1407">
        <v>1323.8602295000001</v>
      </c>
      <c r="J1407">
        <v>1320.1982422000001</v>
      </c>
      <c r="K1407">
        <v>1200</v>
      </c>
      <c r="L1407">
        <v>0</v>
      </c>
      <c r="M1407">
        <v>0</v>
      </c>
      <c r="N1407">
        <v>1200</v>
      </c>
    </row>
    <row r="1408" spans="1:14" x14ac:dyDescent="0.25">
      <c r="A1408">
        <v>1645.0000010000001</v>
      </c>
      <c r="B1408" s="1">
        <f>DATE(2014,11,1) + TIME(0,0,0)</f>
        <v>41944</v>
      </c>
      <c r="C1408">
        <v>80</v>
      </c>
      <c r="D1408">
        <v>79.830451964999995</v>
      </c>
      <c r="E1408">
        <v>50</v>
      </c>
      <c r="F1408">
        <v>49.439296722000002</v>
      </c>
      <c r="G1408">
        <v>1355.1118164</v>
      </c>
      <c r="H1408">
        <v>1342.4492187999999</v>
      </c>
      <c r="I1408">
        <v>1327.8359375</v>
      </c>
      <c r="J1408">
        <v>1324.1673584</v>
      </c>
      <c r="K1408">
        <v>0</v>
      </c>
      <c r="L1408">
        <v>1200</v>
      </c>
      <c r="M1408">
        <v>1200</v>
      </c>
      <c r="N1408">
        <v>0</v>
      </c>
    </row>
    <row r="1409" spans="1:14" x14ac:dyDescent="0.25">
      <c r="A1409">
        <v>1645.000004</v>
      </c>
      <c r="B1409" s="1">
        <f>DATE(2014,11,1) + TIME(0,0,0)</f>
        <v>41944</v>
      </c>
      <c r="C1409">
        <v>80</v>
      </c>
      <c r="D1409">
        <v>79.830337524000001</v>
      </c>
      <c r="E1409">
        <v>50</v>
      </c>
      <c r="F1409">
        <v>49.439399719000001</v>
      </c>
      <c r="G1409">
        <v>1354.3107910000001</v>
      </c>
      <c r="H1409">
        <v>1341.6470947</v>
      </c>
      <c r="I1409">
        <v>1328.6159668</v>
      </c>
      <c r="J1409">
        <v>1324.9954834</v>
      </c>
      <c r="K1409">
        <v>0</v>
      </c>
      <c r="L1409">
        <v>1200</v>
      </c>
      <c r="M1409">
        <v>1200</v>
      </c>
      <c r="N1409">
        <v>0</v>
      </c>
    </row>
    <row r="1410" spans="1:14" x14ac:dyDescent="0.25">
      <c r="A1410">
        <v>1645.0000130000001</v>
      </c>
      <c r="B1410" s="1">
        <f>DATE(2014,11,1) + TIME(0,0,1)</f>
        <v>41944.000011574077</v>
      </c>
      <c r="C1410">
        <v>80</v>
      </c>
      <c r="D1410">
        <v>79.830062866000006</v>
      </c>
      <c r="E1410">
        <v>50</v>
      </c>
      <c r="F1410">
        <v>49.439643859999997</v>
      </c>
      <c r="G1410">
        <v>1352.3444824000001</v>
      </c>
      <c r="H1410">
        <v>1339.6789550999999</v>
      </c>
      <c r="I1410">
        <v>1330.4404297000001</v>
      </c>
      <c r="J1410">
        <v>1326.8911132999999</v>
      </c>
      <c r="K1410">
        <v>0</v>
      </c>
      <c r="L1410">
        <v>1200</v>
      </c>
      <c r="M1410">
        <v>1200</v>
      </c>
      <c r="N1410">
        <v>0</v>
      </c>
    </row>
    <row r="1411" spans="1:14" x14ac:dyDescent="0.25">
      <c r="A1411">
        <v>1645.0000399999999</v>
      </c>
      <c r="B1411" s="1">
        <f>DATE(2014,11,1) + TIME(0,0,3)</f>
        <v>41944.000034722223</v>
      </c>
      <c r="C1411">
        <v>80</v>
      </c>
      <c r="D1411">
        <v>79.829513550000001</v>
      </c>
      <c r="E1411">
        <v>50</v>
      </c>
      <c r="F1411">
        <v>49.440052031999997</v>
      </c>
      <c r="G1411">
        <v>1348.4925536999999</v>
      </c>
      <c r="H1411">
        <v>1335.8256836</v>
      </c>
      <c r="I1411">
        <v>1333.6053466999999</v>
      </c>
      <c r="J1411">
        <v>1330.0786132999999</v>
      </c>
      <c r="K1411">
        <v>0</v>
      </c>
      <c r="L1411">
        <v>1200</v>
      </c>
      <c r="M1411">
        <v>1200</v>
      </c>
      <c r="N1411">
        <v>0</v>
      </c>
    </row>
    <row r="1412" spans="1:14" x14ac:dyDescent="0.25">
      <c r="A1412">
        <v>1645.000121</v>
      </c>
      <c r="B1412" s="1">
        <f>DATE(2014,11,1) + TIME(0,0,10)</f>
        <v>41944.000115740739</v>
      </c>
      <c r="C1412">
        <v>80</v>
      </c>
      <c r="D1412">
        <v>79.828689574999999</v>
      </c>
      <c r="E1412">
        <v>50</v>
      </c>
      <c r="F1412">
        <v>49.440536498999997</v>
      </c>
      <c r="G1412">
        <v>1342.8061522999999</v>
      </c>
      <c r="H1412">
        <v>1330.1448975000001</v>
      </c>
      <c r="I1412">
        <v>1337.3890381000001</v>
      </c>
      <c r="J1412">
        <v>1333.8275146000001</v>
      </c>
      <c r="K1412">
        <v>0</v>
      </c>
      <c r="L1412">
        <v>1200</v>
      </c>
      <c r="M1412">
        <v>1200</v>
      </c>
      <c r="N1412">
        <v>0</v>
      </c>
    </row>
    <row r="1413" spans="1:14" x14ac:dyDescent="0.25">
      <c r="A1413">
        <v>1645.000364</v>
      </c>
      <c r="B1413" s="1">
        <f>DATE(2014,11,1) + TIME(0,0,31)</f>
        <v>41944.000358796293</v>
      </c>
      <c r="C1413">
        <v>80</v>
      </c>
      <c r="D1413">
        <v>79.827697753999999</v>
      </c>
      <c r="E1413">
        <v>50</v>
      </c>
      <c r="F1413">
        <v>49.441024779999999</v>
      </c>
      <c r="G1413">
        <v>1336.1083983999999</v>
      </c>
      <c r="H1413">
        <v>1323.4573975000001</v>
      </c>
      <c r="I1413">
        <v>1340.9073486</v>
      </c>
      <c r="J1413">
        <v>1337.3164062000001</v>
      </c>
      <c r="K1413">
        <v>0</v>
      </c>
      <c r="L1413">
        <v>1200</v>
      </c>
      <c r="M1413">
        <v>1200</v>
      </c>
      <c r="N1413">
        <v>0</v>
      </c>
    </row>
    <row r="1414" spans="1:14" x14ac:dyDescent="0.25">
      <c r="A1414">
        <v>1645.0010930000001</v>
      </c>
      <c r="B1414" s="1">
        <f>DATE(2014,11,1) + TIME(0,1,34)</f>
        <v>41944.001087962963</v>
      </c>
      <c r="C1414">
        <v>80</v>
      </c>
      <c r="D1414">
        <v>79.826583862000007</v>
      </c>
      <c r="E1414">
        <v>50</v>
      </c>
      <c r="F1414">
        <v>49.441558837999999</v>
      </c>
      <c r="G1414">
        <v>1329.1876221</v>
      </c>
      <c r="H1414">
        <v>1316.5197754000001</v>
      </c>
      <c r="I1414">
        <v>1344.0035399999999</v>
      </c>
      <c r="J1414">
        <v>1340.3936768000001</v>
      </c>
      <c r="K1414">
        <v>0</v>
      </c>
      <c r="L1414">
        <v>1200</v>
      </c>
      <c r="M1414">
        <v>1200</v>
      </c>
      <c r="N1414">
        <v>0</v>
      </c>
    </row>
    <row r="1415" spans="1:14" x14ac:dyDescent="0.25">
      <c r="A1415">
        <v>1645.0032799999999</v>
      </c>
      <c r="B1415" s="1">
        <f>DATE(2014,11,1) + TIME(0,4,43)</f>
        <v>41944.003275462965</v>
      </c>
      <c r="C1415">
        <v>80</v>
      </c>
      <c r="D1415">
        <v>79.825294494999994</v>
      </c>
      <c r="E1415">
        <v>50</v>
      </c>
      <c r="F1415">
        <v>49.442249298</v>
      </c>
      <c r="G1415">
        <v>1323.0560303</v>
      </c>
      <c r="H1415">
        <v>1310.2769774999999</v>
      </c>
      <c r="I1415">
        <v>1346.0424805</v>
      </c>
      <c r="J1415">
        <v>1342.4107666</v>
      </c>
      <c r="K1415">
        <v>0</v>
      </c>
      <c r="L1415">
        <v>1200</v>
      </c>
      <c r="M1415">
        <v>1200</v>
      </c>
      <c r="N1415">
        <v>0</v>
      </c>
    </row>
    <row r="1416" spans="1:14" x14ac:dyDescent="0.25">
      <c r="A1416">
        <v>1645.0098410000001</v>
      </c>
      <c r="B1416" s="1">
        <f>DATE(2014,11,1) + TIME(0,14,10)</f>
        <v>41944.009837962964</v>
      </c>
      <c r="C1416">
        <v>80</v>
      </c>
      <c r="D1416">
        <v>79.823402404999996</v>
      </c>
      <c r="E1416">
        <v>50</v>
      </c>
      <c r="F1416">
        <v>49.443584442000002</v>
      </c>
      <c r="G1416">
        <v>1318.6738281</v>
      </c>
      <c r="H1416">
        <v>1305.7642822</v>
      </c>
      <c r="I1416">
        <v>1346.1931152</v>
      </c>
      <c r="J1416">
        <v>1342.5541992000001</v>
      </c>
      <c r="K1416">
        <v>0</v>
      </c>
      <c r="L1416">
        <v>1200</v>
      </c>
      <c r="M1416">
        <v>1200</v>
      </c>
      <c r="N1416">
        <v>0</v>
      </c>
    </row>
    <row r="1417" spans="1:14" x14ac:dyDescent="0.25">
      <c r="A1417">
        <v>1645.029524</v>
      </c>
      <c r="B1417" s="1">
        <f>DATE(2014,11,1) + TIME(0,42,30)</f>
        <v>41944.029513888891</v>
      </c>
      <c r="C1417">
        <v>80</v>
      </c>
      <c r="D1417">
        <v>79.819206238000007</v>
      </c>
      <c r="E1417">
        <v>50</v>
      </c>
      <c r="F1417">
        <v>49.447353362999998</v>
      </c>
      <c r="G1417">
        <v>1315.9788818</v>
      </c>
      <c r="H1417">
        <v>1303.0134277</v>
      </c>
      <c r="I1417">
        <v>1345.1115723</v>
      </c>
      <c r="J1417">
        <v>1341.4752197</v>
      </c>
      <c r="K1417">
        <v>0</v>
      </c>
      <c r="L1417">
        <v>1200</v>
      </c>
      <c r="M1417">
        <v>1200</v>
      </c>
      <c r="N1417">
        <v>0</v>
      </c>
    </row>
    <row r="1418" spans="1:14" x14ac:dyDescent="0.25">
      <c r="A1418">
        <v>1645.088573</v>
      </c>
      <c r="B1418" s="1">
        <f>DATE(2014,11,1) + TIME(2,7,32)</f>
        <v>41944.088564814818</v>
      </c>
      <c r="C1418">
        <v>80</v>
      </c>
      <c r="D1418">
        <v>79.807716369999994</v>
      </c>
      <c r="E1418">
        <v>50</v>
      </c>
      <c r="F1418">
        <v>49.458606719999999</v>
      </c>
      <c r="G1418">
        <v>1314.3884277</v>
      </c>
      <c r="H1418">
        <v>1301.4100341999999</v>
      </c>
      <c r="I1418">
        <v>1343.9243164</v>
      </c>
      <c r="J1418">
        <v>1340.2922363</v>
      </c>
      <c r="K1418">
        <v>0</v>
      </c>
      <c r="L1418">
        <v>1200</v>
      </c>
      <c r="M1418">
        <v>1200</v>
      </c>
      <c r="N1418">
        <v>0</v>
      </c>
    </row>
    <row r="1419" spans="1:14" x14ac:dyDescent="0.25">
      <c r="A1419">
        <v>1645.2657200000001</v>
      </c>
      <c r="B1419" s="1">
        <f>DATE(2014,11,1) + TIME(6,22,38)</f>
        <v>41944.265717592592</v>
      </c>
      <c r="C1419">
        <v>80</v>
      </c>
      <c r="D1419">
        <v>79.775375366000006</v>
      </c>
      <c r="E1419">
        <v>50</v>
      </c>
      <c r="F1419">
        <v>49.490097046000002</v>
      </c>
      <c r="G1419">
        <v>1313.4770507999999</v>
      </c>
      <c r="H1419">
        <v>1300.4956055</v>
      </c>
      <c r="I1419">
        <v>1343.0686035000001</v>
      </c>
      <c r="J1419">
        <v>1339.4451904</v>
      </c>
      <c r="K1419">
        <v>0</v>
      </c>
      <c r="L1419">
        <v>1200</v>
      </c>
      <c r="M1419">
        <v>1200</v>
      </c>
      <c r="N1419">
        <v>0</v>
      </c>
    </row>
    <row r="1420" spans="1:14" x14ac:dyDescent="0.25">
      <c r="A1420">
        <v>1645.46164</v>
      </c>
      <c r="B1420" s="1">
        <f>DATE(2014,11,1) + TIME(11,4,45)</f>
        <v>41944.461631944447</v>
      </c>
      <c r="C1420">
        <v>80</v>
      </c>
      <c r="D1420">
        <v>79.740287781000006</v>
      </c>
      <c r="E1420">
        <v>50</v>
      </c>
      <c r="F1420">
        <v>49.522106170999997</v>
      </c>
      <c r="G1420">
        <v>1313.1837158000001</v>
      </c>
      <c r="H1420">
        <v>1300.2014160000001</v>
      </c>
      <c r="I1420">
        <v>1342.7613524999999</v>
      </c>
      <c r="J1420">
        <v>1339.145874</v>
      </c>
      <c r="K1420">
        <v>0</v>
      </c>
      <c r="L1420">
        <v>1200</v>
      </c>
      <c r="M1420">
        <v>1200</v>
      </c>
      <c r="N1420">
        <v>0</v>
      </c>
    </row>
    <row r="1421" spans="1:14" x14ac:dyDescent="0.25">
      <c r="A1421">
        <v>1645.6679839999999</v>
      </c>
      <c r="B1421" s="1">
        <f>DATE(2014,11,1) + TIME(16,1,53)</f>
        <v>41944.667974537035</v>
      </c>
      <c r="C1421">
        <v>80</v>
      </c>
      <c r="D1421">
        <v>79.703872681000007</v>
      </c>
      <c r="E1421">
        <v>50</v>
      </c>
      <c r="F1421">
        <v>49.552906036000003</v>
      </c>
      <c r="G1421">
        <v>1313.0795897999999</v>
      </c>
      <c r="H1421">
        <v>1300.0965576000001</v>
      </c>
      <c r="I1421">
        <v>1342.6337891000001</v>
      </c>
      <c r="J1421">
        <v>1339.0256348</v>
      </c>
      <c r="K1421">
        <v>0</v>
      </c>
      <c r="L1421">
        <v>1200</v>
      </c>
      <c r="M1421">
        <v>1200</v>
      </c>
      <c r="N1421">
        <v>0</v>
      </c>
    </row>
    <row r="1422" spans="1:14" x14ac:dyDescent="0.25">
      <c r="A1422">
        <v>1645.886148</v>
      </c>
      <c r="B1422" s="1">
        <f>DATE(2014,11,1) + TIME(21,16,3)</f>
        <v>41944.886145833334</v>
      </c>
      <c r="C1422">
        <v>80</v>
      </c>
      <c r="D1422">
        <v>79.665916443</v>
      </c>
      <c r="E1422">
        <v>50</v>
      </c>
      <c r="F1422">
        <v>49.582511902</v>
      </c>
      <c r="G1422">
        <v>1313.0396728999999</v>
      </c>
      <c r="H1422">
        <v>1300.0560303</v>
      </c>
      <c r="I1422">
        <v>1342.5687256000001</v>
      </c>
      <c r="J1422">
        <v>1338.9676514</v>
      </c>
      <c r="K1422">
        <v>0</v>
      </c>
      <c r="L1422">
        <v>1200</v>
      </c>
      <c r="M1422">
        <v>1200</v>
      </c>
      <c r="N1422">
        <v>0</v>
      </c>
    </row>
    <row r="1423" spans="1:14" x14ac:dyDescent="0.25">
      <c r="A1423">
        <v>1646.1177540000001</v>
      </c>
      <c r="B1423" s="1">
        <f>DATE(2014,11,2) + TIME(2,49,33)</f>
        <v>41945.117743055554</v>
      </c>
      <c r="C1423">
        <v>80</v>
      </c>
      <c r="D1423">
        <v>79.626213074000006</v>
      </c>
      <c r="E1423">
        <v>50</v>
      </c>
      <c r="F1423">
        <v>49.610927582000002</v>
      </c>
      <c r="G1423">
        <v>1313.0219727000001</v>
      </c>
      <c r="H1423">
        <v>1300.0374756000001</v>
      </c>
      <c r="I1423">
        <v>1342.5262451000001</v>
      </c>
      <c r="J1423">
        <v>1338.9320068</v>
      </c>
      <c r="K1423">
        <v>0</v>
      </c>
      <c r="L1423">
        <v>1200</v>
      </c>
      <c r="M1423">
        <v>1200</v>
      </c>
      <c r="N1423">
        <v>0</v>
      </c>
    </row>
    <row r="1424" spans="1:14" x14ac:dyDescent="0.25">
      <c r="A1424">
        <v>1646.3647490000001</v>
      </c>
      <c r="B1424" s="1">
        <f>DATE(2014,11,2) + TIME(8,45,14)</f>
        <v>41945.364745370367</v>
      </c>
      <c r="C1424">
        <v>80</v>
      </c>
      <c r="D1424">
        <v>79.584518433</v>
      </c>
      <c r="E1424">
        <v>50</v>
      </c>
      <c r="F1424">
        <v>49.638160706000001</v>
      </c>
      <c r="G1424">
        <v>1313.0115966999999</v>
      </c>
      <c r="H1424">
        <v>1300.0261230000001</v>
      </c>
      <c r="I1424">
        <v>1342.4920654</v>
      </c>
      <c r="J1424">
        <v>1338.9045410000001</v>
      </c>
      <c r="K1424">
        <v>0</v>
      </c>
      <c r="L1424">
        <v>1200</v>
      </c>
      <c r="M1424">
        <v>1200</v>
      </c>
      <c r="N1424">
        <v>0</v>
      </c>
    </row>
    <row r="1425" spans="1:14" x14ac:dyDescent="0.25">
      <c r="A1425">
        <v>1646.629504</v>
      </c>
      <c r="B1425" s="1">
        <f>DATE(2014,11,2) + TIME(15,6,29)</f>
        <v>41945.629502314812</v>
      </c>
      <c r="C1425">
        <v>80</v>
      </c>
      <c r="D1425">
        <v>79.540527343999997</v>
      </c>
      <c r="E1425">
        <v>50</v>
      </c>
      <c r="F1425">
        <v>49.664207458</v>
      </c>
      <c r="G1425">
        <v>1313.0032959</v>
      </c>
      <c r="H1425">
        <v>1300.0168457</v>
      </c>
      <c r="I1425">
        <v>1342.4613036999999</v>
      </c>
      <c r="J1425">
        <v>1338.8800048999999</v>
      </c>
      <c r="K1425">
        <v>0</v>
      </c>
      <c r="L1425">
        <v>1200</v>
      </c>
      <c r="M1425">
        <v>1200</v>
      </c>
      <c r="N1425">
        <v>0</v>
      </c>
    </row>
    <row r="1426" spans="1:14" x14ac:dyDescent="0.25">
      <c r="A1426">
        <v>1646.9149460000001</v>
      </c>
      <c r="B1426" s="1">
        <f>DATE(2014,11,2) + TIME(21,57,31)</f>
        <v>41945.914942129632</v>
      </c>
      <c r="C1426">
        <v>80</v>
      </c>
      <c r="D1426">
        <v>79.493904114000003</v>
      </c>
      <c r="E1426">
        <v>50</v>
      </c>
      <c r="F1426">
        <v>49.689064025999997</v>
      </c>
      <c r="G1426">
        <v>1312.9953613</v>
      </c>
      <c r="H1426">
        <v>1300.0075684000001</v>
      </c>
      <c r="I1426">
        <v>1342.4321289</v>
      </c>
      <c r="J1426">
        <v>1338.8570557</v>
      </c>
      <c r="K1426">
        <v>0</v>
      </c>
      <c r="L1426">
        <v>1200</v>
      </c>
      <c r="M1426">
        <v>1200</v>
      </c>
      <c r="N1426">
        <v>0</v>
      </c>
    </row>
    <row r="1427" spans="1:14" x14ac:dyDescent="0.25">
      <c r="A1427">
        <v>1647.2247400000001</v>
      </c>
      <c r="B1427" s="1">
        <f>DATE(2014,11,3) + TIME(5,23,37)</f>
        <v>41946.224733796298</v>
      </c>
      <c r="C1427">
        <v>80</v>
      </c>
      <c r="D1427">
        <v>79.444183350000003</v>
      </c>
      <c r="E1427">
        <v>50</v>
      </c>
      <c r="F1427">
        <v>49.712726592999999</v>
      </c>
      <c r="G1427">
        <v>1312.9871826000001</v>
      </c>
      <c r="H1427">
        <v>1299.9979248</v>
      </c>
      <c r="I1427">
        <v>1342.4041748</v>
      </c>
      <c r="J1427">
        <v>1338.8349608999999</v>
      </c>
      <c r="K1427">
        <v>0</v>
      </c>
      <c r="L1427">
        <v>1200</v>
      </c>
      <c r="M1427">
        <v>1200</v>
      </c>
      <c r="N1427">
        <v>0</v>
      </c>
    </row>
    <row r="1428" spans="1:14" x14ac:dyDescent="0.25">
      <c r="A1428">
        <v>1647.5635239999999</v>
      </c>
      <c r="B1428" s="1">
        <f>DATE(2014,11,3) + TIME(13,31,28)</f>
        <v>41946.563518518517</v>
      </c>
      <c r="C1428">
        <v>80</v>
      </c>
      <c r="D1428">
        <v>79.390846252000003</v>
      </c>
      <c r="E1428">
        <v>50</v>
      </c>
      <c r="F1428">
        <v>49.735164642000001</v>
      </c>
      <c r="G1428">
        <v>1312.9782714999999</v>
      </c>
      <c r="H1428">
        <v>1299.9875488</v>
      </c>
      <c r="I1428">
        <v>1342.3770752</v>
      </c>
      <c r="J1428">
        <v>1338.8134766000001</v>
      </c>
      <c r="K1428">
        <v>0</v>
      </c>
      <c r="L1428">
        <v>1200</v>
      </c>
      <c r="M1428">
        <v>1200</v>
      </c>
      <c r="N1428">
        <v>0</v>
      </c>
    </row>
    <row r="1429" spans="1:14" x14ac:dyDescent="0.25">
      <c r="A1429">
        <v>1647.9373430000001</v>
      </c>
      <c r="B1429" s="1">
        <f>DATE(2014,11,3) + TIME(22,29,46)</f>
        <v>41946.937337962961</v>
      </c>
      <c r="C1429">
        <v>80</v>
      </c>
      <c r="D1429">
        <v>79.333183289000004</v>
      </c>
      <c r="E1429">
        <v>50</v>
      </c>
      <c r="F1429">
        <v>49.756359099999997</v>
      </c>
      <c r="G1429">
        <v>1312.96875</v>
      </c>
      <c r="H1429">
        <v>1299.9760742000001</v>
      </c>
      <c r="I1429">
        <v>1342.3508300999999</v>
      </c>
      <c r="J1429">
        <v>1338.7926024999999</v>
      </c>
      <c r="K1429">
        <v>0</v>
      </c>
      <c r="L1429">
        <v>1200</v>
      </c>
      <c r="M1429">
        <v>1200</v>
      </c>
      <c r="N1429">
        <v>0</v>
      </c>
    </row>
    <row r="1430" spans="1:14" x14ac:dyDescent="0.25">
      <c r="A1430">
        <v>1648.354315</v>
      </c>
      <c r="B1430" s="1">
        <f>DATE(2014,11,4) + TIME(8,30,12)</f>
        <v>41947.354305555556</v>
      </c>
      <c r="C1430">
        <v>80</v>
      </c>
      <c r="D1430">
        <v>79.270301818999997</v>
      </c>
      <c r="E1430">
        <v>50</v>
      </c>
      <c r="F1430">
        <v>49.776275634999998</v>
      </c>
      <c r="G1430">
        <v>1312.9582519999999</v>
      </c>
      <c r="H1430">
        <v>1299.963501</v>
      </c>
      <c r="I1430">
        <v>1342.3253173999999</v>
      </c>
      <c r="J1430">
        <v>1338.7722168</v>
      </c>
      <c r="K1430">
        <v>0</v>
      </c>
      <c r="L1430">
        <v>1200</v>
      </c>
      <c r="M1430">
        <v>1200</v>
      </c>
      <c r="N1430">
        <v>0</v>
      </c>
    </row>
    <row r="1431" spans="1:14" x14ac:dyDescent="0.25">
      <c r="A1431">
        <v>1648.82548</v>
      </c>
      <c r="B1431" s="1">
        <f>DATE(2014,11,4) + TIME(19,48,41)</f>
        <v>41947.825474537036</v>
      </c>
      <c r="C1431">
        <v>80</v>
      </c>
      <c r="D1431">
        <v>79.200996399000005</v>
      </c>
      <c r="E1431">
        <v>50</v>
      </c>
      <c r="F1431">
        <v>49.794864654999998</v>
      </c>
      <c r="G1431">
        <v>1312.9466553</v>
      </c>
      <c r="H1431">
        <v>1299.9493408000001</v>
      </c>
      <c r="I1431">
        <v>1342.3005370999999</v>
      </c>
      <c r="J1431">
        <v>1338.7524414</v>
      </c>
      <c r="K1431">
        <v>0</v>
      </c>
      <c r="L1431">
        <v>1200</v>
      </c>
      <c r="M1431">
        <v>1200</v>
      </c>
      <c r="N1431">
        <v>0</v>
      </c>
    </row>
    <row r="1432" spans="1:14" x14ac:dyDescent="0.25">
      <c r="A1432">
        <v>1649.3664349999999</v>
      </c>
      <c r="B1432" s="1">
        <f>DATE(2014,11,5) + TIME(8,47,40)</f>
        <v>41948.366435185184</v>
      </c>
      <c r="C1432">
        <v>80</v>
      </c>
      <c r="D1432">
        <v>79.123649596999996</v>
      </c>
      <c r="E1432">
        <v>50</v>
      </c>
      <c r="F1432">
        <v>49.812068939</v>
      </c>
      <c r="G1432">
        <v>1312.9335937999999</v>
      </c>
      <c r="H1432">
        <v>1299.9334716999999</v>
      </c>
      <c r="I1432">
        <v>1342.2764893000001</v>
      </c>
      <c r="J1432">
        <v>1338.7330322</v>
      </c>
      <c r="K1432">
        <v>0</v>
      </c>
      <c r="L1432">
        <v>1200</v>
      </c>
      <c r="M1432">
        <v>1200</v>
      </c>
      <c r="N1432">
        <v>0</v>
      </c>
    </row>
    <row r="1433" spans="1:14" x14ac:dyDescent="0.25">
      <c r="A1433">
        <v>1650.0001</v>
      </c>
      <c r="B1433" s="1">
        <f>DATE(2014,11,6) + TIME(0,0,8)</f>
        <v>41949.000092592592</v>
      </c>
      <c r="C1433">
        <v>80</v>
      </c>
      <c r="D1433">
        <v>79.035972595000004</v>
      </c>
      <c r="E1433">
        <v>50</v>
      </c>
      <c r="F1433">
        <v>49.82780838</v>
      </c>
      <c r="G1433">
        <v>1312.9187012</v>
      </c>
      <c r="H1433">
        <v>1299.9151611</v>
      </c>
      <c r="I1433">
        <v>1342.2531738</v>
      </c>
      <c r="J1433">
        <v>1338.7141113</v>
      </c>
      <c r="K1433">
        <v>0</v>
      </c>
      <c r="L1433">
        <v>1200</v>
      </c>
      <c r="M1433">
        <v>1200</v>
      </c>
      <c r="N1433">
        <v>0</v>
      </c>
    </row>
    <row r="1434" spans="1:14" x14ac:dyDescent="0.25">
      <c r="A1434">
        <v>1650.7618460000001</v>
      </c>
      <c r="B1434" s="1">
        <f>DATE(2014,11,6) + TIME(18,17,3)</f>
        <v>41949.761840277781</v>
      </c>
      <c r="C1434">
        <v>80</v>
      </c>
      <c r="D1434">
        <v>78.934631347999996</v>
      </c>
      <c r="E1434">
        <v>50</v>
      </c>
      <c r="F1434">
        <v>49.841991425000003</v>
      </c>
      <c r="G1434">
        <v>1312.9014893000001</v>
      </c>
      <c r="H1434">
        <v>1299.8936768000001</v>
      </c>
      <c r="I1434">
        <v>1342.2305908000001</v>
      </c>
      <c r="J1434">
        <v>1338.6955565999999</v>
      </c>
      <c r="K1434">
        <v>0</v>
      </c>
      <c r="L1434">
        <v>1200</v>
      </c>
      <c r="M1434">
        <v>1200</v>
      </c>
      <c r="N1434">
        <v>0</v>
      </c>
    </row>
    <row r="1435" spans="1:14" x14ac:dyDescent="0.25">
      <c r="A1435">
        <v>1651.7097450000001</v>
      </c>
      <c r="B1435" s="1">
        <f>DATE(2014,11,7) + TIME(17,2,1)</f>
        <v>41950.709733796299</v>
      </c>
      <c r="C1435">
        <v>80</v>
      </c>
      <c r="D1435">
        <v>78.814559936999999</v>
      </c>
      <c r="E1435">
        <v>50</v>
      </c>
      <c r="F1435">
        <v>49.854507446</v>
      </c>
      <c r="G1435">
        <v>1312.8808594</v>
      </c>
      <c r="H1435">
        <v>1299.8679199000001</v>
      </c>
      <c r="I1435">
        <v>1342.2084961</v>
      </c>
      <c r="J1435">
        <v>1338.6772461</v>
      </c>
      <c r="K1435">
        <v>0</v>
      </c>
      <c r="L1435">
        <v>1200</v>
      </c>
      <c r="M1435">
        <v>1200</v>
      </c>
      <c r="N1435">
        <v>0</v>
      </c>
    </row>
    <row r="1436" spans="1:14" x14ac:dyDescent="0.25">
      <c r="A1436">
        <v>1652.722767</v>
      </c>
      <c r="B1436" s="1">
        <f>DATE(2014,11,8) + TIME(17,20,47)</f>
        <v>41951.722766203704</v>
      </c>
      <c r="C1436">
        <v>80</v>
      </c>
      <c r="D1436">
        <v>78.686737061000002</v>
      </c>
      <c r="E1436">
        <v>50</v>
      </c>
      <c r="F1436">
        <v>49.863849639999998</v>
      </c>
      <c r="G1436">
        <v>1312.8546143000001</v>
      </c>
      <c r="H1436">
        <v>1299.8364257999999</v>
      </c>
      <c r="I1436">
        <v>1342.1898193</v>
      </c>
      <c r="J1436">
        <v>1338.6612548999999</v>
      </c>
      <c r="K1436">
        <v>0</v>
      </c>
      <c r="L1436">
        <v>1200</v>
      </c>
      <c r="M1436">
        <v>1200</v>
      </c>
      <c r="N1436">
        <v>0</v>
      </c>
    </row>
    <row r="1437" spans="1:14" x14ac:dyDescent="0.25">
      <c r="A1437">
        <v>1653.7594099999999</v>
      </c>
      <c r="B1437" s="1">
        <f>DATE(2014,11,9) + TIME(18,13,33)</f>
        <v>41952.759409722225</v>
      </c>
      <c r="C1437">
        <v>80</v>
      </c>
      <c r="D1437">
        <v>78.555511475000003</v>
      </c>
      <c r="E1437">
        <v>50</v>
      </c>
      <c r="F1437">
        <v>49.870536803999997</v>
      </c>
      <c r="G1437">
        <v>1312.8264160000001</v>
      </c>
      <c r="H1437">
        <v>1299.8026123</v>
      </c>
      <c r="I1437">
        <v>1342.1741943</v>
      </c>
      <c r="J1437">
        <v>1338.6474608999999</v>
      </c>
      <c r="K1437">
        <v>0</v>
      </c>
      <c r="L1437">
        <v>1200</v>
      </c>
      <c r="M1437">
        <v>1200</v>
      </c>
      <c r="N1437">
        <v>0</v>
      </c>
    </row>
    <row r="1438" spans="1:14" x14ac:dyDescent="0.25">
      <c r="A1438">
        <v>1654.834439</v>
      </c>
      <c r="B1438" s="1">
        <f>DATE(2014,11,10) + TIME(20,1,35)</f>
        <v>41953.834432870368</v>
      </c>
      <c r="C1438">
        <v>80</v>
      </c>
      <c r="D1438">
        <v>78.420478821000003</v>
      </c>
      <c r="E1438">
        <v>50</v>
      </c>
      <c r="F1438">
        <v>49.875373840000002</v>
      </c>
      <c r="G1438">
        <v>1312.7976074000001</v>
      </c>
      <c r="H1438">
        <v>1299.7675781</v>
      </c>
      <c r="I1438">
        <v>1342.1607666</v>
      </c>
      <c r="J1438">
        <v>1338.635376</v>
      </c>
      <c r="K1438">
        <v>0</v>
      </c>
      <c r="L1438">
        <v>1200</v>
      </c>
      <c r="M1438">
        <v>1200</v>
      </c>
      <c r="N1438">
        <v>0</v>
      </c>
    </row>
    <row r="1439" spans="1:14" x14ac:dyDescent="0.25">
      <c r="A1439">
        <v>1655.958797</v>
      </c>
      <c r="B1439" s="1">
        <f>DATE(2014,11,11) + TIME(23,0,40)</f>
        <v>41954.958796296298</v>
      </c>
      <c r="C1439">
        <v>80</v>
      </c>
      <c r="D1439">
        <v>78.281280518000003</v>
      </c>
      <c r="E1439">
        <v>50</v>
      </c>
      <c r="F1439">
        <v>49.878910064999999</v>
      </c>
      <c r="G1439">
        <v>1312.7675781</v>
      </c>
      <c r="H1439">
        <v>1299.730957</v>
      </c>
      <c r="I1439">
        <v>1342.1490478999999</v>
      </c>
      <c r="J1439">
        <v>1338.6245117000001</v>
      </c>
      <c r="K1439">
        <v>0</v>
      </c>
      <c r="L1439">
        <v>1200</v>
      </c>
      <c r="M1439">
        <v>1200</v>
      </c>
      <c r="N1439">
        <v>0</v>
      </c>
    </row>
    <row r="1440" spans="1:14" x14ac:dyDescent="0.25">
      <c r="A1440">
        <v>1657.1444489999999</v>
      </c>
      <c r="B1440" s="1">
        <f>DATE(2014,11,13) + TIME(3,28,0)</f>
        <v>41956.144444444442</v>
      </c>
      <c r="C1440">
        <v>80</v>
      </c>
      <c r="D1440">
        <v>78.137336731000005</v>
      </c>
      <c r="E1440">
        <v>50</v>
      </c>
      <c r="F1440">
        <v>49.881523131999998</v>
      </c>
      <c r="G1440">
        <v>1312.7362060999999</v>
      </c>
      <c r="H1440">
        <v>1299.6922606999999</v>
      </c>
      <c r="I1440">
        <v>1342.1386719</v>
      </c>
      <c r="J1440">
        <v>1338.6147461</v>
      </c>
      <c r="K1440">
        <v>0</v>
      </c>
      <c r="L1440">
        <v>1200</v>
      </c>
      <c r="M1440">
        <v>1200</v>
      </c>
      <c r="N1440">
        <v>0</v>
      </c>
    </row>
    <row r="1441" spans="1:14" x14ac:dyDescent="0.25">
      <c r="A1441">
        <v>1658.4048399999999</v>
      </c>
      <c r="B1441" s="1">
        <f>DATE(2014,11,14) + TIME(9,42,58)</f>
        <v>41957.40483796296</v>
      </c>
      <c r="C1441">
        <v>80</v>
      </c>
      <c r="D1441">
        <v>77.987892150999997</v>
      </c>
      <c r="E1441">
        <v>50</v>
      </c>
      <c r="F1441">
        <v>49.883487701</v>
      </c>
      <c r="G1441">
        <v>1312.7030029</v>
      </c>
      <c r="H1441">
        <v>1299.651001</v>
      </c>
      <c r="I1441">
        <v>1342.1291504000001</v>
      </c>
      <c r="J1441">
        <v>1338.6054687999999</v>
      </c>
      <c r="K1441">
        <v>0</v>
      </c>
      <c r="L1441">
        <v>1200</v>
      </c>
      <c r="M1441">
        <v>1200</v>
      </c>
      <c r="N1441">
        <v>0</v>
      </c>
    </row>
    <row r="1442" spans="1:14" x14ac:dyDescent="0.25">
      <c r="A1442">
        <v>1659.7557449999999</v>
      </c>
      <c r="B1442" s="1">
        <f>DATE(2014,11,15) + TIME(18,8,16)</f>
        <v>41958.755740740744</v>
      </c>
      <c r="C1442">
        <v>80</v>
      </c>
      <c r="D1442">
        <v>77.831962584999999</v>
      </c>
      <c r="E1442">
        <v>50</v>
      </c>
      <c r="F1442">
        <v>49.884998322000001</v>
      </c>
      <c r="G1442">
        <v>1312.6673584</v>
      </c>
      <c r="H1442">
        <v>1299.6068115</v>
      </c>
      <c r="I1442">
        <v>1342.1204834</v>
      </c>
      <c r="J1442">
        <v>1338.5968018000001</v>
      </c>
      <c r="K1442">
        <v>0</v>
      </c>
      <c r="L1442">
        <v>1200</v>
      </c>
      <c r="M1442">
        <v>1200</v>
      </c>
      <c r="N1442">
        <v>0</v>
      </c>
    </row>
    <row r="1443" spans="1:14" x14ac:dyDescent="0.25">
      <c r="A1443">
        <v>1661.2163009999999</v>
      </c>
      <c r="B1443" s="1">
        <f>DATE(2014,11,17) + TIME(5,11,28)</f>
        <v>41960.216296296298</v>
      </c>
      <c r="C1443">
        <v>80</v>
      </c>
      <c r="D1443">
        <v>77.668342589999995</v>
      </c>
      <c r="E1443">
        <v>50</v>
      </c>
      <c r="F1443">
        <v>49.886199951000002</v>
      </c>
      <c r="G1443">
        <v>1312.6289062000001</v>
      </c>
      <c r="H1443">
        <v>1299.5589600000001</v>
      </c>
      <c r="I1443">
        <v>1342.1121826000001</v>
      </c>
      <c r="J1443">
        <v>1338.5883789</v>
      </c>
      <c r="K1443">
        <v>0</v>
      </c>
      <c r="L1443">
        <v>1200</v>
      </c>
      <c r="M1443">
        <v>1200</v>
      </c>
      <c r="N1443">
        <v>0</v>
      </c>
    </row>
    <row r="1444" spans="1:14" x14ac:dyDescent="0.25">
      <c r="A1444">
        <v>1662.810399</v>
      </c>
      <c r="B1444" s="1">
        <f>DATE(2014,11,18) + TIME(19,26,58)</f>
        <v>41961.810393518521</v>
      </c>
      <c r="C1444">
        <v>80</v>
      </c>
      <c r="D1444">
        <v>77.495513915999993</v>
      </c>
      <c r="E1444">
        <v>50</v>
      </c>
      <c r="F1444">
        <v>49.887195587000001</v>
      </c>
      <c r="G1444">
        <v>1312.5869141000001</v>
      </c>
      <c r="H1444">
        <v>1299.5064697</v>
      </c>
      <c r="I1444">
        <v>1342.1043701000001</v>
      </c>
      <c r="J1444">
        <v>1338.5800781</v>
      </c>
      <c r="K1444">
        <v>0</v>
      </c>
      <c r="L1444">
        <v>1200</v>
      </c>
      <c r="M1444">
        <v>1200</v>
      </c>
      <c r="N1444">
        <v>0</v>
      </c>
    </row>
    <row r="1445" spans="1:14" x14ac:dyDescent="0.25">
      <c r="A1445">
        <v>1664.5685289999999</v>
      </c>
      <c r="B1445" s="1">
        <f>DATE(2014,11,20) + TIME(13,38,40)</f>
        <v>41963.568518518521</v>
      </c>
      <c r="C1445">
        <v>80</v>
      </c>
      <c r="D1445">
        <v>77.311614989999995</v>
      </c>
      <c r="E1445">
        <v>50</v>
      </c>
      <c r="F1445">
        <v>49.888061522999998</v>
      </c>
      <c r="G1445">
        <v>1312.5406493999999</v>
      </c>
      <c r="H1445">
        <v>1299.4483643000001</v>
      </c>
      <c r="I1445">
        <v>1342.0968018000001</v>
      </c>
      <c r="J1445">
        <v>1338.5718993999999</v>
      </c>
      <c r="K1445">
        <v>0</v>
      </c>
      <c r="L1445">
        <v>1200</v>
      </c>
      <c r="M1445">
        <v>1200</v>
      </c>
      <c r="N1445">
        <v>0</v>
      </c>
    </row>
    <row r="1446" spans="1:14" x14ac:dyDescent="0.25">
      <c r="A1446">
        <v>1666.5317809999999</v>
      </c>
      <c r="B1446" s="1">
        <f>DATE(2014,11,22) + TIME(12,45,45)</f>
        <v>41965.531770833331</v>
      </c>
      <c r="C1446">
        <v>80</v>
      </c>
      <c r="D1446">
        <v>77.114196777000004</v>
      </c>
      <c r="E1446">
        <v>50</v>
      </c>
      <c r="F1446">
        <v>49.888847351000003</v>
      </c>
      <c r="G1446">
        <v>1312.4888916</v>
      </c>
      <c r="H1446">
        <v>1299.3831786999999</v>
      </c>
      <c r="I1446">
        <v>1342.0893555</v>
      </c>
      <c r="J1446">
        <v>1338.5635986</v>
      </c>
      <c r="K1446">
        <v>0</v>
      </c>
      <c r="L1446">
        <v>1200</v>
      </c>
      <c r="M1446">
        <v>1200</v>
      </c>
      <c r="N1446">
        <v>0</v>
      </c>
    </row>
    <row r="1447" spans="1:14" x14ac:dyDescent="0.25">
      <c r="A1447">
        <v>1668.7560120000001</v>
      </c>
      <c r="B1447" s="1">
        <f>DATE(2014,11,24) + TIME(18,8,39)</f>
        <v>41967.756006944444</v>
      </c>
      <c r="C1447">
        <v>80</v>
      </c>
      <c r="D1447">
        <v>76.900108337000006</v>
      </c>
      <c r="E1447">
        <v>50</v>
      </c>
      <c r="F1447">
        <v>49.889595032000003</v>
      </c>
      <c r="G1447">
        <v>1312.4301757999999</v>
      </c>
      <c r="H1447">
        <v>1299.309082</v>
      </c>
      <c r="I1447">
        <v>1342.0820312000001</v>
      </c>
      <c r="J1447">
        <v>1338.5550536999999</v>
      </c>
      <c r="K1447">
        <v>0</v>
      </c>
      <c r="L1447">
        <v>1200</v>
      </c>
      <c r="M1447">
        <v>1200</v>
      </c>
      <c r="N1447">
        <v>0</v>
      </c>
    </row>
    <row r="1448" spans="1:14" x14ac:dyDescent="0.25">
      <c r="A1448">
        <v>1671.286353</v>
      </c>
      <c r="B1448" s="1">
        <f>DATE(2014,11,27) + TIME(6,52,20)</f>
        <v>41970.28634259259</v>
      </c>
      <c r="C1448">
        <v>80</v>
      </c>
      <c r="D1448">
        <v>76.666709900000001</v>
      </c>
      <c r="E1448">
        <v>50</v>
      </c>
      <c r="F1448">
        <v>49.890327454000001</v>
      </c>
      <c r="G1448">
        <v>1312.3624268000001</v>
      </c>
      <c r="H1448">
        <v>1299.2231445</v>
      </c>
      <c r="I1448">
        <v>1342.074707</v>
      </c>
      <c r="J1448">
        <v>1338.5462646000001</v>
      </c>
      <c r="K1448">
        <v>0</v>
      </c>
      <c r="L1448">
        <v>1200</v>
      </c>
      <c r="M1448">
        <v>1200</v>
      </c>
      <c r="N1448">
        <v>0</v>
      </c>
    </row>
    <row r="1449" spans="1:14" x14ac:dyDescent="0.25">
      <c r="A1449">
        <v>1673.8920459999999</v>
      </c>
      <c r="B1449" s="1">
        <f>DATE(2014,11,29) + TIME(21,24,32)</f>
        <v>41972.89203703704</v>
      </c>
      <c r="C1449">
        <v>80</v>
      </c>
      <c r="D1449">
        <v>76.424057007000002</v>
      </c>
      <c r="E1449">
        <v>50</v>
      </c>
      <c r="F1449">
        <v>49.890995025999999</v>
      </c>
      <c r="G1449">
        <v>1312.2830810999999</v>
      </c>
      <c r="H1449">
        <v>1299.1235352000001</v>
      </c>
      <c r="I1449">
        <v>1342.0671387</v>
      </c>
      <c r="J1449">
        <v>1338.5368652</v>
      </c>
      <c r="K1449">
        <v>0</v>
      </c>
      <c r="L1449">
        <v>1200</v>
      </c>
      <c r="M1449">
        <v>1200</v>
      </c>
      <c r="N1449">
        <v>0</v>
      </c>
    </row>
    <row r="1450" spans="1:14" x14ac:dyDescent="0.25">
      <c r="A1450">
        <v>1675</v>
      </c>
      <c r="B1450" s="1">
        <f>DATE(2014,12,1) + TIME(0,0,0)</f>
        <v>41974</v>
      </c>
      <c r="C1450">
        <v>80</v>
      </c>
      <c r="D1450">
        <v>76.279701232999997</v>
      </c>
      <c r="E1450">
        <v>50</v>
      </c>
      <c r="F1450">
        <v>49.891269684000001</v>
      </c>
      <c r="G1450">
        <v>1312.1965332</v>
      </c>
      <c r="H1450">
        <v>1299.0246582</v>
      </c>
      <c r="I1450">
        <v>1342.0593262</v>
      </c>
      <c r="J1450">
        <v>1338.5270995999999</v>
      </c>
      <c r="K1450">
        <v>0</v>
      </c>
      <c r="L1450">
        <v>1200</v>
      </c>
      <c r="M1450">
        <v>1200</v>
      </c>
      <c r="N1450">
        <v>0</v>
      </c>
    </row>
    <row r="1451" spans="1:14" x14ac:dyDescent="0.25">
      <c r="A1451">
        <v>1677.655172</v>
      </c>
      <c r="B1451" s="1">
        <f>DATE(2014,12,3) + TIME(15,43,26)</f>
        <v>41976.655162037037</v>
      </c>
      <c r="C1451">
        <v>80</v>
      </c>
      <c r="D1451">
        <v>76.055686950999998</v>
      </c>
      <c r="E1451">
        <v>50</v>
      </c>
      <c r="F1451">
        <v>49.891841888000002</v>
      </c>
      <c r="G1451">
        <v>1312.1618652</v>
      </c>
      <c r="H1451">
        <v>1298.9656981999999</v>
      </c>
      <c r="I1451">
        <v>1342.0576172000001</v>
      </c>
      <c r="J1451">
        <v>1338.5245361</v>
      </c>
      <c r="K1451">
        <v>0</v>
      </c>
      <c r="L1451">
        <v>1200</v>
      </c>
      <c r="M1451">
        <v>1200</v>
      </c>
      <c r="N1451">
        <v>0</v>
      </c>
    </row>
    <row r="1452" spans="1:14" x14ac:dyDescent="0.25">
      <c r="A1452">
        <v>1680.3983250000001</v>
      </c>
      <c r="B1452" s="1">
        <f>DATE(2014,12,6) + TIME(9,33,35)</f>
        <v>41979.398321759261</v>
      </c>
      <c r="C1452">
        <v>80</v>
      </c>
      <c r="D1452">
        <v>75.821243285999998</v>
      </c>
      <c r="E1452">
        <v>50</v>
      </c>
      <c r="F1452">
        <v>49.892387390000003</v>
      </c>
      <c r="G1452">
        <v>1312.0731201000001</v>
      </c>
      <c r="H1452">
        <v>1298.8519286999999</v>
      </c>
      <c r="I1452">
        <v>1342.0518798999999</v>
      </c>
      <c r="J1452">
        <v>1338.5166016000001</v>
      </c>
      <c r="K1452">
        <v>0</v>
      </c>
      <c r="L1452">
        <v>1200</v>
      </c>
      <c r="M1452">
        <v>1200</v>
      </c>
      <c r="N1452">
        <v>0</v>
      </c>
    </row>
    <row r="1453" spans="1:14" x14ac:dyDescent="0.25">
      <c r="A1453">
        <v>1683.1714139999999</v>
      </c>
      <c r="B1453" s="1">
        <f>DATE(2014,12,9) + TIME(4,6,50)</f>
        <v>41982.171412037038</v>
      </c>
      <c r="C1453">
        <v>80</v>
      </c>
      <c r="D1453">
        <v>75.583923339999998</v>
      </c>
      <c r="E1453">
        <v>50</v>
      </c>
      <c r="F1453">
        <v>49.892898559999999</v>
      </c>
      <c r="G1453">
        <v>1311.9782714999999</v>
      </c>
      <c r="H1453">
        <v>1298.7287598</v>
      </c>
      <c r="I1453">
        <v>1342.0465088000001</v>
      </c>
      <c r="J1453">
        <v>1338.5089111</v>
      </c>
      <c r="K1453">
        <v>0</v>
      </c>
      <c r="L1453">
        <v>1200</v>
      </c>
      <c r="M1453">
        <v>1200</v>
      </c>
      <c r="N1453">
        <v>0</v>
      </c>
    </row>
    <row r="1454" spans="1:14" x14ac:dyDescent="0.25">
      <c r="A1454">
        <v>1685.9817519999999</v>
      </c>
      <c r="B1454" s="1">
        <f>DATE(2014,12,11) + TIME(23,33,43)</f>
        <v>41984.981747685182</v>
      </c>
      <c r="C1454">
        <v>80</v>
      </c>
      <c r="D1454">
        <v>75.347183228000006</v>
      </c>
      <c r="E1454">
        <v>50</v>
      </c>
      <c r="F1454">
        <v>49.893386841000002</v>
      </c>
      <c r="G1454">
        <v>1311.8791504000001</v>
      </c>
      <c r="H1454">
        <v>1298.5981445</v>
      </c>
      <c r="I1454">
        <v>1342.0417480000001</v>
      </c>
      <c r="J1454">
        <v>1338.5017089999999</v>
      </c>
      <c r="K1454">
        <v>0</v>
      </c>
      <c r="L1454">
        <v>1200</v>
      </c>
      <c r="M1454">
        <v>1200</v>
      </c>
      <c r="N1454">
        <v>0</v>
      </c>
    </row>
    <row r="1455" spans="1:14" x14ac:dyDescent="0.25">
      <c r="A1455">
        <v>1688.839909</v>
      </c>
      <c r="B1455" s="1">
        <f>DATE(2014,12,14) + TIME(20,9,28)</f>
        <v>41987.839907407404</v>
      </c>
      <c r="C1455">
        <v>80</v>
      </c>
      <c r="D1455">
        <v>75.112129210999996</v>
      </c>
      <c r="E1455">
        <v>50</v>
      </c>
      <c r="F1455">
        <v>49.893852234000001</v>
      </c>
      <c r="G1455">
        <v>1311.7753906</v>
      </c>
      <c r="H1455">
        <v>1298.4597168</v>
      </c>
      <c r="I1455">
        <v>1342.0374756000001</v>
      </c>
      <c r="J1455">
        <v>1338.4948730000001</v>
      </c>
      <c r="K1455">
        <v>0</v>
      </c>
      <c r="L1455">
        <v>1200</v>
      </c>
      <c r="M1455">
        <v>1200</v>
      </c>
      <c r="N1455">
        <v>0</v>
      </c>
    </row>
    <row r="1456" spans="1:14" x14ac:dyDescent="0.25">
      <c r="A1456">
        <v>1691.7562379999999</v>
      </c>
      <c r="B1456" s="1">
        <f>DATE(2014,12,17) + TIME(18,8,58)</f>
        <v>41990.756226851852</v>
      </c>
      <c r="C1456">
        <v>80</v>
      </c>
      <c r="D1456">
        <v>74.878677367999998</v>
      </c>
      <c r="E1456">
        <v>50</v>
      </c>
      <c r="F1456">
        <v>49.894302367999998</v>
      </c>
      <c r="G1456">
        <v>1311.6663818</v>
      </c>
      <c r="H1456">
        <v>1298.3127440999999</v>
      </c>
      <c r="I1456">
        <v>1342.0336914</v>
      </c>
      <c r="J1456">
        <v>1338.4885254000001</v>
      </c>
      <c r="K1456">
        <v>0</v>
      </c>
      <c r="L1456">
        <v>1200</v>
      </c>
      <c r="M1456">
        <v>1200</v>
      </c>
      <c r="N1456">
        <v>0</v>
      </c>
    </row>
    <row r="1457" spans="1:14" x14ac:dyDescent="0.25">
      <c r="A1457">
        <v>1694.714516</v>
      </c>
      <c r="B1457" s="1">
        <f>DATE(2014,12,20) + TIME(17,8,54)</f>
        <v>41993.714513888888</v>
      </c>
      <c r="C1457">
        <v>80</v>
      </c>
      <c r="D1457">
        <v>74.647117614999999</v>
      </c>
      <c r="E1457">
        <v>50</v>
      </c>
      <c r="F1457">
        <v>49.894737243999998</v>
      </c>
      <c r="G1457">
        <v>1311.5512695</v>
      </c>
      <c r="H1457">
        <v>1298.1563721</v>
      </c>
      <c r="I1457">
        <v>1342.0302733999999</v>
      </c>
      <c r="J1457">
        <v>1338.4822998</v>
      </c>
      <c r="K1457">
        <v>0</v>
      </c>
      <c r="L1457">
        <v>1200</v>
      </c>
      <c r="M1457">
        <v>1200</v>
      </c>
      <c r="N1457">
        <v>0</v>
      </c>
    </row>
    <row r="1458" spans="1:14" x14ac:dyDescent="0.25">
      <c r="A1458">
        <v>1697.7049340000001</v>
      </c>
      <c r="B1458" s="1">
        <f>DATE(2014,12,23) + TIME(16,55,6)</f>
        <v>41996.704930555556</v>
      </c>
      <c r="C1458">
        <v>80</v>
      </c>
      <c r="D1458">
        <v>74.417869568</v>
      </c>
      <c r="E1458">
        <v>50</v>
      </c>
      <c r="F1458">
        <v>49.895160675</v>
      </c>
      <c r="G1458">
        <v>1311.4306641000001</v>
      </c>
      <c r="H1458">
        <v>1297.9908447</v>
      </c>
      <c r="I1458">
        <v>1342.0272216999999</v>
      </c>
      <c r="J1458">
        <v>1338.4765625</v>
      </c>
      <c r="K1458">
        <v>0</v>
      </c>
      <c r="L1458">
        <v>1200</v>
      </c>
      <c r="M1458">
        <v>1200</v>
      </c>
      <c r="N1458">
        <v>0</v>
      </c>
    </row>
    <row r="1459" spans="1:14" x14ac:dyDescent="0.25">
      <c r="A1459">
        <v>1700.739184</v>
      </c>
      <c r="B1459" s="1">
        <f>DATE(2014,12,26) + TIME(17,44,25)</f>
        <v>41999.739178240743</v>
      </c>
      <c r="C1459">
        <v>80</v>
      </c>
      <c r="D1459">
        <v>74.190452575999998</v>
      </c>
      <c r="E1459">
        <v>50</v>
      </c>
      <c r="F1459">
        <v>49.895576476999999</v>
      </c>
      <c r="G1459">
        <v>1311.3045654</v>
      </c>
      <c r="H1459">
        <v>1297.8161620999999</v>
      </c>
      <c r="I1459">
        <v>1342.0245361</v>
      </c>
      <c r="J1459">
        <v>1338.4710693</v>
      </c>
      <c r="K1459">
        <v>0</v>
      </c>
      <c r="L1459">
        <v>1200</v>
      </c>
      <c r="M1459">
        <v>1200</v>
      </c>
      <c r="N1459">
        <v>0</v>
      </c>
    </row>
    <row r="1460" spans="1:14" x14ac:dyDescent="0.25">
      <c r="A1460">
        <v>1703.8286370000001</v>
      </c>
      <c r="B1460" s="1">
        <f>DATE(2014,12,29) + TIME(19,53,14)</f>
        <v>42002.828634259262</v>
      </c>
      <c r="C1460">
        <v>80</v>
      </c>
      <c r="D1460">
        <v>73.963966369999994</v>
      </c>
      <c r="E1460">
        <v>50</v>
      </c>
      <c r="F1460">
        <v>49.895984650000003</v>
      </c>
      <c r="G1460">
        <v>1311.1724853999999</v>
      </c>
      <c r="H1460">
        <v>1297.6315918</v>
      </c>
      <c r="I1460">
        <v>1342.0220947</v>
      </c>
      <c r="J1460">
        <v>1338.4658202999999</v>
      </c>
      <c r="K1460">
        <v>0</v>
      </c>
      <c r="L1460">
        <v>1200</v>
      </c>
      <c r="M1460">
        <v>1200</v>
      </c>
      <c r="N1460">
        <v>0</v>
      </c>
    </row>
    <row r="1461" spans="1:14" x14ac:dyDescent="0.25">
      <c r="A1461">
        <v>1706</v>
      </c>
      <c r="B1461" s="1">
        <f>DATE(2015,1,1) + TIME(0,0,0)</f>
        <v>42005</v>
      </c>
      <c r="C1461">
        <v>80</v>
      </c>
      <c r="D1461">
        <v>73.776580811000002</v>
      </c>
      <c r="E1461">
        <v>50</v>
      </c>
      <c r="F1461">
        <v>49.896274566999999</v>
      </c>
      <c r="G1461">
        <v>1311.0351562000001</v>
      </c>
      <c r="H1461">
        <v>1297.4448242000001</v>
      </c>
      <c r="I1461">
        <v>1342.0192870999999</v>
      </c>
      <c r="J1461">
        <v>1338.4600829999999</v>
      </c>
      <c r="K1461">
        <v>0</v>
      </c>
      <c r="L1461">
        <v>1200</v>
      </c>
      <c r="M1461">
        <v>1200</v>
      </c>
      <c r="N1461">
        <v>0</v>
      </c>
    </row>
    <row r="1462" spans="1:14" x14ac:dyDescent="0.25">
      <c r="A1462">
        <v>1709.149856</v>
      </c>
      <c r="B1462" s="1">
        <f>DATE(2015,1,4) + TIME(3,35,47)</f>
        <v>42008.14984953704</v>
      </c>
      <c r="C1462">
        <v>80</v>
      </c>
      <c r="D1462">
        <v>73.567626953000001</v>
      </c>
      <c r="E1462">
        <v>50</v>
      </c>
      <c r="F1462">
        <v>49.896667479999998</v>
      </c>
      <c r="G1462">
        <v>1310.9306641000001</v>
      </c>
      <c r="H1462">
        <v>1297.2866211</v>
      </c>
      <c r="I1462">
        <v>1342.0189209</v>
      </c>
      <c r="J1462">
        <v>1338.4575195</v>
      </c>
      <c r="K1462">
        <v>0</v>
      </c>
      <c r="L1462">
        <v>1200</v>
      </c>
      <c r="M1462">
        <v>1200</v>
      </c>
      <c r="N1462">
        <v>0</v>
      </c>
    </row>
    <row r="1463" spans="1:14" x14ac:dyDescent="0.25">
      <c r="A1463">
        <v>1712.374102</v>
      </c>
      <c r="B1463" s="1">
        <f>DATE(2015,1,7) + TIME(8,58,42)</f>
        <v>42011.374097222222</v>
      </c>
      <c r="C1463">
        <v>80</v>
      </c>
      <c r="D1463">
        <v>73.349136353000006</v>
      </c>
      <c r="E1463">
        <v>50</v>
      </c>
      <c r="F1463">
        <v>49.897060394</v>
      </c>
      <c r="G1463">
        <v>1310.7834473</v>
      </c>
      <c r="H1463">
        <v>1297.0780029</v>
      </c>
      <c r="I1463">
        <v>1342.0172118999999</v>
      </c>
      <c r="J1463">
        <v>1338.4530029</v>
      </c>
      <c r="K1463">
        <v>0</v>
      </c>
      <c r="L1463">
        <v>1200</v>
      </c>
      <c r="M1463">
        <v>1200</v>
      </c>
      <c r="N1463">
        <v>0</v>
      </c>
    </row>
    <row r="1464" spans="1:14" x14ac:dyDescent="0.25">
      <c r="A1464">
        <v>1715.6539110000001</v>
      </c>
      <c r="B1464" s="1">
        <f>DATE(2015,1,10) + TIME(15,41,37)</f>
        <v>42014.653900462959</v>
      </c>
      <c r="C1464">
        <v>80</v>
      </c>
      <c r="D1464">
        <v>73.125137328999998</v>
      </c>
      <c r="E1464">
        <v>50</v>
      </c>
      <c r="F1464">
        <v>49.897449493000003</v>
      </c>
      <c r="G1464">
        <v>1310.6276855000001</v>
      </c>
      <c r="H1464">
        <v>1296.8548584</v>
      </c>
      <c r="I1464">
        <v>1342.0157471</v>
      </c>
      <c r="J1464">
        <v>1338.4486084</v>
      </c>
      <c r="K1464">
        <v>0</v>
      </c>
      <c r="L1464">
        <v>1200</v>
      </c>
      <c r="M1464">
        <v>1200</v>
      </c>
      <c r="N1464">
        <v>0</v>
      </c>
    </row>
    <row r="1465" spans="1:14" x14ac:dyDescent="0.25">
      <c r="A1465">
        <v>1718.9680269999999</v>
      </c>
      <c r="B1465" s="1">
        <f>DATE(2015,1,13) + TIME(23,13,57)</f>
        <v>42017.96802083333</v>
      </c>
      <c r="C1465">
        <v>80</v>
      </c>
      <c r="D1465">
        <v>72.897994995000005</v>
      </c>
      <c r="E1465">
        <v>50</v>
      </c>
      <c r="F1465">
        <v>49.897838593000003</v>
      </c>
      <c r="G1465">
        <v>1310.4645995999999</v>
      </c>
      <c r="H1465">
        <v>1296.6190185999999</v>
      </c>
      <c r="I1465">
        <v>1342.0145264</v>
      </c>
      <c r="J1465">
        <v>1338.4444579999999</v>
      </c>
      <c r="K1465">
        <v>0</v>
      </c>
      <c r="L1465">
        <v>1200</v>
      </c>
      <c r="M1465">
        <v>1200</v>
      </c>
      <c r="N1465">
        <v>0</v>
      </c>
    </row>
    <row r="1466" spans="1:14" x14ac:dyDescent="0.25">
      <c r="A1466">
        <v>1722.3289500000001</v>
      </c>
      <c r="B1466" s="1">
        <f>DATE(2015,1,17) + TIME(7,53,41)</f>
        <v>42021.328946759262</v>
      </c>
      <c r="C1466">
        <v>80</v>
      </c>
      <c r="D1466">
        <v>72.668235779</v>
      </c>
      <c r="E1466">
        <v>50</v>
      </c>
      <c r="F1466">
        <v>49.898220062</v>
      </c>
      <c r="G1466">
        <v>1310.2952881000001</v>
      </c>
      <c r="H1466">
        <v>1296.3720702999999</v>
      </c>
      <c r="I1466">
        <v>1342.0136719</v>
      </c>
      <c r="J1466">
        <v>1338.4405518000001</v>
      </c>
      <c r="K1466">
        <v>0</v>
      </c>
      <c r="L1466">
        <v>1200</v>
      </c>
      <c r="M1466">
        <v>1200</v>
      </c>
      <c r="N1466">
        <v>0</v>
      </c>
    </row>
    <row r="1467" spans="1:14" x14ac:dyDescent="0.25">
      <c r="A1467">
        <v>1725.7493489999999</v>
      </c>
      <c r="B1467" s="1">
        <f>DATE(2015,1,20) + TIME(17,59,3)</f>
        <v>42024.749340277776</v>
      </c>
      <c r="C1467">
        <v>80</v>
      </c>
      <c r="D1467">
        <v>72.435317992999998</v>
      </c>
      <c r="E1467">
        <v>50</v>
      </c>
      <c r="F1467">
        <v>49.898601532000001</v>
      </c>
      <c r="G1467">
        <v>1310.1192627</v>
      </c>
      <c r="H1467">
        <v>1296.1136475000001</v>
      </c>
      <c r="I1467">
        <v>1342.0128173999999</v>
      </c>
      <c r="J1467">
        <v>1338.4367675999999</v>
      </c>
      <c r="K1467">
        <v>0</v>
      </c>
      <c r="L1467">
        <v>1200</v>
      </c>
      <c r="M1467">
        <v>1200</v>
      </c>
      <c r="N1467">
        <v>0</v>
      </c>
    </row>
    <row r="1468" spans="1:14" x14ac:dyDescent="0.25">
      <c r="A1468">
        <v>1729.229055</v>
      </c>
      <c r="B1468" s="1">
        <f>DATE(2015,1,24) + TIME(5,29,50)</f>
        <v>42028.229050925926</v>
      </c>
      <c r="C1468">
        <v>80</v>
      </c>
      <c r="D1468">
        <v>72.198570251000007</v>
      </c>
      <c r="E1468">
        <v>50</v>
      </c>
      <c r="F1468">
        <v>49.898983002000001</v>
      </c>
      <c r="G1468">
        <v>1309.9362793</v>
      </c>
      <c r="H1468">
        <v>1295.8431396000001</v>
      </c>
      <c r="I1468">
        <v>1342.0123291</v>
      </c>
      <c r="J1468">
        <v>1338.4332274999999</v>
      </c>
      <c r="K1468">
        <v>0</v>
      </c>
      <c r="L1468">
        <v>1200</v>
      </c>
      <c r="M1468">
        <v>1200</v>
      </c>
      <c r="N1468">
        <v>0</v>
      </c>
    </row>
    <row r="1469" spans="1:14" x14ac:dyDescent="0.25">
      <c r="A1469">
        <v>1732.752332</v>
      </c>
      <c r="B1469" s="1">
        <f>DATE(2015,1,27) + TIME(18,3,21)</f>
        <v>42031.752326388887</v>
      </c>
      <c r="C1469">
        <v>80</v>
      </c>
      <c r="D1469">
        <v>71.957786560000002</v>
      </c>
      <c r="E1469">
        <v>50</v>
      </c>
      <c r="F1469">
        <v>49.899356842000003</v>
      </c>
      <c r="G1469">
        <v>1309.7460937999999</v>
      </c>
      <c r="H1469">
        <v>1295.5605469</v>
      </c>
      <c r="I1469">
        <v>1342.0118408000001</v>
      </c>
      <c r="J1469">
        <v>1338.4299315999999</v>
      </c>
      <c r="K1469">
        <v>0</v>
      </c>
      <c r="L1469">
        <v>1200</v>
      </c>
      <c r="M1469">
        <v>1200</v>
      </c>
      <c r="N1469">
        <v>0</v>
      </c>
    </row>
    <row r="1470" spans="1:14" x14ac:dyDescent="0.25">
      <c r="A1470">
        <v>1736.319767</v>
      </c>
      <c r="B1470" s="1">
        <f>DATE(2015,1,31) + TIME(7,40,27)</f>
        <v>42035.319756944446</v>
      </c>
      <c r="C1470">
        <v>80</v>
      </c>
      <c r="D1470">
        <v>71.712654114000003</v>
      </c>
      <c r="E1470">
        <v>50</v>
      </c>
      <c r="F1470">
        <v>49.899730681999998</v>
      </c>
      <c r="G1470">
        <v>1309.5499268000001</v>
      </c>
      <c r="H1470">
        <v>1295.2669678</v>
      </c>
      <c r="I1470">
        <v>1342.0115966999999</v>
      </c>
      <c r="J1470">
        <v>1338.4267577999999</v>
      </c>
      <c r="K1470">
        <v>0</v>
      </c>
      <c r="L1470">
        <v>1200</v>
      </c>
      <c r="M1470">
        <v>1200</v>
      </c>
      <c r="N1470">
        <v>0</v>
      </c>
    </row>
    <row r="1471" spans="1:14" x14ac:dyDescent="0.25">
      <c r="A1471">
        <v>1737</v>
      </c>
      <c r="B1471" s="1">
        <f>DATE(2015,2,1) + TIME(0,0,0)</f>
        <v>42036</v>
      </c>
      <c r="C1471">
        <v>80</v>
      </c>
      <c r="D1471">
        <v>71.624046325999998</v>
      </c>
      <c r="E1471">
        <v>50</v>
      </c>
      <c r="F1471">
        <v>49.899814606</v>
      </c>
      <c r="G1471">
        <v>1309.3645019999999</v>
      </c>
      <c r="H1471">
        <v>1295.0245361</v>
      </c>
      <c r="I1471">
        <v>1342.0085449000001</v>
      </c>
      <c r="J1471">
        <v>1338.4210204999999</v>
      </c>
      <c r="K1471">
        <v>0</v>
      </c>
      <c r="L1471">
        <v>1200</v>
      </c>
      <c r="M1471">
        <v>1200</v>
      </c>
      <c r="N1471">
        <v>0</v>
      </c>
    </row>
    <row r="1472" spans="1:14" x14ac:dyDescent="0.25">
      <c r="A1472">
        <v>1740.624378</v>
      </c>
      <c r="B1472" s="1">
        <f>DATE(2015,2,4) + TIME(14,59,6)</f>
        <v>42039.624374999999</v>
      </c>
      <c r="C1472">
        <v>80</v>
      </c>
      <c r="D1472">
        <v>71.396812439000001</v>
      </c>
      <c r="E1472">
        <v>50</v>
      </c>
      <c r="F1472">
        <v>49.900177002</v>
      </c>
      <c r="G1472">
        <v>1309.3020019999999</v>
      </c>
      <c r="H1472">
        <v>1294.8875731999999</v>
      </c>
      <c r="I1472">
        <v>1342.0117187999999</v>
      </c>
      <c r="J1472">
        <v>1338.4234618999999</v>
      </c>
      <c r="K1472">
        <v>0</v>
      </c>
      <c r="L1472">
        <v>1200</v>
      </c>
      <c r="M1472">
        <v>1200</v>
      </c>
      <c r="N1472">
        <v>0</v>
      </c>
    </row>
    <row r="1473" spans="1:14" x14ac:dyDescent="0.25">
      <c r="A1473">
        <v>1744.3345939999999</v>
      </c>
      <c r="B1473" s="1">
        <f>DATE(2015,2,8) + TIME(8,1,48)</f>
        <v>42043.334583333337</v>
      </c>
      <c r="C1473">
        <v>80</v>
      </c>
      <c r="D1473">
        <v>71.148933411000002</v>
      </c>
      <c r="E1473">
        <v>50</v>
      </c>
      <c r="F1473">
        <v>49.900539397999999</v>
      </c>
      <c r="G1473">
        <v>1309.0963135</v>
      </c>
      <c r="H1473">
        <v>1294.5793457</v>
      </c>
      <c r="I1473">
        <v>1342.0117187999999</v>
      </c>
      <c r="J1473">
        <v>1338.4206543</v>
      </c>
      <c r="K1473">
        <v>0</v>
      </c>
      <c r="L1473">
        <v>1200</v>
      </c>
      <c r="M1473">
        <v>1200</v>
      </c>
      <c r="N1473">
        <v>0</v>
      </c>
    </row>
    <row r="1474" spans="1:14" x14ac:dyDescent="0.25">
      <c r="A1474">
        <v>1748.121654</v>
      </c>
      <c r="B1474" s="1">
        <f>DATE(2015,2,12) + TIME(2,55,10)</f>
        <v>42047.12164351852</v>
      </c>
      <c r="C1474">
        <v>80</v>
      </c>
      <c r="D1474">
        <v>70.887008667000003</v>
      </c>
      <c r="E1474">
        <v>50</v>
      </c>
      <c r="F1474">
        <v>49.900905608999999</v>
      </c>
      <c r="G1474">
        <v>1308.8807373</v>
      </c>
      <c r="H1474">
        <v>1294.2524414</v>
      </c>
      <c r="I1474">
        <v>1342.0118408000001</v>
      </c>
      <c r="J1474">
        <v>1338.4179687999999</v>
      </c>
      <c r="K1474">
        <v>0</v>
      </c>
      <c r="L1474">
        <v>1200</v>
      </c>
      <c r="M1474">
        <v>1200</v>
      </c>
      <c r="N1474">
        <v>0</v>
      </c>
    </row>
    <row r="1475" spans="1:14" x14ac:dyDescent="0.25">
      <c r="A1475">
        <v>1751.985831</v>
      </c>
      <c r="B1475" s="1">
        <f>DATE(2015,2,15) + TIME(23,39,35)</f>
        <v>42050.985821759263</v>
      </c>
      <c r="C1475">
        <v>80</v>
      </c>
      <c r="D1475">
        <v>70.613563537999994</v>
      </c>
      <c r="E1475">
        <v>50</v>
      </c>
      <c r="F1475">
        <v>49.901268004999999</v>
      </c>
      <c r="G1475">
        <v>1308.6569824000001</v>
      </c>
      <c r="H1475">
        <v>1293.9105225000001</v>
      </c>
      <c r="I1475">
        <v>1342.0120850000001</v>
      </c>
      <c r="J1475">
        <v>1338.4155272999999</v>
      </c>
      <c r="K1475">
        <v>0</v>
      </c>
      <c r="L1475">
        <v>1200</v>
      </c>
      <c r="M1475">
        <v>1200</v>
      </c>
      <c r="N1475">
        <v>0</v>
      </c>
    </row>
    <row r="1476" spans="1:14" x14ac:dyDescent="0.25">
      <c r="A1476">
        <v>1755.9354089999999</v>
      </c>
      <c r="B1476" s="1">
        <f>DATE(2015,2,19) + TIME(22,26,59)</f>
        <v>42054.93540509259</v>
      </c>
      <c r="C1476">
        <v>80</v>
      </c>
      <c r="D1476">
        <v>70.329048157000003</v>
      </c>
      <c r="E1476">
        <v>50</v>
      </c>
      <c r="F1476">
        <v>49.901630402000002</v>
      </c>
      <c r="G1476">
        <v>1308.4257812000001</v>
      </c>
      <c r="H1476">
        <v>1293.5548096</v>
      </c>
      <c r="I1476">
        <v>1342.0124512</v>
      </c>
      <c r="J1476">
        <v>1338.4132079999999</v>
      </c>
      <c r="K1476">
        <v>0</v>
      </c>
      <c r="L1476">
        <v>1200</v>
      </c>
      <c r="M1476">
        <v>1200</v>
      </c>
      <c r="N1476">
        <v>0</v>
      </c>
    </row>
    <row r="1477" spans="1:14" x14ac:dyDescent="0.25">
      <c r="A1477">
        <v>1759.9544980000001</v>
      </c>
      <c r="B1477" s="1">
        <f>DATE(2015,2,23) + TIME(22,54,28)</f>
        <v>42058.95449074074</v>
      </c>
      <c r="C1477">
        <v>80</v>
      </c>
      <c r="D1477">
        <v>70.033660889000004</v>
      </c>
      <c r="E1477">
        <v>50</v>
      </c>
      <c r="F1477">
        <v>49.901992798000002</v>
      </c>
      <c r="G1477">
        <v>1308.1871338000001</v>
      </c>
      <c r="H1477">
        <v>1293.1860352000001</v>
      </c>
      <c r="I1477">
        <v>1342.0128173999999</v>
      </c>
      <c r="J1477">
        <v>1338.4111327999999</v>
      </c>
      <c r="K1477">
        <v>0</v>
      </c>
      <c r="L1477">
        <v>1200</v>
      </c>
      <c r="M1477">
        <v>1200</v>
      </c>
      <c r="N1477">
        <v>0</v>
      </c>
    </row>
    <row r="1478" spans="1:14" x14ac:dyDescent="0.25">
      <c r="A1478">
        <v>1764.0497069999999</v>
      </c>
      <c r="B1478" s="1">
        <f>DATE(2015,2,28) + TIME(1,11,34)</f>
        <v>42063.049699074072</v>
      </c>
      <c r="C1478">
        <v>80</v>
      </c>
      <c r="D1478">
        <v>69.726768493999998</v>
      </c>
      <c r="E1478">
        <v>50</v>
      </c>
      <c r="F1478">
        <v>49.902351379000002</v>
      </c>
      <c r="G1478">
        <v>1307.9422606999999</v>
      </c>
      <c r="H1478">
        <v>1292.8054199000001</v>
      </c>
      <c r="I1478">
        <v>1342.0133057</v>
      </c>
      <c r="J1478">
        <v>1338.4090576000001</v>
      </c>
      <c r="K1478">
        <v>0</v>
      </c>
      <c r="L1478">
        <v>1200</v>
      </c>
      <c r="M1478">
        <v>1200</v>
      </c>
      <c r="N1478">
        <v>0</v>
      </c>
    </row>
    <row r="1479" spans="1:14" x14ac:dyDescent="0.25">
      <c r="A1479">
        <v>1765</v>
      </c>
      <c r="B1479" s="1">
        <f>DATE(2015,3,1) + TIME(0,0,0)</f>
        <v>42064</v>
      </c>
      <c r="C1479">
        <v>80</v>
      </c>
      <c r="D1479">
        <v>69.587554932000003</v>
      </c>
      <c r="E1479">
        <v>50</v>
      </c>
      <c r="F1479">
        <v>49.902442932</v>
      </c>
      <c r="G1479">
        <v>1307.7102050999999</v>
      </c>
      <c r="H1479">
        <v>1292.4887695</v>
      </c>
      <c r="I1479">
        <v>1342.0107422000001</v>
      </c>
      <c r="J1479">
        <v>1338.4042969</v>
      </c>
      <c r="K1479">
        <v>0</v>
      </c>
      <c r="L1479">
        <v>1200</v>
      </c>
      <c r="M1479">
        <v>1200</v>
      </c>
      <c r="N1479">
        <v>0</v>
      </c>
    </row>
    <row r="1480" spans="1:14" x14ac:dyDescent="0.25">
      <c r="A1480">
        <v>1769.171953</v>
      </c>
      <c r="B1480" s="1">
        <f>DATE(2015,3,5) + TIME(4,7,36)</f>
        <v>42068.171944444446</v>
      </c>
      <c r="C1480">
        <v>80</v>
      </c>
      <c r="D1480">
        <v>69.307159424000005</v>
      </c>
      <c r="E1480">
        <v>50</v>
      </c>
      <c r="F1480">
        <v>49.902790070000002</v>
      </c>
      <c r="G1480">
        <v>1307.6225586</v>
      </c>
      <c r="H1480">
        <v>1292.2961425999999</v>
      </c>
      <c r="I1480">
        <v>1342.0144043</v>
      </c>
      <c r="J1480">
        <v>1338.4069824000001</v>
      </c>
      <c r="K1480">
        <v>0</v>
      </c>
      <c r="L1480">
        <v>1200</v>
      </c>
      <c r="M1480">
        <v>1200</v>
      </c>
      <c r="N1480">
        <v>0</v>
      </c>
    </row>
    <row r="1481" spans="1:14" x14ac:dyDescent="0.25">
      <c r="A1481">
        <v>1773.468807</v>
      </c>
      <c r="B1481" s="1">
        <f>DATE(2015,3,9) + TIME(11,15,4)</f>
        <v>42072.4687962963</v>
      </c>
      <c r="C1481">
        <v>80</v>
      </c>
      <c r="D1481">
        <v>68.987586974999999</v>
      </c>
      <c r="E1481">
        <v>50</v>
      </c>
      <c r="F1481">
        <v>49.903141022</v>
      </c>
      <c r="G1481">
        <v>1307.3714600000001</v>
      </c>
      <c r="H1481">
        <v>1291.9069824000001</v>
      </c>
      <c r="I1481">
        <v>1342.0147704999999</v>
      </c>
      <c r="J1481">
        <v>1338.4052733999999</v>
      </c>
      <c r="K1481">
        <v>0</v>
      </c>
      <c r="L1481">
        <v>1200</v>
      </c>
      <c r="M1481">
        <v>1200</v>
      </c>
      <c r="N1481">
        <v>0</v>
      </c>
    </row>
    <row r="1482" spans="1:14" x14ac:dyDescent="0.25">
      <c r="A1482">
        <v>1777.8726260000001</v>
      </c>
      <c r="B1482" s="1">
        <f>DATE(2015,3,13) + TIME(20,56,34)</f>
        <v>42076.872615740744</v>
      </c>
      <c r="C1482">
        <v>80</v>
      </c>
      <c r="D1482">
        <v>68.642364502000007</v>
      </c>
      <c r="E1482">
        <v>50</v>
      </c>
      <c r="F1482">
        <v>49.903491973999998</v>
      </c>
      <c r="G1482">
        <v>1307.1086425999999</v>
      </c>
      <c r="H1482">
        <v>1291.4938964999999</v>
      </c>
      <c r="I1482">
        <v>1342.0153809000001</v>
      </c>
      <c r="J1482">
        <v>1338.4035644999999</v>
      </c>
      <c r="K1482">
        <v>0</v>
      </c>
      <c r="L1482">
        <v>1200</v>
      </c>
      <c r="M1482">
        <v>1200</v>
      </c>
      <c r="N1482">
        <v>0</v>
      </c>
    </row>
    <row r="1483" spans="1:14" x14ac:dyDescent="0.25">
      <c r="A1483">
        <v>1782.396373</v>
      </c>
      <c r="B1483" s="1">
        <f>DATE(2015,3,18) + TIME(9,30,46)</f>
        <v>42081.396365740744</v>
      </c>
      <c r="C1483">
        <v>80</v>
      </c>
      <c r="D1483">
        <v>68.276321410999998</v>
      </c>
      <c r="E1483">
        <v>50</v>
      </c>
      <c r="F1483">
        <v>49.903842926000003</v>
      </c>
      <c r="G1483">
        <v>1306.8374022999999</v>
      </c>
      <c r="H1483">
        <v>1291.0638428</v>
      </c>
      <c r="I1483">
        <v>1342.0159911999999</v>
      </c>
      <c r="J1483">
        <v>1338.4020995999999</v>
      </c>
      <c r="K1483">
        <v>0</v>
      </c>
      <c r="L1483">
        <v>1200</v>
      </c>
      <c r="M1483">
        <v>1200</v>
      </c>
      <c r="N1483">
        <v>0</v>
      </c>
    </row>
    <row r="1484" spans="1:14" x14ac:dyDescent="0.25">
      <c r="A1484">
        <v>1787.0206949999999</v>
      </c>
      <c r="B1484" s="1">
        <f>DATE(2015,3,23) + TIME(0,29,48)</f>
        <v>42086.020694444444</v>
      </c>
      <c r="C1484">
        <v>80</v>
      </c>
      <c r="D1484">
        <v>67.891151428000001</v>
      </c>
      <c r="E1484">
        <v>50</v>
      </c>
      <c r="F1484">
        <v>49.904190063000001</v>
      </c>
      <c r="G1484">
        <v>1306.5585937999999</v>
      </c>
      <c r="H1484">
        <v>1290.6192627</v>
      </c>
      <c r="I1484">
        <v>1342.0167236</v>
      </c>
      <c r="J1484">
        <v>1338.4007568</v>
      </c>
      <c r="K1484">
        <v>0</v>
      </c>
      <c r="L1484">
        <v>1200</v>
      </c>
      <c r="M1484">
        <v>1200</v>
      </c>
      <c r="N1484">
        <v>0</v>
      </c>
    </row>
    <row r="1485" spans="1:14" x14ac:dyDescent="0.25">
      <c r="A1485">
        <v>1791.7458959999999</v>
      </c>
      <c r="B1485" s="1">
        <f>DATE(2015,3,27) + TIME(17,54,5)</f>
        <v>42090.745891203704</v>
      </c>
      <c r="C1485">
        <v>80</v>
      </c>
      <c r="D1485">
        <v>67.487594603999995</v>
      </c>
      <c r="E1485">
        <v>50</v>
      </c>
      <c r="F1485">
        <v>49.904537200999997</v>
      </c>
      <c r="G1485">
        <v>1306.2740478999999</v>
      </c>
      <c r="H1485">
        <v>1290.1628418</v>
      </c>
      <c r="I1485">
        <v>1342.0173339999999</v>
      </c>
      <c r="J1485">
        <v>1338.3995361</v>
      </c>
      <c r="K1485">
        <v>0</v>
      </c>
      <c r="L1485">
        <v>1200</v>
      </c>
      <c r="M1485">
        <v>1200</v>
      </c>
      <c r="N1485">
        <v>0</v>
      </c>
    </row>
    <row r="1486" spans="1:14" x14ac:dyDescent="0.25">
      <c r="A1486">
        <v>1796</v>
      </c>
      <c r="B1486" s="1">
        <f>DATE(2015,4,1) + TIME(0,0,0)</f>
        <v>42095</v>
      </c>
      <c r="C1486">
        <v>80</v>
      </c>
      <c r="D1486">
        <v>67.084182738999999</v>
      </c>
      <c r="E1486">
        <v>50</v>
      </c>
      <c r="F1486">
        <v>49.904842377000001</v>
      </c>
      <c r="G1486">
        <v>1305.9860839999999</v>
      </c>
      <c r="H1486">
        <v>1289.7033690999999</v>
      </c>
      <c r="I1486">
        <v>1342.0177002</v>
      </c>
      <c r="J1486">
        <v>1338.3981934000001</v>
      </c>
      <c r="K1486">
        <v>0</v>
      </c>
      <c r="L1486">
        <v>1200</v>
      </c>
      <c r="M1486">
        <v>1200</v>
      </c>
      <c r="N148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2022-07-25T09:56:52Z</dcterms:created>
  <dcterms:modified xsi:type="dcterms:W3CDTF">2022-07-25T09:57:50Z</dcterms:modified>
</cp:coreProperties>
</file>