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S21_follow_demand_curve/"/>
    </mc:Choice>
  </mc:AlternateContent>
  <xr:revisionPtr revIDLastSave="0" documentId="8_{0B168CDF-CE8A-41D2-9542-9BEB0988E90F}" xr6:coauthVersionLast="47" xr6:coauthVersionMax="47" xr10:uidLastSave="{00000000-0000-0000-0000-000000000000}"/>
  <bookViews>
    <workbookView xWindow="-120" yWindow="-120" windowWidth="20730" windowHeight="11160" xr2:uid="{E6FB220E-4B60-4C4F-9188-412B27E181A1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77" i="1" l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<sst xmlns="http://schemas.openxmlformats.org/spreadsheetml/2006/main" count="15" uniqueCount="15">
  <si>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MODEL\SCENARIOS\2022\S21_follow_demand_curve\S21_follow_demand_curve.sr3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</si>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</sst>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937CAD-B7E3-4104-A251-9FFD21747CE5}" name="Table1" displayName="Table1" ref="A3:N2077" totalsRowShown="0">
  <autoFilter ref="A3:N2077" xr:uid="{21937CAD-B7E3-4104-A251-9FFD21747CE5}"/>
  <tableColumns count="14">
    <tableColumn id="1" xr3:uid="{54E6CF2C-EE9C-4836-8CFB-7B959D624D0D}" name="Time (day)"/>
    <tableColumn id="2" xr3:uid="{53E353C5-DA2C-4728-B59F-70E9A65DE0F1}" name="Date" dataDxfId="0"/>
    <tableColumn id="3" xr3:uid="{182B2D97-FAB3-47DB-8FAA-8EDB54F733CE}" name="Hot well INJ-Well bottom hole temperature (C)"/>
    <tableColumn id="4" xr3:uid="{028CEE6E-3809-41E2-8371-3EB56C7B0886}" name="Hot well PROD-Well bottom hole temperature (C)"/>
    <tableColumn id="5" xr3:uid="{78ECA73B-0C37-4E9D-8474-E028547D96F6}" name="Warm well INJ-Well bottom hole temperature (C)"/>
    <tableColumn id="6" xr3:uid="{EF7CB161-FC36-4E0D-9190-18513D973737}" name="Warm well PROD-Well bottom hole temperature (C)"/>
    <tableColumn id="7" xr3:uid="{47649414-AF98-4530-A564-72654233E7B9}" name="Hot well INJ-Well Bottom-hole Pressure (kPa)"/>
    <tableColumn id="8" xr3:uid="{DA4A6F80-17C4-4AC9-AB21-7E247134AD66}" name="Hot well PROD-Well Bottom-hole Pressure (kPa)"/>
    <tableColumn id="9" xr3:uid="{C2CA5F28-5B47-4020-91A0-8B57C2FB253A}" name="Warm well INJ-Well Bottom-hole Pressure (kPa)"/>
    <tableColumn id="10" xr3:uid="{C25F832A-5EEC-4142-9FDF-10FB409B707A}" name="Warm well PROD-Well Bottom-hole Pressure (kPa)"/>
    <tableColumn id="11" xr3:uid="{A80F02F8-9B7C-413E-A086-C0348BF8D3B9}" name="Hot well INJ-Fluid Rate SC (m³/day)"/>
    <tableColumn id="12" xr3:uid="{9085C59B-FB83-42BD-9331-1503D821D969}" name="Hot well PROD-Fluid Rate SC (m³/day)"/>
    <tableColumn id="13" xr3:uid="{6DA97B80-3DCE-4F4E-9A18-FA17E3E2E64F}" name="Warm well INJ-Fluid Rate SC (m³/day)"/>
    <tableColumn id="14" xr3:uid="{286A87B5-B623-4BC7-ACEC-1AB995180F50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1278-93C3-41C3-A55D-2E215A33A3E9}">
  <dimension ref="A1:N2077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15.000067711</v>
      </c>
      <c r="E4">
        <v>50</v>
      </c>
      <c r="F4">
        <v>14.999974250999999</v>
      </c>
      <c r="G4">
        <v>1352.2481689000001</v>
      </c>
      <c r="H4">
        <v>1329.6612548999999</v>
      </c>
      <c r="I4">
        <v>1329.1590576000001</v>
      </c>
      <c r="J4">
        <v>1306.5715332</v>
      </c>
      <c r="K4">
        <v>1375</v>
      </c>
      <c r="L4">
        <v>0</v>
      </c>
      <c r="M4">
        <v>0</v>
      </c>
      <c r="N4">
        <v>1375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15.000267029</v>
      </c>
      <c r="E5">
        <v>50</v>
      </c>
      <c r="F5">
        <v>14.999901771999999</v>
      </c>
      <c r="G5">
        <v>1352.9595947</v>
      </c>
      <c r="H5">
        <v>1330.3728027</v>
      </c>
      <c r="I5">
        <v>1328.4506836</v>
      </c>
      <c r="J5">
        <v>1305.8630370999999</v>
      </c>
      <c r="K5">
        <v>1375</v>
      </c>
      <c r="L5">
        <v>0</v>
      </c>
      <c r="M5">
        <v>0</v>
      </c>
      <c r="N5">
        <v>1375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15.000832558000001</v>
      </c>
      <c r="E6">
        <v>50</v>
      </c>
      <c r="F6">
        <v>14.999714851</v>
      </c>
      <c r="G6">
        <v>1354.7788086</v>
      </c>
      <c r="H6">
        <v>1332.1923827999999</v>
      </c>
      <c r="I6">
        <v>1326.6390381000001</v>
      </c>
      <c r="J6">
        <v>1304.0512695</v>
      </c>
      <c r="K6">
        <v>1375</v>
      </c>
      <c r="L6">
        <v>0</v>
      </c>
      <c r="M6">
        <v>0</v>
      </c>
      <c r="N6">
        <v>1375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15.002353668</v>
      </c>
      <c r="E7">
        <v>50</v>
      </c>
      <c r="F7">
        <v>14.999330520999999</v>
      </c>
      <c r="G7">
        <v>1358.5361327999999</v>
      </c>
      <c r="H7">
        <v>1335.9503173999999</v>
      </c>
      <c r="I7">
        <v>1322.8973389</v>
      </c>
      <c r="J7">
        <v>1300.3092041</v>
      </c>
      <c r="K7">
        <v>1375</v>
      </c>
      <c r="L7">
        <v>0</v>
      </c>
      <c r="M7">
        <v>0</v>
      </c>
      <c r="N7">
        <v>1375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15.006337166</v>
      </c>
      <c r="E8">
        <v>50</v>
      </c>
      <c r="F8">
        <v>14.998752594000001</v>
      </c>
      <c r="G8">
        <v>1364.1799315999999</v>
      </c>
      <c r="H8">
        <v>1341.5964355000001</v>
      </c>
      <c r="I8">
        <v>1317.2753906</v>
      </c>
      <c r="J8">
        <v>1294.6867675999999</v>
      </c>
      <c r="K8">
        <v>1375</v>
      </c>
      <c r="L8">
        <v>0</v>
      </c>
      <c r="M8">
        <v>0</v>
      </c>
      <c r="N8">
        <v>1375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15.017203330999999</v>
      </c>
      <c r="E9">
        <v>50</v>
      </c>
      <c r="F9">
        <v>14.998096466</v>
      </c>
      <c r="G9">
        <v>1370.5780029</v>
      </c>
      <c r="H9">
        <v>1348.0009766000001</v>
      </c>
      <c r="I9">
        <v>1310.8959961</v>
      </c>
      <c r="J9">
        <v>1288.3070068</v>
      </c>
      <c r="K9">
        <v>1375</v>
      </c>
      <c r="L9">
        <v>0</v>
      </c>
      <c r="M9">
        <v>0</v>
      </c>
      <c r="N9">
        <v>1375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15.048476218999999</v>
      </c>
      <c r="E10">
        <v>50</v>
      </c>
      <c r="F10">
        <v>14.997434616</v>
      </c>
      <c r="G10">
        <v>1377.0255127</v>
      </c>
      <c r="H10">
        <v>1354.4669189000001</v>
      </c>
      <c r="I10">
        <v>1304.4484863</v>
      </c>
      <c r="J10">
        <v>1281.8591309000001</v>
      </c>
      <c r="K10">
        <v>1375</v>
      </c>
      <c r="L10">
        <v>0</v>
      </c>
      <c r="M10">
        <v>0</v>
      </c>
      <c r="N10">
        <v>1375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15.140834807999999</v>
      </c>
      <c r="E11">
        <v>50</v>
      </c>
      <c r="F11">
        <v>14.996776581000001</v>
      </c>
      <c r="G11">
        <v>1383.3895264</v>
      </c>
      <c r="H11">
        <v>1360.8854980000001</v>
      </c>
      <c r="I11">
        <v>1298.0286865</v>
      </c>
      <c r="J11">
        <v>1275.4389647999999</v>
      </c>
      <c r="K11">
        <v>1375</v>
      </c>
      <c r="L11">
        <v>0</v>
      </c>
      <c r="M11">
        <v>0</v>
      </c>
      <c r="N11">
        <v>1375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15.415456772000001</v>
      </c>
      <c r="E12">
        <v>50</v>
      </c>
      <c r="F12">
        <v>14.99615097</v>
      </c>
      <c r="G12">
        <v>1389.3406981999999</v>
      </c>
      <c r="H12">
        <v>1366.9973144999999</v>
      </c>
      <c r="I12">
        <v>1291.8615723</v>
      </c>
      <c r="J12">
        <v>1269.2716064000001</v>
      </c>
      <c r="K12">
        <v>1375</v>
      </c>
      <c r="L12">
        <v>0</v>
      </c>
      <c r="M12">
        <v>0</v>
      </c>
      <c r="N12">
        <v>1375</v>
      </c>
    </row>
    <row r="13" spans="1:14" x14ac:dyDescent="0.25">
      <c r="A13">
        <v>2.9524000000000002E-2</v>
      </c>
      <c r="B13" s="1">
        <f>DATE(2010,5,1) + TIME(0,42,30)</f>
        <v>40299.029513888891</v>
      </c>
      <c r="C13">
        <v>80</v>
      </c>
      <c r="D13">
        <v>16.228914261</v>
      </c>
      <c r="E13">
        <v>50</v>
      </c>
      <c r="F13">
        <v>14.995670319</v>
      </c>
      <c r="G13">
        <v>1393.6281738</v>
      </c>
      <c r="H13">
        <v>1371.7497559000001</v>
      </c>
      <c r="I13">
        <v>1286.9699707</v>
      </c>
      <c r="J13">
        <v>1264.3797606999999</v>
      </c>
      <c r="K13">
        <v>1375</v>
      </c>
      <c r="L13">
        <v>0</v>
      </c>
      <c r="M13">
        <v>0</v>
      </c>
      <c r="N13">
        <v>1375</v>
      </c>
    </row>
    <row r="14" spans="1:14" x14ac:dyDescent="0.25">
      <c r="A14">
        <v>5.3720999999999998E-2</v>
      </c>
      <c r="B14" s="1">
        <f>DATE(2010,5,1) + TIME(1,17,21)</f>
        <v>40299.053715277776</v>
      </c>
      <c r="C14">
        <v>80</v>
      </c>
      <c r="D14">
        <v>17.215349196999998</v>
      </c>
      <c r="E14">
        <v>50</v>
      </c>
      <c r="F14">
        <v>14.995498657000001</v>
      </c>
      <c r="G14">
        <v>1394.8660889</v>
      </c>
      <c r="H14">
        <v>1373.5227050999999</v>
      </c>
      <c r="I14">
        <v>1285.0826416</v>
      </c>
      <c r="J14">
        <v>1262.4923096</v>
      </c>
      <c r="K14">
        <v>1375</v>
      </c>
      <c r="L14">
        <v>0</v>
      </c>
      <c r="M14">
        <v>0</v>
      </c>
      <c r="N14">
        <v>1375</v>
      </c>
    </row>
    <row r="15" spans="1:14" x14ac:dyDescent="0.25">
      <c r="A15">
        <v>7.825E-2</v>
      </c>
      <c r="B15" s="1">
        <f>DATE(2010,5,1) + TIME(1,52,40)</f>
        <v>40299.078240740739</v>
      </c>
      <c r="C15">
        <v>80</v>
      </c>
      <c r="D15">
        <v>18.202276229999999</v>
      </c>
      <c r="E15">
        <v>50</v>
      </c>
      <c r="F15">
        <v>14.99545002</v>
      </c>
      <c r="G15">
        <v>1394.9291992000001</v>
      </c>
      <c r="H15">
        <v>1374.0958252</v>
      </c>
      <c r="I15">
        <v>1284.4064940999999</v>
      </c>
      <c r="J15">
        <v>1261.8160399999999</v>
      </c>
      <c r="K15">
        <v>1375</v>
      </c>
      <c r="L15">
        <v>0</v>
      </c>
      <c r="M15">
        <v>0</v>
      </c>
      <c r="N15">
        <v>1375</v>
      </c>
    </row>
    <row r="16" spans="1:14" x14ac:dyDescent="0.25">
      <c r="A16">
        <v>0.103105</v>
      </c>
      <c r="B16" s="1">
        <f>DATE(2010,5,1) + TIME(2,28,28)</f>
        <v>40299.103101851855</v>
      </c>
      <c r="C16">
        <v>80</v>
      </c>
      <c r="D16">
        <v>19.189054489</v>
      </c>
      <c r="E16">
        <v>50</v>
      </c>
      <c r="F16">
        <v>14.995444298000001</v>
      </c>
      <c r="G16">
        <v>1394.5679932</v>
      </c>
      <c r="H16">
        <v>1374.2229004000001</v>
      </c>
      <c r="I16">
        <v>1284.1605225000001</v>
      </c>
      <c r="J16">
        <v>1261.5700684000001</v>
      </c>
      <c r="K16">
        <v>1375</v>
      </c>
      <c r="L16">
        <v>0</v>
      </c>
      <c r="M16">
        <v>0</v>
      </c>
      <c r="N16">
        <v>1375</v>
      </c>
    </row>
    <row r="17" spans="1:14" x14ac:dyDescent="0.25">
      <c r="A17">
        <v>0.12829199999999999</v>
      </c>
      <c r="B17" s="1">
        <f>DATE(2010,5,1) + TIME(3,4,44)</f>
        <v>40299.128287037034</v>
      </c>
      <c r="C17">
        <v>80</v>
      </c>
      <c r="D17">
        <v>20.17578125</v>
      </c>
      <c r="E17">
        <v>50</v>
      </c>
      <c r="F17">
        <v>14.995454788</v>
      </c>
      <c r="G17">
        <v>1394.0449219</v>
      </c>
      <c r="H17">
        <v>1374.1676024999999</v>
      </c>
      <c r="I17">
        <v>1284.0765381000001</v>
      </c>
      <c r="J17">
        <v>1261.4860839999999</v>
      </c>
      <c r="K17">
        <v>1375</v>
      </c>
      <c r="L17">
        <v>0</v>
      </c>
      <c r="M17">
        <v>0</v>
      </c>
      <c r="N17">
        <v>1375</v>
      </c>
    </row>
    <row r="18" spans="1:14" x14ac:dyDescent="0.25">
      <c r="A18">
        <v>0.15381800000000001</v>
      </c>
      <c r="B18" s="1">
        <f>DATE(2010,5,1) + TIME(3,41,29)</f>
        <v>40299.153807870367</v>
      </c>
      <c r="C18">
        <v>80</v>
      </c>
      <c r="D18">
        <v>21.162853241000001</v>
      </c>
      <c r="E18">
        <v>50</v>
      </c>
      <c r="F18">
        <v>14.995471953999999</v>
      </c>
      <c r="G18">
        <v>1393.4641113</v>
      </c>
      <c r="H18">
        <v>1374.0352783000001</v>
      </c>
      <c r="I18">
        <v>1284.0533447</v>
      </c>
      <c r="J18">
        <v>1261.4627685999999</v>
      </c>
      <c r="K18">
        <v>1375</v>
      </c>
      <c r="L18">
        <v>0</v>
      </c>
      <c r="M18">
        <v>0</v>
      </c>
      <c r="N18">
        <v>1375</v>
      </c>
    </row>
    <row r="19" spans="1:14" x14ac:dyDescent="0.25">
      <c r="A19">
        <v>0.17967900000000001</v>
      </c>
      <c r="B19" s="1">
        <f>DATE(2010,5,1) + TIME(4,18,44)</f>
        <v>40299.179675925923</v>
      </c>
      <c r="C19">
        <v>80</v>
      </c>
      <c r="D19">
        <v>22.148986816000001</v>
      </c>
      <c r="E19">
        <v>50</v>
      </c>
      <c r="F19">
        <v>14.995491028</v>
      </c>
      <c r="G19">
        <v>1392.8708495999999</v>
      </c>
      <c r="H19">
        <v>1373.871582</v>
      </c>
      <c r="I19">
        <v>1284.0513916</v>
      </c>
      <c r="J19">
        <v>1261.4608154</v>
      </c>
      <c r="K19">
        <v>1375</v>
      </c>
      <c r="L19">
        <v>0</v>
      </c>
      <c r="M19">
        <v>0</v>
      </c>
      <c r="N19">
        <v>1375</v>
      </c>
    </row>
    <row r="20" spans="1:14" x14ac:dyDescent="0.25">
      <c r="A20">
        <v>0.205903</v>
      </c>
      <c r="B20" s="1">
        <f>DATE(2010,5,1) + TIME(4,56,30)</f>
        <v>40299.20590277778</v>
      </c>
      <c r="C20">
        <v>80</v>
      </c>
      <c r="D20">
        <v>23.134864807</v>
      </c>
      <c r="E20">
        <v>50</v>
      </c>
      <c r="F20">
        <v>14.995510101000001</v>
      </c>
      <c r="G20">
        <v>1392.2844238</v>
      </c>
      <c r="H20">
        <v>1373.6971435999999</v>
      </c>
      <c r="I20">
        <v>1284.0557861</v>
      </c>
      <c r="J20">
        <v>1261.4650879000001</v>
      </c>
      <c r="K20">
        <v>1375</v>
      </c>
      <c r="L20">
        <v>0</v>
      </c>
      <c r="M20">
        <v>0</v>
      </c>
      <c r="N20">
        <v>1375</v>
      </c>
    </row>
    <row r="21" spans="1:14" x14ac:dyDescent="0.25">
      <c r="A21">
        <v>0.23250299999999999</v>
      </c>
      <c r="B21" s="1">
        <f>DATE(2010,5,1) + TIME(5,34,48)</f>
        <v>40299.232499999998</v>
      </c>
      <c r="C21">
        <v>80</v>
      </c>
      <c r="D21">
        <v>24.120481491</v>
      </c>
      <c r="E21">
        <v>50</v>
      </c>
      <c r="F21">
        <v>14.995530128</v>
      </c>
      <c r="G21">
        <v>1391.7132568</v>
      </c>
      <c r="H21">
        <v>1373.5213623</v>
      </c>
      <c r="I21">
        <v>1284.0611572</v>
      </c>
      <c r="J21">
        <v>1261.4704589999999</v>
      </c>
      <c r="K21">
        <v>1375</v>
      </c>
      <c r="L21">
        <v>0</v>
      </c>
      <c r="M21">
        <v>0</v>
      </c>
      <c r="N21">
        <v>1375</v>
      </c>
    </row>
    <row r="22" spans="1:14" x14ac:dyDescent="0.25">
      <c r="A22">
        <v>0.25949100000000003</v>
      </c>
      <c r="B22" s="1">
        <f>DATE(2010,5,1) + TIME(6,13,39)</f>
        <v>40299.259479166663</v>
      </c>
      <c r="C22">
        <v>80</v>
      </c>
      <c r="D22">
        <v>25.105897902999999</v>
      </c>
      <c r="E22">
        <v>50</v>
      </c>
      <c r="F22">
        <v>14.995550156</v>
      </c>
      <c r="G22">
        <v>1391.1612548999999</v>
      </c>
      <c r="H22">
        <v>1373.3487548999999</v>
      </c>
      <c r="I22">
        <v>1284.0657959</v>
      </c>
      <c r="J22">
        <v>1261.4752197</v>
      </c>
      <c r="K22">
        <v>1375</v>
      </c>
      <c r="L22">
        <v>0</v>
      </c>
      <c r="M22">
        <v>0</v>
      </c>
      <c r="N22">
        <v>1375</v>
      </c>
    </row>
    <row r="23" spans="1:14" x14ac:dyDescent="0.25">
      <c r="A23">
        <v>0.28687800000000002</v>
      </c>
      <c r="B23" s="1">
        <f>DATE(2010,5,1) + TIME(6,53,6)</f>
        <v>40299.286874999998</v>
      </c>
      <c r="C23">
        <v>80</v>
      </c>
      <c r="D23">
        <v>26.091558456000001</v>
      </c>
      <c r="E23">
        <v>50</v>
      </c>
      <c r="F23">
        <v>14.995569229000001</v>
      </c>
      <c r="G23">
        <v>1390.6293945</v>
      </c>
      <c r="H23">
        <v>1373.1815185999999</v>
      </c>
      <c r="I23">
        <v>1284.0697021000001</v>
      </c>
      <c r="J23">
        <v>1261.4788818</v>
      </c>
      <c r="K23">
        <v>1375</v>
      </c>
      <c r="L23">
        <v>0</v>
      </c>
      <c r="M23">
        <v>0</v>
      </c>
      <c r="N23">
        <v>1375</v>
      </c>
    </row>
    <row r="24" spans="1:14" x14ac:dyDescent="0.25">
      <c r="A24">
        <v>0.314664</v>
      </c>
      <c r="B24" s="1">
        <f>DATE(2010,5,1) + TIME(7,33,6)</f>
        <v>40299.314652777779</v>
      </c>
      <c r="C24">
        <v>80</v>
      </c>
      <c r="D24">
        <v>27.076356887999999</v>
      </c>
      <c r="E24">
        <v>50</v>
      </c>
      <c r="F24">
        <v>14.995589256000001</v>
      </c>
      <c r="G24">
        <v>1390.1181641000001</v>
      </c>
      <c r="H24">
        <v>1373.0205077999999</v>
      </c>
      <c r="I24">
        <v>1284.0726318</v>
      </c>
      <c r="J24">
        <v>1261.4819336</v>
      </c>
      <c r="K24">
        <v>1375</v>
      </c>
      <c r="L24">
        <v>0</v>
      </c>
      <c r="M24">
        <v>0</v>
      </c>
      <c r="N24">
        <v>1375</v>
      </c>
    </row>
    <row r="25" spans="1:14" x14ac:dyDescent="0.25">
      <c r="A25">
        <v>0.34287899999999999</v>
      </c>
      <c r="B25" s="1">
        <f>DATE(2010,5,1) + TIME(8,13,44)</f>
        <v>40299.342870370368</v>
      </c>
      <c r="C25">
        <v>80</v>
      </c>
      <c r="D25">
        <v>28.060850143</v>
      </c>
      <c r="E25">
        <v>50</v>
      </c>
      <c r="F25">
        <v>14.99560833</v>
      </c>
      <c r="G25">
        <v>1389.6271973</v>
      </c>
      <c r="H25">
        <v>1372.8658447</v>
      </c>
      <c r="I25">
        <v>1284.0750731999999</v>
      </c>
      <c r="J25">
        <v>1261.4842529</v>
      </c>
      <c r="K25">
        <v>1375</v>
      </c>
      <c r="L25">
        <v>0</v>
      </c>
      <c r="M25">
        <v>0</v>
      </c>
      <c r="N25">
        <v>1375</v>
      </c>
    </row>
    <row r="26" spans="1:14" x14ac:dyDescent="0.25">
      <c r="A26">
        <v>0.37153799999999998</v>
      </c>
      <c r="B26" s="1">
        <f>DATE(2010,5,1) + TIME(8,55,0)</f>
        <v>40299.371527777781</v>
      </c>
      <c r="C26">
        <v>80</v>
      </c>
      <c r="D26">
        <v>29.045030594</v>
      </c>
      <c r="E26">
        <v>50</v>
      </c>
      <c r="F26">
        <v>14.995628356999999</v>
      </c>
      <c r="G26">
        <v>1389.1555175999999</v>
      </c>
      <c r="H26">
        <v>1372.7177733999999</v>
      </c>
      <c r="I26">
        <v>1284.0771483999999</v>
      </c>
      <c r="J26">
        <v>1261.4862060999999</v>
      </c>
      <c r="K26">
        <v>1375</v>
      </c>
      <c r="L26">
        <v>0</v>
      </c>
      <c r="M26">
        <v>0</v>
      </c>
      <c r="N26">
        <v>1375</v>
      </c>
    </row>
    <row r="27" spans="1:14" x14ac:dyDescent="0.25">
      <c r="A27">
        <v>0.40065800000000001</v>
      </c>
      <c r="B27" s="1">
        <f>DATE(2010,5,1) + TIME(9,36,56)</f>
        <v>40299.400648148148</v>
      </c>
      <c r="C27">
        <v>80</v>
      </c>
      <c r="D27">
        <v>30.028888702</v>
      </c>
      <c r="E27">
        <v>50</v>
      </c>
      <c r="F27">
        <v>14.99564743</v>
      </c>
      <c r="G27">
        <v>1388.7027588000001</v>
      </c>
      <c r="H27">
        <v>1372.5761719</v>
      </c>
      <c r="I27">
        <v>1284.0788574000001</v>
      </c>
      <c r="J27">
        <v>1261.4879149999999</v>
      </c>
      <c r="K27">
        <v>1375</v>
      </c>
      <c r="L27">
        <v>0</v>
      </c>
      <c r="M27">
        <v>0</v>
      </c>
      <c r="N27">
        <v>1375</v>
      </c>
    </row>
    <row r="28" spans="1:14" x14ac:dyDescent="0.25">
      <c r="A28">
        <v>0.430255</v>
      </c>
      <c r="B28" s="1">
        <f>DATE(2010,5,1) + TIME(10,19,34)</f>
        <v>40299.430254629631</v>
      </c>
      <c r="C28">
        <v>80</v>
      </c>
      <c r="D28">
        <v>31.012619018999999</v>
      </c>
      <c r="E28">
        <v>50</v>
      </c>
      <c r="F28">
        <v>14.995667458</v>
      </c>
      <c r="G28">
        <v>1388.2678223</v>
      </c>
      <c r="H28">
        <v>1372.4407959</v>
      </c>
      <c r="I28">
        <v>1284.0803223</v>
      </c>
      <c r="J28">
        <v>1261.4893798999999</v>
      </c>
      <c r="K28">
        <v>1375</v>
      </c>
      <c r="L28">
        <v>0</v>
      </c>
      <c r="M28">
        <v>0</v>
      </c>
      <c r="N28">
        <v>1375</v>
      </c>
    </row>
    <row r="29" spans="1:14" x14ac:dyDescent="0.25">
      <c r="A29">
        <v>0.46034199999999997</v>
      </c>
      <c r="B29" s="1">
        <f>DATE(2010,5,1) + TIME(11,2,53)</f>
        <v>40299.460335648146</v>
      </c>
      <c r="C29">
        <v>80</v>
      </c>
      <c r="D29">
        <v>31.995784759999999</v>
      </c>
      <c r="E29">
        <v>50</v>
      </c>
      <c r="F29">
        <v>14.995686531</v>
      </c>
      <c r="G29">
        <v>1387.8500977000001</v>
      </c>
      <c r="H29">
        <v>1372.3114014</v>
      </c>
      <c r="I29">
        <v>1284.0816649999999</v>
      </c>
      <c r="J29">
        <v>1261.4906006000001</v>
      </c>
      <c r="K29">
        <v>1375</v>
      </c>
      <c r="L29">
        <v>0</v>
      </c>
      <c r="M29">
        <v>0</v>
      </c>
      <c r="N29">
        <v>1375</v>
      </c>
    </row>
    <row r="30" spans="1:14" x14ac:dyDescent="0.25">
      <c r="A30">
        <v>0.49094500000000002</v>
      </c>
      <c r="B30" s="1">
        <f>DATE(2010,5,1) + TIME(11,46,57)</f>
        <v>40299.490937499999</v>
      </c>
      <c r="C30">
        <v>80</v>
      </c>
      <c r="D30">
        <v>32.978580475000001</v>
      </c>
      <c r="E30">
        <v>50</v>
      </c>
      <c r="F30">
        <v>14.995705604999999</v>
      </c>
      <c r="G30">
        <v>1387.4488524999999</v>
      </c>
      <c r="H30">
        <v>1372.1876221</v>
      </c>
      <c r="I30">
        <v>1284.0828856999999</v>
      </c>
      <c r="J30">
        <v>1261.4918213000001</v>
      </c>
      <c r="K30">
        <v>1375</v>
      </c>
      <c r="L30">
        <v>0</v>
      </c>
      <c r="M30">
        <v>0</v>
      </c>
      <c r="N30">
        <v>1375</v>
      </c>
    </row>
    <row r="31" spans="1:14" x14ac:dyDescent="0.25">
      <c r="A31">
        <v>0.52208299999999996</v>
      </c>
      <c r="B31" s="1">
        <f>DATE(2010,5,1) + TIME(12,31,47)</f>
        <v>40299.52207175926</v>
      </c>
      <c r="C31">
        <v>80</v>
      </c>
      <c r="D31">
        <v>33.960990905999999</v>
      </c>
      <c r="E31">
        <v>50</v>
      </c>
      <c r="F31">
        <v>14.995725631999999</v>
      </c>
      <c r="G31">
        <v>1387.0632324000001</v>
      </c>
      <c r="H31">
        <v>1372.0693358999999</v>
      </c>
      <c r="I31">
        <v>1284.0841064000001</v>
      </c>
      <c r="J31">
        <v>1261.4929199000001</v>
      </c>
      <c r="K31">
        <v>1375</v>
      </c>
      <c r="L31">
        <v>0</v>
      </c>
      <c r="M31">
        <v>0</v>
      </c>
      <c r="N31">
        <v>1375</v>
      </c>
    </row>
    <row r="32" spans="1:14" x14ac:dyDescent="0.25">
      <c r="A32">
        <v>0.55377799999999999</v>
      </c>
      <c r="B32" s="1">
        <f>DATE(2010,5,1) + TIME(13,17,26)</f>
        <v>40299.553773148145</v>
      </c>
      <c r="C32">
        <v>80</v>
      </c>
      <c r="D32">
        <v>34.942996979</v>
      </c>
      <c r="E32">
        <v>50</v>
      </c>
      <c r="F32">
        <v>14.995744705</v>
      </c>
      <c r="G32">
        <v>1386.6925048999999</v>
      </c>
      <c r="H32">
        <v>1371.9562988</v>
      </c>
      <c r="I32">
        <v>1284.0852050999999</v>
      </c>
      <c r="J32">
        <v>1261.4938964999999</v>
      </c>
      <c r="K32">
        <v>1375</v>
      </c>
      <c r="L32">
        <v>0</v>
      </c>
      <c r="M32">
        <v>0</v>
      </c>
      <c r="N32">
        <v>1375</v>
      </c>
    </row>
    <row r="33" spans="1:14" x14ac:dyDescent="0.25">
      <c r="A33">
        <v>0.58605399999999996</v>
      </c>
      <c r="B33" s="1">
        <f>DATE(2010,5,1) + TIME(14,3,55)</f>
        <v>40299.586053240739</v>
      </c>
      <c r="C33">
        <v>80</v>
      </c>
      <c r="D33">
        <v>35.924579620000003</v>
      </c>
      <c r="E33">
        <v>50</v>
      </c>
      <c r="F33">
        <v>14.995764732</v>
      </c>
      <c r="G33">
        <v>1386.3360596</v>
      </c>
      <c r="H33">
        <v>1371.8481445</v>
      </c>
      <c r="I33">
        <v>1284.0861815999999</v>
      </c>
      <c r="J33">
        <v>1261.494751</v>
      </c>
      <c r="K33">
        <v>1375</v>
      </c>
      <c r="L33">
        <v>0</v>
      </c>
      <c r="M33">
        <v>0</v>
      </c>
      <c r="N33">
        <v>1375</v>
      </c>
    </row>
    <row r="34" spans="1:14" x14ac:dyDescent="0.25">
      <c r="A34">
        <v>0.61893600000000004</v>
      </c>
      <c r="B34" s="1">
        <f>DATE(2010,5,1) + TIME(14,51,16)</f>
        <v>40299.618935185186</v>
      </c>
      <c r="C34">
        <v>80</v>
      </c>
      <c r="D34">
        <v>36.905719757</v>
      </c>
      <c r="E34">
        <v>50</v>
      </c>
      <c r="F34">
        <v>14.995783806</v>
      </c>
      <c r="G34">
        <v>1385.9931641000001</v>
      </c>
      <c r="H34">
        <v>1371.7446289</v>
      </c>
      <c r="I34">
        <v>1284.0871582</v>
      </c>
      <c r="J34">
        <v>1261.4957274999999</v>
      </c>
      <c r="K34">
        <v>1375</v>
      </c>
      <c r="L34">
        <v>0</v>
      </c>
      <c r="M34">
        <v>0</v>
      </c>
      <c r="N34">
        <v>1375</v>
      </c>
    </row>
    <row r="35" spans="1:14" x14ac:dyDescent="0.25">
      <c r="A35">
        <v>0.65244999999999997</v>
      </c>
      <c r="B35" s="1">
        <f>DATE(2010,5,1) + TIME(15,39,31)</f>
        <v>40299.652442129627</v>
      </c>
      <c r="C35">
        <v>80</v>
      </c>
      <c r="D35">
        <v>37.886394500999998</v>
      </c>
      <c r="E35">
        <v>50</v>
      </c>
      <c r="F35">
        <v>14.995803833</v>
      </c>
      <c r="G35">
        <v>1385.6632079999999</v>
      </c>
      <c r="H35">
        <v>1371.6456298999999</v>
      </c>
      <c r="I35">
        <v>1284.0880127</v>
      </c>
      <c r="J35">
        <v>1261.4964600000001</v>
      </c>
      <c r="K35">
        <v>1375</v>
      </c>
      <c r="L35">
        <v>0</v>
      </c>
      <c r="M35">
        <v>0</v>
      </c>
      <c r="N35">
        <v>1375</v>
      </c>
    </row>
    <row r="36" spans="1:14" x14ac:dyDescent="0.25">
      <c r="A36">
        <v>0.68662400000000001</v>
      </c>
      <c r="B36" s="1">
        <f>DATE(2010,5,1) + TIME(16,28,44)</f>
        <v>40299.686620370368</v>
      </c>
      <c r="C36">
        <v>80</v>
      </c>
      <c r="D36">
        <v>38.866588593000003</v>
      </c>
      <c r="E36">
        <v>50</v>
      </c>
      <c r="F36">
        <v>14.995822906000001</v>
      </c>
      <c r="G36">
        <v>1385.3455810999999</v>
      </c>
      <c r="H36">
        <v>1371.5509033000001</v>
      </c>
      <c r="I36">
        <v>1284.0888672000001</v>
      </c>
      <c r="J36">
        <v>1261.4973144999999</v>
      </c>
      <c r="K36">
        <v>1375</v>
      </c>
      <c r="L36">
        <v>0</v>
      </c>
      <c r="M36">
        <v>0</v>
      </c>
      <c r="N36">
        <v>1375</v>
      </c>
    </row>
    <row r="37" spans="1:14" x14ac:dyDescent="0.25">
      <c r="A37">
        <v>0.72148900000000005</v>
      </c>
      <c r="B37" s="1">
        <f>DATE(2010,5,1) + TIME(17,18,56)</f>
        <v>40299.72148148148</v>
      </c>
      <c r="C37">
        <v>80</v>
      </c>
      <c r="D37">
        <v>39.846267699999999</v>
      </c>
      <c r="E37">
        <v>50</v>
      </c>
      <c r="F37">
        <v>14.995842934000001</v>
      </c>
      <c r="G37">
        <v>1385.0396728999999</v>
      </c>
      <c r="H37">
        <v>1371.4600829999999</v>
      </c>
      <c r="I37">
        <v>1284.0897216999999</v>
      </c>
      <c r="J37">
        <v>1261.4980469</v>
      </c>
      <c r="K37">
        <v>1375</v>
      </c>
      <c r="L37">
        <v>0</v>
      </c>
      <c r="M37">
        <v>0</v>
      </c>
      <c r="N37">
        <v>1375</v>
      </c>
    </row>
    <row r="38" spans="1:14" x14ac:dyDescent="0.25">
      <c r="A38">
        <v>0.757077</v>
      </c>
      <c r="B38" s="1">
        <f>DATE(2010,5,1) + TIME(18,10,11)</f>
        <v>40299.757071759261</v>
      </c>
      <c r="C38">
        <v>80</v>
      </c>
      <c r="D38">
        <v>40.825603485000002</v>
      </c>
      <c r="E38">
        <v>50</v>
      </c>
      <c r="F38">
        <v>14.995862006999999</v>
      </c>
      <c r="G38">
        <v>1384.7451172000001</v>
      </c>
      <c r="H38">
        <v>1371.3731689000001</v>
      </c>
      <c r="I38">
        <v>1284.0904541</v>
      </c>
      <c r="J38">
        <v>1261.4986572</v>
      </c>
      <c r="K38">
        <v>1375</v>
      </c>
      <c r="L38">
        <v>0</v>
      </c>
      <c r="M38">
        <v>0</v>
      </c>
      <c r="N38">
        <v>1375</v>
      </c>
    </row>
    <row r="39" spans="1:14" x14ac:dyDescent="0.25">
      <c r="A39">
        <v>0.79341600000000001</v>
      </c>
      <c r="B39" s="1">
        <f>DATE(2010,5,1) + TIME(19,2,31)</f>
        <v>40299.793414351851</v>
      </c>
      <c r="C39">
        <v>80</v>
      </c>
      <c r="D39">
        <v>41.804229736000003</v>
      </c>
      <c r="E39">
        <v>50</v>
      </c>
      <c r="F39">
        <v>14.995882033999999</v>
      </c>
      <c r="G39">
        <v>1384.4613036999999</v>
      </c>
      <c r="H39">
        <v>1371.2896728999999</v>
      </c>
      <c r="I39">
        <v>1284.0911865</v>
      </c>
      <c r="J39">
        <v>1261.4992675999999</v>
      </c>
      <c r="K39">
        <v>1375</v>
      </c>
      <c r="L39">
        <v>0</v>
      </c>
      <c r="M39">
        <v>0</v>
      </c>
      <c r="N39">
        <v>1375</v>
      </c>
    </row>
    <row r="40" spans="1:14" x14ac:dyDescent="0.25">
      <c r="A40">
        <v>0.83054899999999998</v>
      </c>
      <c r="B40" s="1">
        <f>DATE(2010,5,1) + TIME(19,55,59)</f>
        <v>40299.830543981479</v>
      </c>
      <c r="C40">
        <v>80</v>
      </c>
      <c r="D40">
        <v>42.782226561999998</v>
      </c>
      <c r="E40">
        <v>50</v>
      </c>
      <c r="F40">
        <v>14.995902061000001</v>
      </c>
      <c r="G40">
        <v>1384.1876221</v>
      </c>
      <c r="H40">
        <v>1371.2097168</v>
      </c>
      <c r="I40">
        <v>1284.0919189000001</v>
      </c>
      <c r="J40">
        <v>1261.4998779</v>
      </c>
      <c r="K40">
        <v>1375</v>
      </c>
      <c r="L40">
        <v>0</v>
      </c>
      <c r="M40">
        <v>0</v>
      </c>
      <c r="N40">
        <v>1375</v>
      </c>
    </row>
    <row r="41" spans="1:14" x14ac:dyDescent="0.25">
      <c r="A41">
        <v>0.86851699999999998</v>
      </c>
      <c r="B41" s="1">
        <f>DATE(2010,5,1) + TIME(20,50,39)</f>
        <v>40299.868506944447</v>
      </c>
      <c r="C41">
        <v>80</v>
      </c>
      <c r="D41">
        <v>43.759597778</v>
      </c>
      <c r="E41">
        <v>50</v>
      </c>
      <c r="F41">
        <v>14.995922089</v>
      </c>
      <c r="G41">
        <v>1383.9237060999999</v>
      </c>
      <c r="H41">
        <v>1371.1328125</v>
      </c>
      <c r="I41">
        <v>1284.0925293</v>
      </c>
      <c r="J41">
        <v>1261.5004882999999</v>
      </c>
      <c r="K41">
        <v>1375</v>
      </c>
      <c r="L41">
        <v>0</v>
      </c>
      <c r="M41">
        <v>0</v>
      </c>
      <c r="N41">
        <v>1375</v>
      </c>
    </row>
    <row r="42" spans="1:14" x14ac:dyDescent="0.25">
      <c r="A42">
        <v>0.90736399999999995</v>
      </c>
      <c r="B42" s="1">
        <f>DATE(2010,5,1) + TIME(21,46,36)</f>
        <v>40299.907361111109</v>
      </c>
      <c r="C42">
        <v>80</v>
      </c>
      <c r="D42">
        <v>44.736309052000003</v>
      </c>
      <c r="E42">
        <v>50</v>
      </c>
      <c r="F42">
        <v>14.995941161999999</v>
      </c>
      <c r="G42">
        <v>1383.6689452999999</v>
      </c>
      <c r="H42">
        <v>1371.0588379000001</v>
      </c>
      <c r="I42">
        <v>1284.0932617000001</v>
      </c>
      <c r="J42">
        <v>1261.5009766000001</v>
      </c>
      <c r="K42">
        <v>1375</v>
      </c>
      <c r="L42">
        <v>0</v>
      </c>
      <c r="M42">
        <v>0</v>
      </c>
      <c r="N42">
        <v>1375</v>
      </c>
    </row>
    <row r="43" spans="1:14" x14ac:dyDescent="0.25">
      <c r="A43">
        <v>0.94713700000000001</v>
      </c>
      <c r="B43" s="1">
        <f>DATE(2010,5,1) + TIME(22,43,52)</f>
        <v>40299.947129629632</v>
      </c>
      <c r="C43">
        <v>80</v>
      </c>
      <c r="D43">
        <v>45.712322235000002</v>
      </c>
      <c r="E43">
        <v>50</v>
      </c>
      <c r="F43">
        <v>14.995961189000001</v>
      </c>
      <c r="G43">
        <v>1383.4232178</v>
      </c>
      <c r="H43">
        <v>1370.987793</v>
      </c>
      <c r="I43">
        <v>1284.09375</v>
      </c>
      <c r="J43">
        <v>1261.5014647999999</v>
      </c>
      <c r="K43">
        <v>1375</v>
      </c>
      <c r="L43">
        <v>0</v>
      </c>
      <c r="M43">
        <v>0</v>
      </c>
      <c r="N43">
        <v>1375</v>
      </c>
    </row>
    <row r="44" spans="1:14" x14ac:dyDescent="0.25">
      <c r="A44">
        <v>0.98788799999999999</v>
      </c>
      <c r="B44" s="1">
        <f>DATE(2010,5,1) + TIME(23,42,33)</f>
        <v>40299.987881944442</v>
      </c>
      <c r="C44">
        <v>80</v>
      </c>
      <c r="D44">
        <v>46.687595367</v>
      </c>
      <c r="E44">
        <v>50</v>
      </c>
      <c r="F44">
        <v>14.995981216000001</v>
      </c>
      <c r="G44">
        <v>1383.1857910000001</v>
      </c>
      <c r="H44">
        <v>1370.9193115</v>
      </c>
      <c r="I44">
        <v>1284.0943603999999</v>
      </c>
      <c r="J44">
        <v>1261.5019531</v>
      </c>
      <c r="K44">
        <v>1375</v>
      </c>
      <c r="L44">
        <v>0</v>
      </c>
      <c r="M44">
        <v>0</v>
      </c>
      <c r="N44">
        <v>1375</v>
      </c>
    </row>
    <row r="45" spans="1:14" x14ac:dyDescent="0.25">
      <c r="A45">
        <v>1.0296719999999999</v>
      </c>
      <c r="B45" s="1">
        <f>DATE(2010,5,2) + TIME(0,42,43)</f>
        <v>40300.029664351852</v>
      </c>
      <c r="C45">
        <v>80</v>
      </c>
      <c r="D45">
        <v>47.662086487000003</v>
      </c>
      <c r="E45">
        <v>50</v>
      </c>
      <c r="F45">
        <v>14.996002196999999</v>
      </c>
      <c r="G45">
        <v>1382.9564209</v>
      </c>
      <c r="H45">
        <v>1370.8532714999999</v>
      </c>
      <c r="I45">
        <v>1284.0949707</v>
      </c>
      <c r="J45">
        <v>1261.5024414</v>
      </c>
      <c r="K45">
        <v>1375</v>
      </c>
      <c r="L45">
        <v>0</v>
      </c>
      <c r="M45">
        <v>0</v>
      </c>
      <c r="N45">
        <v>1375</v>
      </c>
    </row>
    <row r="46" spans="1:14" x14ac:dyDescent="0.25">
      <c r="A46">
        <v>1.0725499999999999</v>
      </c>
      <c r="B46" s="1">
        <f>DATE(2010,5,2) + TIME(1,44,28)</f>
        <v>40300.072546296295</v>
      </c>
      <c r="C46">
        <v>80</v>
      </c>
      <c r="D46">
        <v>48.635746001999998</v>
      </c>
      <c r="E46">
        <v>50</v>
      </c>
      <c r="F46">
        <v>14.996022224000001</v>
      </c>
      <c r="G46">
        <v>1382.7346190999999</v>
      </c>
      <c r="H46">
        <v>1370.7894286999999</v>
      </c>
      <c r="I46">
        <v>1284.0954589999999</v>
      </c>
      <c r="J46">
        <v>1261.5028076000001</v>
      </c>
      <c r="K46">
        <v>1375</v>
      </c>
      <c r="L46">
        <v>0</v>
      </c>
      <c r="M46">
        <v>0</v>
      </c>
      <c r="N46">
        <v>1375</v>
      </c>
    </row>
    <row r="47" spans="1:14" x14ac:dyDescent="0.25">
      <c r="A47">
        <v>1.1165879999999999</v>
      </c>
      <c r="B47" s="1">
        <f>DATE(2010,5,2) + TIME(2,47,53)</f>
        <v>40300.116585648146</v>
      </c>
      <c r="C47">
        <v>80</v>
      </c>
      <c r="D47">
        <v>49.608524322999997</v>
      </c>
      <c r="E47">
        <v>50</v>
      </c>
      <c r="F47">
        <v>14.996042252000001</v>
      </c>
      <c r="G47">
        <v>1382.5201416</v>
      </c>
      <c r="H47">
        <v>1370.7276611</v>
      </c>
      <c r="I47">
        <v>1284.0959473</v>
      </c>
      <c r="J47">
        <v>1261.5031738</v>
      </c>
      <c r="K47">
        <v>1375</v>
      </c>
      <c r="L47">
        <v>0</v>
      </c>
      <c r="M47">
        <v>0</v>
      </c>
      <c r="N47">
        <v>1375</v>
      </c>
    </row>
    <row r="48" spans="1:14" x14ac:dyDescent="0.25">
      <c r="A48">
        <v>1.1618580000000001</v>
      </c>
      <c r="B48" s="1">
        <f>DATE(2010,5,2) + TIME(3,53,4)</f>
        <v>40300.161851851852</v>
      </c>
      <c r="C48">
        <v>80</v>
      </c>
      <c r="D48">
        <v>50.580085754000002</v>
      </c>
      <c r="E48">
        <v>50</v>
      </c>
      <c r="F48">
        <v>14.996063231999999</v>
      </c>
      <c r="G48">
        <v>1382.3125</v>
      </c>
      <c r="H48">
        <v>1370.6678466999999</v>
      </c>
      <c r="I48">
        <v>1284.0964355000001</v>
      </c>
      <c r="J48">
        <v>1261.5035399999999</v>
      </c>
      <c r="K48">
        <v>1375</v>
      </c>
      <c r="L48">
        <v>0</v>
      </c>
      <c r="M48">
        <v>0</v>
      </c>
      <c r="N48">
        <v>1375</v>
      </c>
    </row>
    <row r="49" spans="1:14" x14ac:dyDescent="0.25">
      <c r="A49">
        <v>1.208453</v>
      </c>
      <c r="B49" s="1">
        <f>DATE(2010,5,2) + TIME(5,0,10)</f>
        <v>40300.208449074074</v>
      </c>
      <c r="C49">
        <v>80</v>
      </c>
      <c r="D49">
        <v>51.550716399999999</v>
      </c>
      <c r="E49">
        <v>50</v>
      </c>
      <c r="F49">
        <v>14.996083260000001</v>
      </c>
      <c r="G49">
        <v>1382.1113281</v>
      </c>
      <c r="H49">
        <v>1370.6096190999999</v>
      </c>
      <c r="I49">
        <v>1284.0969238</v>
      </c>
      <c r="J49">
        <v>1261.5039062000001</v>
      </c>
      <c r="K49">
        <v>1375</v>
      </c>
      <c r="L49">
        <v>0</v>
      </c>
      <c r="M49">
        <v>0</v>
      </c>
      <c r="N49">
        <v>1375</v>
      </c>
    </row>
    <row r="50" spans="1:14" x14ac:dyDescent="0.25">
      <c r="A50">
        <v>1.2564580000000001</v>
      </c>
      <c r="B50" s="1">
        <f>DATE(2010,5,2) + TIME(6,9,17)</f>
        <v>40300.25644675926</v>
      </c>
      <c r="C50">
        <v>80</v>
      </c>
      <c r="D50">
        <v>52.520446776999997</v>
      </c>
      <c r="E50">
        <v>50</v>
      </c>
      <c r="F50">
        <v>14.996104239999999</v>
      </c>
      <c r="G50">
        <v>1381.9163818</v>
      </c>
      <c r="H50">
        <v>1370.5529785000001</v>
      </c>
      <c r="I50">
        <v>1284.0974120999999</v>
      </c>
      <c r="J50">
        <v>1261.5042725000001</v>
      </c>
      <c r="K50">
        <v>1375</v>
      </c>
      <c r="L50">
        <v>0</v>
      </c>
      <c r="M50">
        <v>0</v>
      </c>
      <c r="N50">
        <v>1375</v>
      </c>
    </row>
    <row r="51" spans="1:14" x14ac:dyDescent="0.25">
      <c r="A51">
        <v>1.3059620000000001</v>
      </c>
      <c r="B51" s="1">
        <f>DATE(2010,5,2) + TIME(7,20,35)</f>
        <v>40300.305960648147</v>
      </c>
      <c r="C51">
        <v>80</v>
      </c>
      <c r="D51">
        <v>53.489032745000003</v>
      </c>
      <c r="E51">
        <v>50</v>
      </c>
      <c r="F51">
        <v>14.996125221</v>
      </c>
      <c r="G51">
        <v>1381.7272949000001</v>
      </c>
      <c r="H51">
        <v>1370.4978027</v>
      </c>
      <c r="I51">
        <v>1284.0979004000001</v>
      </c>
      <c r="J51">
        <v>1261.5046387</v>
      </c>
      <c r="K51">
        <v>1375</v>
      </c>
      <c r="L51">
        <v>0</v>
      </c>
      <c r="M51">
        <v>0</v>
      </c>
      <c r="N51">
        <v>1375</v>
      </c>
    </row>
    <row r="52" spans="1:14" x14ac:dyDescent="0.25">
      <c r="A52">
        <v>1.3570709999999999</v>
      </c>
      <c r="B52" s="1">
        <f>DATE(2010,5,2) + TIME(8,34,10)</f>
        <v>40300.357060185182</v>
      </c>
      <c r="C52">
        <v>80</v>
      </c>
      <c r="D52">
        <v>54.456390380999999</v>
      </c>
      <c r="E52">
        <v>50</v>
      </c>
      <c r="F52">
        <v>14.996146202</v>
      </c>
      <c r="G52">
        <v>1381.5437012</v>
      </c>
      <c r="H52">
        <v>1370.4438477000001</v>
      </c>
      <c r="I52">
        <v>1284.0983887</v>
      </c>
      <c r="J52">
        <v>1261.5048827999999</v>
      </c>
      <c r="K52">
        <v>1375</v>
      </c>
      <c r="L52">
        <v>0</v>
      </c>
      <c r="M52">
        <v>0</v>
      </c>
      <c r="N52">
        <v>1375</v>
      </c>
    </row>
    <row r="53" spans="1:14" x14ac:dyDescent="0.25">
      <c r="A53">
        <v>1.409905</v>
      </c>
      <c r="B53" s="1">
        <f>DATE(2010,5,2) + TIME(9,50,15)</f>
        <v>40300.409895833334</v>
      </c>
      <c r="C53">
        <v>80</v>
      </c>
      <c r="D53">
        <v>55.422424315999997</v>
      </c>
      <c r="E53">
        <v>50</v>
      </c>
      <c r="F53">
        <v>14.996167183000001</v>
      </c>
      <c r="G53">
        <v>1381.3653564000001</v>
      </c>
      <c r="H53">
        <v>1370.3907471</v>
      </c>
      <c r="I53">
        <v>1284.0988769999999</v>
      </c>
      <c r="J53">
        <v>1261.505249</v>
      </c>
      <c r="K53">
        <v>1375</v>
      </c>
      <c r="L53">
        <v>0</v>
      </c>
      <c r="M53">
        <v>0</v>
      </c>
      <c r="N53">
        <v>1375</v>
      </c>
    </row>
    <row r="54" spans="1:14" x14ac:dyDescent="0.25">
      <c r="A54">
        <v>1.464596</v>
      </c>
      <c r="B54" s="1">
        <f>DATE(2010,5,2) + TIME(11,9,1)</f>
        <v>40300.464594907404</v>
      </c>
      <c r="C54">
        <v>80</v>
      </c>
      <c r="D54">
        <v>56.38703537</v>
      </c>
      <c r="E54">
        <v>50</v>
      </c>
      <c r="F54">
        <v>14.996188163999999</v>
      </c>
      <c r="G54">
        <v>1381.1917725000001</v>
      </c>
      <c r="H54">
        <v>1370.3386230000001</v>
      </c>
      <c r="I54">
        <v>1284.0992432</v>
      </c>
      <c r="J54">
        <v>1261.5054932</v>
      </c>
      <c r="K54">
        <v>1375</v>
      </c>
      <c r="L54">
        <v>0</v>
      </c>
      <c r="M54">
        <v>0</v>
      </c>
      <c r="N54">
        <v>1375</v>
      </c>
    </row>
    <row r="55" spans="1:14" x14ac:dyDescent="0.25">
      <c r="A55">
        <v>1.5212939999999999</v>
      </c>
      <c r="B55" s="1">
        <f>DATE(2010,5,2) + TIME(12,30,39)</f>
        <v>40300.521284722221</v>
      </c>
      <c r="C55">
        <v>80</v>
      </c>
      <c r="D55">
        <v>57.350112914999997</v>
      </c>
      <c r="E55">
        <v>50</v>
      </c>
      <c r="F55">
        <v>14.996210098000001</v>
      </c>
      <c r="G55">
        <v>1381.0228271000001</v>
      </c>
      <c r="H55">
        <v>1370.2871094</v>
      </c>
      <c r="I55">
        <v>1284.0997314000001</v>
      </c>
      <c r="J55">
        <v>1261.5058594</v>
      </c>
      <c r="K55">
        <v>1375</v>
      </c>
      <c r="L55">
        <v>0</v>
      </c>
      <c r="M55">
        <v>0</v>
      </c>
      <c r="N55">
        <v>1375</v>
      </c>
    </row>
    <row r="56" spans="1:14" x14ac:dyDescent="0.25">
      <c r="A56">
        <v>1.580165</v>
      </c>
      <c r="B56" s="1">
        <f>DATE(2010,5,2) + TIME(13,55,26)</f>
        <v>40300.58016203704</v>
      </c>
      <c r="C56">
        <v>80</v>
      </c>
      <c r="D56">
        <v>58.311523438000002</v>
      </c>
      <c r="E56">
        <v>50</v>
      </c>
      <c r="F56">
        <v>14.996232033</v>
      </c>
      <c r="G56">
        <v>1380.8580322</v>
      </c>
      <c r="H56">
        <v>1370.2359618999999</v>
      </c>
      <c r="I56">
        <v>1284.1002197</v>
      </c>
      <c r="J56">
        <v>1261.5061035000001</v>
      </c>
      <c r="K56">
        <v>1375</v>
      </c>
      <c r="L56">
        <v>0</v>
      </c>
      <c r="M56">
        <v>0</v>
      </c>
      <c r="N56">
        <v>1375</v>
      </c>
    </row>
    <row r="57" spans="1:14" x14ac:dyDescent="0.25">
      <c r="A57">
        <v>1.6414</v>
      </c>
      <c r="B57" s="1">
        <f>DATE(2010,5,2) + TIME(15,23,36)</f>
        <v>40300.641388888886</v>
      </c>
      <c r="C57">
        <v>80</v>
      </c>
      <c r="D57">
        <v>59.271129608000003</v>
      </c>
      <c r="E57">
        <v>50</v>
      </c>
      <c r="F57">
        <v>14.996253966999999</v>
      </c>
      <c r="G57">
        <v>1380.6972656</v>
      </c>
      <c r="H57">
        <v>1370.1851807</v>
      </c>
      <c r="I57">
        <v>1284.1005858999999</v>
      </c>
      <c r="J57">
        <v>1261.5064697</v>
      </c>
      <c r="K57">
        <v>1375</v>
      </c>
      <c r="L57">
        <v>0</v>
      </c>
      <c r="M57">
        <v>0</v>
      </c>
      <c r="N57">
        <v>1375</v>
      </c>
    </row>
    <row r="58" spans="1:14" x14ac:dyDescent="0.25">
      <c r="A58">
        <v>1.705212</v>
      </c>
      <c r="B58" s="1">
        <f>DATE(2010,5,2) + TIME(16,55,30)</f>
        <v>40300.705208333333</v>
      </c>
      <c r="C58">
        <v>80</v>
      </c>
      <c r="D58">
        <v>60.228603362999998</v>
      </c>
      <c r="E58">
        <v>50</v>
      </c>
      <c r="F58">
        <v>14.996276855</v>
      </c>
      <c r="G58">
        <v>1380.5400391000001</v>
      </c>
      <c r="H58">
        <v>1370.1343993999999</v>
      </c>
      <c r="I58">
        <v>1284.1010742000001</v>
      </c>
      <c r="J58">
        <v>1261.5068358999999</v>
      </c>
      <c r="K58">
        <v>1375</v>
      </c>
      <c r="L58">
        <v>0</v>
      </c>
      <c r="M58">
        <v>0</v>
      </c>
      <c r="N58">
        <v>1375</v>
      </c>
    </row>
    <row r="59" spans="1:14" x14ac:dyDescent="0.25">
      <c r="A59">
        <v>1.7718579999999999</v>
      </c>
      <c r="B59" s="1">
        <f>DATE(2010,5,2) + TIME(18,31,28)</f>
        <v>40300.771851851852</v>
      </c>
      <c r="C59">
        <v>80</v>
      </c>
      <c r="D59">
        <v>61.183544159</v>
      </c>
      <c r="E59">
        <v>50</v>
      </c>
      <c r="F59">
        <v>14.996298790000001</v>
      </c>
      <c r="G59">
        <v>1380.3859863</v>
      </c>
      <c r="H59">
        <v>1370.0832519999999</v>
      </c>
      <c r="I59">
        <v>1284.1015625</v>
      </c>
      <c r="J59">
        <v>1261.5070800999999</v>
      </c>
      <c r="K59">
        <v>1375</v>
      </c>
      <c r="L59">
        <v>0</v>
      </c>
      <c r="M59">
        <v>0</v>
      </c>
      <c r="N59">
        <v>1375</v>
      </c>
    </row>
    <row r="60" spans="1:14" x14ac:dyDescent="0.25">
      <c r="A60">
        <v>1.8416490000000001</v>
      </c>
      <c r="B60" s="1">
        <f>DATE(2010,5,2) + TIME(20,11,58)</f>
        <v>40300.841643518521</v>
      </c>
      <c r="C60">
        <v>80</v>
      </c>
      <c r="D60">
        <v>62.136600494</v>
      </c>
      <c r="E60">
        <v>50</v>
      </c>
      <c r="F60">
        <v>14.996322632</v>
      </c>
      <c r="G60">
        <v>1380.2348632999999</v>
      </c>
      <c r="H60">
        <v>1370.0317382999999</v>
      </c>
      <c r="I60">
        <v>1284.1020507999999</v>
      </c>
      <c r="J60">
        <v>1261.5074463000001</v>
      </c>
      <c r="K60">
        <v>1375</v>
      </c>
      <c r="L60">
        <v>0</v>
      </c>
      <c r="M60">
        <v>0</v>
      </c>
      <c r="N60">
        <v>1375</v>
      </c>
    </row>
    <row r="61" spans="1:14" x14ac:dyDescent="0.25">
      <c r="A61">
        <v>1.9148780000000001</v>
      </c>
      <c r="B61" s="1">
        <f>DATE(2010,5,2) + TIME(21,57,25)</f>
        <v>40300.914872685185</v>
      </c>
      <c r="C61">
        <v>80</v>
      </c>
      <c r="D61">
        <v>63.087055206000002</v>
      </c>
      <c r="E61">
        <v>50</v>
      </c>
      <c r="F61">
        <v>14.99634552</v>
      </c>
      <c r="G61">
        <v>1380.0863036999999</v>
      </c>
      <c r="H61">
        <v>1369.9794922000001</v>
      </c>
      <c r="I61">
        <v>1284.1026611</v>
      </c>
      <c r="J61">
        <v>1261.5078125</v>
      </c>
      <c r="K61">
        <v>1375</v>
      </c>
      <c r="L61">
        <v>0</v>
      </c>
      <c r="M61">
        <v>0</v>
      </c>
      <c r="N61">
        <v>1375</v>
      </c>
    </row>
    <row r="62" spans="1:14" x14ac:dyDescent="0.25">
      <c r="A62">
        <v>1.991924</v>
      </c>
      <c r="B62" s="1">
        <f>DATE(2010,5,2) + TIME(23,48,22)</f>
        <v>40300.9919212963</v>
      </c>
      <c r="C62">
        <v>80</v>
      </c>
      <c r="D62">
        <v>64.034629821999999</v>
      </c>
      <c r="E62">
        <v>50</v>
      </c>
      <c r="F62">
        <v>14.996369361999999</v>
      </c>
      <c r="G62">
        <v>1379.9399414</v>
      </c>
      <c r="H62">
        <v>1369.9261475000001</v>
      </c>
      <c r="I62">
        <v>1284.1031493999999</v>
      </c>
      <c r="J62">
        <v>1261.5081786999999</v>
      </c>
      <c r="K62">
        <v>1375</v>
      </c>
      <c r="L62">
        <v>0</v>
      </c>
      <c r="M62">
        <v>0</v>
      </c>
      <c r="N62">
        <v>1375</v>
      </c>
    </row>
    <row r="63" spans="1:14" x14ac:dyDescent="0.25">
      <c r="A63">
        <v>2.073232</v>
      </c>
      <c r="B63" s="1">
        <f>DATE(2010,5,3) + TIME(1,45,27)</f>
        <v>40301.073229166665</v>
      </c>
      <c r="C63">
        <v>80</v>
      </c>
      <c r="D63">
        <v>64.979011536000002</v>
      </c>
      <c r="E63">
        <v>50</v>
      </c>
      <c r="F63">
        <v>14.996394156999999</v>
      </c>
      <c r="G63">
        <v>1379.7954102000001</v>
      </c>
      <c r="H63">
        <v>1369.8714600000001</v>
      </c>
      <c r="I63">
        <v>1284.1037598</v>
      </c>
      <c r="J63">
        <v>1261.5085449000001</v>
      </c>
      <c r="K63">
        <v>1375</v>
      </c>
      <c r="L63">
        <v>0</v>
      </c>
      <c r="M63">
        <v>0</v>
      </c>
      <c r="N63">
        <v>1375</v>
      </c>
    </row>
    <row r="64" spans="1:14" x14ac:dyDescent="0.25">
      <c r="A64">
        <v>2.1593300000000002</v>
      </c>
      <c r="B64" s="1">
        <f>DATE(2010,5,3) + TIME(3,49,26)</f>
        <v>40301.159328703703</v>
      </c>
      <c r="C64">
        <v>80</v>
      </c>
      <c r="D64">
        <v>65.920036315999994</v>
      </c>
      <c r="E64">
        <v>50</v>
      </c>
      <c r="F64">
        <v>14.996418952999999</v>
      </c>
      <c r="G64">
        <v>1379.6520995999999</v>
      </c>
      <c r="H64">
        <v>1369.8150635</v>
      </c>
      <c r="I64">
        <v>1284.1043701000001</v>
      </c>
      <c r="J64">
        <v>1261.5089111</v>
      </c>
      <c r="K64">
        <v>1375</v>
      </c>
      <c r="L64">
        <v>0</v>
      </c>
      <c r="M64">
        <v>0</v>
      </c>
      <c r="N64">
        <v>1375</v>
      </c>
    </row>
    <row r="65" spans="1:14" x14ac:dyDescent="0.25">
      <c r="A65">
        <v>2.250823</v>
      </c>
      <c r="B65" s="1">
        <f>DATE(2010,5,3) + TIME(6,1,11)</f>
        <v>40301.250821759262</v>
      </c>
      <c r="C65">
        <v>80</v>
      </c>
      <c r="D65">
        <v>66.856849670000003</v>
      </c>
      <c r="E65">
        <v>50</v>
      </c>
      <c r="F65">
        <v>14.996443748000001</v>
      </c>
      <c r="G65">
        <v>1379.5098877</v>
      </c>
      <c r="H65">
        <v>1369.7564697</v>
      </c>
      <c r="I65">
        <v>1284.1049805</v>
      </c>
      <c r="J65">
        <v>1261.5093993999999</v>
      </c>
      <c r="K65">
        <v>1375</v>
      </c>
      <c r="L65">
        <v>0</v>
      </c>
      <c r="M65">
        <v>0</v>
      </c>
      <c r="N65">
        <v>1375</v>
      </c>
    </row>
    <row r="66" spans="1:14" x14ac:dyDescent="0.25">
      <c r="A66">
        <v>2.2975249999999998</v>
      </c>
      <c r="B66" s="1">
        <f>DATE(2010,5,3) + TIME(7,8,26)</f>
        <v>40301.297523148147</v>
      </c>
      <c r="C66">
        <v>80</v>
      </c>
      <c r="D66">
        <v>67.320213318</v>
      </c>
      <c r="E66">
        <v>50</v>
      </c>
      <c r="F66">
        <v>14.996457100000001</v>
      </c>
      <c r="G66">
        <v>1379.4512939000001</v>
      </c>
      <c r="H66">
        <v>1369.7154541</v>
      </c>
      <c r="I66">
        <v>1284.1054687999999</v>
      </c>
      <c r="J66">
        <v>1261.5098877</v>
      </c>
      <c r="K66">
        <v>1375</v>
      </c>
      <c r="L66">
        <v>0</v>
      </c>
      <c r="M66">
        <v>0</v>
      </c>
      <c r="N66">
        <v>1375</v>
      </c>
    </row>
    <row r="67" spans="1:14" x14ac:dyDescent="0.25">
      <c r="A67">
        <v>2.3442280000000002</v>
      </c>
      <c r="B67" s="1">
        <f>DATE(2010,5,3) + TIME(8,15,41)</f>
        <v>40301.344224537039</v>
      </c>
      <c r="C67">
        <v>80</v>
      </c>
      <c r="D67">
        <v>67.767967224000003</v>
      </c>
      <c r="E67">
        <v>50</v>
      </c>
      <c r="F67">
        <v>14.996469498</v>
      </c>
      <c r="G67">
        <v>1379.3833007999999</v>
      </c>
      <c r="H67">
        <v>1369.6856689000001</v>
      </c>
      <c r="I67">
        <v>1284.105957</v>
      </c>
      <c r="J67">
        <v>1261.5101318</v>
      </c>
      <c r="K67">
        <v>1375</v>
      </c>
      <c r="L67">
        <v>0</v>
      </c>
      <c r="M67">
        <v>0</v>
      </c>
      <c r="N67">
        <v>1375</v>
      </c>
    </row>
    <row r="68" spans="1:14" x14ac:dyDescent="0.25">
      <c r="A68">
        <v>2.39093</v>
      </c>
      <c r="B68" s="1">
        <f>DATE(2010,5,3) + TIME(9,22,56)</f>
        <v>40301.390925925924</v>
      </c>
      <c r="C68">
        <v>80</v>
      </c>
      <c r="D68">
        <v>68.200584411999998</v>
      </c>
      <c r="E68">
        <v>50</v>
      </c>
      <c r="F68">
        <v>14.996481895000001</v>
      </c>
      <c r="G68">
        <v>1379.317749</v>
      </c>
      <c r="H68">
        <v>1369.6560059000001</v>
      </c>
      <c r="I68">
        <v>1284.1063231999999</v>
      </c>
      <c r="J68">
        <v>1261.510376</v>
      </c>
      <c r="K68">
        <v>1375</v>
      </c>
      <c r="L68">
        <v>0</v>
      </c>
      <c r="M68">
        <v>0</v>
      </c>
      <c r="N68">
        <v>1375</v>
      </c>
    </row>
    <row r="69" spans="1:14" x14ac:dyDescent="0.25">
      <c r="A69">
        <v>2.4376319999999998</v>
      </c>
      <c r="B69" s="1">
        <f>DATE(2010,5,3) + TIME(10,30,11)</f>
        <v>40301.437627314815</v>
      </c>
      <c r="C69">
        <v>80</v>
      </c>
      <c r="D69">
        <v>68.618522643999995</v>
      </c>
      <c r="E69">
        <v>50</v>
      </c>
      <c r="F69">
        <v>14.996494293</v>
      </c>
      <c r="G69">
        <v>1379.2540283000001</v>
      </c>
      <c r="H69">
        <v>1369.6265868999999</v>
      </c>
      <c r="I69">
        <v>1284.1066894999999</v>
      </c>
      <c r="J69">
        <v>1261.5106201000001</v>
      </c>
      <c r="K69">
        <v>1375</v>
      </c>
      <c r="L69">
        <v>0</v>
      </c>
      <c r="M69">
        <v>0</v>
      </c>
      <c r="N69">
        <v>1375</v>
      </c>
    </row>
    <row r="70" spans="1:14" x14ac:dyDescent="0.25">
      <c r="A70">
        <v>2.484334</v>
      </c>
      <c r="B70" s="1">
        <f>DATE(2010,5,3) + TIME(11,37,26)</f>
        <v>40301.4843287037</v>
      </c>
      <c r="C70">
        <v>80</v>
      </c>
      <c r="D70">
        <v>69.022209167</v>
      </c>
      <c r="E70">
        <v>50</v>
      </c>
      <c r="F70">
        <v>14.996505737</v>
      </c>
      <c r="G70">
        <v>1379.1921387</v>
      </c>
      <c r="H70">
        <v>1369.5972899999999</v>
      </c>
      <c r="I70">
        <v>1284.1069336</v>
      </c>
      <c r="J70">
        <v>1261.5108643000001</v>
      </c>
      <c r="K70">
        <v>1375</v>
      </c>
      <c r="L70">
        <v>0</v>
      </c>
      <c r="M70">
        <v>0</v>
      </c>
      <c r="N70">
        <v>1375</v>
      </c>
    </row>
    <row r="71" spans="1:14" x14ac:dyDescent="0.25">
      <c r="A71">
        <v>2.531037</v>
      </c>
      <c r="B71" s="1">
        <f>DATE(2010,5,3) + TIME(12,44,41)</f>
        <v>40301.531030092592</v>
      </c>
      <c r="C71">
        <v>80</v>
      </c>
      <c r="D71">
        <v>69.412086486999996</v>
      </c>
      <c r="E71">
        <v>50</v>
      </c>
      <c r="F71">
        <v>14.996517181</v>
      </c>
      <c r="G71">
        <v>1379.1318358999999</v>
      </c>
      <c r="H71">
        <v>1369.5681152</v>
      </c>
      <c r="I71">
        <v>1284.1072998</v>
      </c>
      <c r="J71">
        <v>1261.5111084</v>
      </c>
      <c r="K71">
        <v>1375</v>
      </c>
      <c r="L71">
        <v>0</v>
      </c>
      <c r="M71">
        <v>0</v>
      </c>
      <c r="N71">
        <v>1375</v>
      </c>
    </row>
    <row r="72" spans="1:14" x14ac:dyDescent="0.25">
      <c r="A72">
        <v>2.5777389999999998</v>
      </c>
      <c r="B72" s="1">
        <f>DATE(2010,5,3) + TIME(13,51,56)</f>
        <v>40301.577731481484</v>
      </c>
      <c r="C72">
        <v>80</v>
      </c>
      <c r="D72">
        <v>69.788574218999997</v>
      </c>
      <c r="E72">
        <v>50</v>
      </c>
      <c r="F72">
        <v>14.996529579000001</v>
      </c>
      <c r="G72">
        <v>1379.0732422000001</v>
      </c>
      <c r="H72">
        <v>1369.5390625</v>
      </c>
      <c r="I72">
        <v>1284.1076660000001</v>
      </c>
      <c r="J72">
        <v>1261.5113524999999</v>
      </c>
      <c r="K72">
        <v>1375</v>
      </c>
      <c r="L72">
        <v>0</v>
      </c>
      <c r="M72">
        <v>0</v>
      </c>
      <c r="N72">
        <v>1375</v>
      </c>
    </row>
    <row r="73" spans="1:14" x14ac:dyDescent="0.25">
      <c r="A73">
        <v>2.624441</v>
      </c>
      <c r="B73" s="1">
        <f>DATE(2010,5,3) + TIME(14,59,11)</f>
        <v>40301.624432870369</v>
      </c>
      <c r="C73">
        <v>80</v>
      </c>
      <c r="D73">
        <v>70.151977539000001</v>
      </c>
      <c r="E73">
        <v>50</v>
      </c>
      <c r="F73">
        <v>14.99654007</v>
      </c>
      <c r="G73">
        <v>1379.0159911999999</v>
      </c>
      <c r="H73">
        <v>1369.5100098</v>
      </c>
      <c r="I73">
        <v>1284.1079102000001</v>
      </c>
      <c r="J73">
        <v>1261.5115966999999</v>
      </c>
      <c r="K73">
        <v>1375</v>
      </c>
      <c r="L73">
        <v>0</v>
      </c>
      <c r="M73">
        <v>0</v>
      </c>
      <c r="N73">
        <v>1375</v>
      </c>
    </row>
    <row r="74" spans="1:14" x14ac:dyDescent="0.25">
      <c r="A74">
        <v>2.7178460000000002</v>
      </c>
      <c r="B74" s="1">
        <f>DATE(2010,5,3) + TIME(17,13,41)</f>
        <v>40301.717835648145</v>
      </c>
      <c r="C74">
        <v>80</v>
      </c>
      <c r="D74">
        <v>70.828437804999993</v>
      </c>
      <c r="E74">
        <v>50</v>
      </c>
      <c r="F74">
        <v>14.996562003999999</v>
      </c>
      <c r="G74">
        <v>1378.9057617000001</v>
      </c>
      <c r="H74">
        <v>1369.4689940999999</v>
      </c>
      <c r="I74">
        <v>1284.1083983999999</v>
      </c>
      <c r="J74">
        <v>1261.5119629000001</v>
      </c>
      <c r="K74">
        <v>1375</v>
      </c>
      <c r="L74">
        <v>0</v>
      </c>
      <c r="M74">
        <v>0</v>
      </c>
      <c r="N74">
        <v>1375</v>
      </c>
    </row>
    <row r="75" spans="1:14" x14ac:dyDescent="0.25">
      <c r="A75">
        <v>2.8112729999999999</v>
      </c>
      <c r="B75" s="1">
        <f>DATE(2010,5,3) + TIME(19,28,13)</f>
        <v>40301.811261574076</v>
      </c>
      <c r="C75">
        <v>80</v>
      </c>
      <c r="D75">
        <v>71.459564209000007</v>
      </c>
      <c r="E75">
        <v>50</v>
      </c>
      <c r="F75">
        <v>14.996582985</v>
      </c>
      <c r="G75">
        <v>1378.8024902</v>
      </c>
      <c r="H75">
        <v>1369.4113769999999</v>
      </c>
      <c r="I75">
        <v>1284.1090088000001</v>
      </c>
      <c r="J75">
        <v>1261.5124512</v>
      </c>
      <c r="K75">
        <v>1375</v>
      </c>
      <c r="L75">
        <v>0</v>
      </c>
      <c r="M75">
        <v>0</v>
      </c>
      <c r="N75">
        <v>1375</v>
      </c>
    </row>
    <row r="76" spans="1:14" x14ac:dyDescent="0.25">
      <c r="A76">
        <v>2.9052760000000002</v>
      </c>
      <c r="B76" s="1">
        <f>DATE(2010,5,3) + TIME(21,43,35)</f>
        <v>40301.905266203707</v>
      </c>
      <c r="C76">
        <v>80</v>
      </c>
      <c r="D76">
        <v>72.051361084000007</v>
      </c>
      <c r="E76">
        <v>50</v>
      </c>
      <c r="F76">
        <v>14.996603012</v>
      </c>
      <c r="G76">
        <v>1378.7027588000001</v>
      </c>
      <c r="H76">
        <v>1369.3536377</v>
      </c>
      <c r="I76">
        <v>1284.1096190999999</v>
      </c>
      <c r="J76">
        <v>1261.5129394999999</v>
      </c>
      <c r="K76">
        <v>1375</v>
      </c>
      <c r="L76">
        <v>0</v>
      </c>
      <c r="M76">
        <v>0</v>
      </c>
      <c r="N76">
        <v>1375</v>
      </c>
    </row>
    <row r="77" spans="1:14" x14ac:dyDescent="0.25">
      <c r="A77">
        <v>2.9999859999999998</v>
      </c>
      <c r="B77" s="1">
        <f>DATE(2010,5,3) + TIME(23,59,58)</f>
        <v>40301.999976851854</v>
      </c>
      <c r="C77">
        <v>80</v>
      </c>
      <c r="D77">
        <v>72.606506347999996</v>
      </c>
      <c r="E77">
        <v>50</v>
      </c>
      <c r="F77">
        <v>14.996623038999999</v>
      </c>
      <c r="G77">
        <v>1378.6063231999999</v>
      </c>
      <c r="H77">
        <v>1369.2957764</v>
      </c>
      <c r="I77">
        <v>1284.1103516000001</v>
      </c>
      <c r="J77">
        <v>1261.5134277</v>
      </c>
      <c r="K77">
        <v>1375</v>
      </c>
      <c r="L77">
        <v>0</v>
      </c>
      <c r="M77">
        <v>0</v>
      </c>
      <c r="N77">
        <v>1375</v>
      </c>
    </row>
    <row r="78" spans="1:14" x14ac:dyDescent="0.25">
      <c r="A78">
        <v>3.095542</v>
      </c>
      <c r="B78" s="1">
        <f>DATE(2010,5,4) + TIME(2,17,34)</f>
        <v>40302.095532407409</v>
      </c>
      <c r="C78">
        <v>80</v>
      </c>
      <c r="D78">
        <v>73.127456664999997</v>
      </c>
      <c r="E78">
        <v>50</v>
      </c>
      <c r="F78">
        <v>14.996642113</v>
      </c>
      <c r="G78">
        <v>1378.5126952999999</v>
      </c>
      <c r="H78">
        <v>1369.2374268000001</v>
      </c>
      <c r="I78">
        <v>1284.1109618999999</v>
      </c>
      <c r="J78">
        <v>1261.5140381000001</v>
      </c>
      <c r="K78">
        <v>1375</v>
      </c>
      <c r="L78">
        <v>0</v>
      </c>
      <c r="M78">
        <v>0</v>
      </c>
      <c r="N78">
        <v>1375</v>
      </c>
    </row>
    <row r="79" spans="1:14" x14ac:dyDescent="0.25">
      <c r="A79">
        <v>3.1920820000000001</v>
      </c>
      <c r="B79" s="1">
        <f>DATE(2010,5,4) + TIME(4,36,35)</f>
        <v>40302.192071759258</v>
      </c>
      <c r="C79">
        <v>80</v>
      </c>
      <c r="D79">
        <v>73.616439818999993</v>
      </c>
      <c r="E79">
        <v>50</v>
      </c>
      <c r="F79">
        <v>14.996661186000001</v>
      </c>
      <c r="G79">
        <v>1378.4216309000001</v>
      </c>
      <c r="H79">
        <v>1369.1785889</v>
      </c>
      <c r="I79">
        <v>1284.1115723</v>
      </c>
      <c r="J79">
        <v>1261.5145264</v>
      </c>
      <c r="K79">
        <v>1375</v>
      </c>
      <c r="L79">
        <v>0</v>
      </c>
      <c r="M79">
        <v>0</v>
      </c>
      <c r="N79">
        <v>1375</v>
      </c>
    </row>
    <row r="80" spans="1:14" x14ac:dyDescent="0.25">
      <c r="A80">
        <v>3.2897270000000001</v>
      </c>
      <c r="B80" s="1">
        <f>DATE(2010,5,4) + TIME(6,57,12)</f>
        <v>40302.289722222224</v>
      </c>
      <c r="C80">
        <v>80</v>
      </c>
      <c r="D80">
        <v>74.075393676999994</v>
      </c>
      <c r="E80">
        <v>50</v>
      </c>
      <c r="F80">
        <v>14.996679306000001</v>
      </c>
      <c r="G80">
        <v>1378.3326416</v>
      </c>
      <c r="H80">
        <v>1369.1193848</v>
      </c>
      <c r="I80">
        <v>1284.1123047000001</v>
      </c>
      <c r="J80">
        <v>1261.5150146000001</v>
      </c>
      <c r="K80">
        <v>1375</v>
      </c>
      <c r="L80">
        <v>0</v>
      </c>
      <c r="M80">
        <v>0</v>
      </c>
      <c r="N80">
        <v>1375</v>
      </c>
    </row>
    <row r="81" spans="1:14" x14ac:dyDescent="0.25">
      <c r="A81">
        <v>3.3886379999999998</v>
      </c>
      <c r="B81" s="1">
        <f>DATE(2010,5,4) + TIME(9,19,38)</f>
        <v>40302.38863425926</v>
      </c>
      <c r="C81">
        <v>80</v>
      </c>
      <c r="D81">
        <v>74.506263732999997</v>
      </c>
      <c r="E81">
        <v>50</v>
      </c>
      <c r="F81">
        <v>14.996697426000001</v>
      </c>
      <c r="G81">
        <v>1378.2453613</v>
      </c>
      <c r="H81">
        <v>1369.0594481999999</v>
      </c>
      <c r="I81">
        <v>1284.1129149999999</v>
      </c>
      <c r="J81">
        <v>1261.515625</v>
      </c>
      <c r="K81">
        <v>1375</v>
      </c>
      <c r="L81">
        <v>0</v>
      </c>
      <c r="M81">
        <v>0</v>
      </c>
      <c r="N81">
        <v>1375</v>
      </c>
    </row>
    <row r="82" spans="1:14" x14ac:dyDescent="0.25">
      <c r="A82">
        <v>3.4889619999999999</v>
      </c>
      <c r="B82" s="1">
        <f>DATE(2010,5,4) + TIME(11,44,6)</f>
        <v>40302.488958333335</v>
      </c>
      <c r="C82">
        <v>80</v>
      </c>
      <c r="D82">
        <v>74.910728454999997</v>
      </c>
      <c r="E82">
        <v>50</v>
      </c>
      <c r="F82">
        <v>14.996715546000001</v>
      </c>
      <c r="G82">
        <v>1378.1597899999999</v>
      </c>
      <c r="H82">
        <v>1368.9987793</v>
      </c>
      <c r="I82">
        <v>1284.1136475000001</v>
      </c>
      <c r="J82">
        <v>1261.5161132999999</v>
      </c>
      <c r="K82">
        <v>1375</v>
      </c>
      <c r="L82">
        <v>0</v>
      </c>
      <c r="M82">
        <v>0</v>
      </c>
      <c r="N82">
        <v>1375</v>
      </c>
    </row>
    <row r="83" spans="1:14" x14ac:dyDescent="0.25">
      <c r="A83">
        <v>3.5908500000000001</v>
      </c>
      <c r="B83" s="1">
        <f>DATE(2010,5,4) + TIME(14,10,49)</f>
        <v>40302.590844907405</v>
      </c>
      <c r="C83">
        <v>80</v>
      </c>
      <c r="D83">
        <v>75.290107727000006</v>
      </c>
      <c r="E83">
        <v>50</v>
      </c>
      <c r="F83">
        <v>14.996733665000001</v>
      </c>
      <c r="G83">
        <v>1378.0754394999999</v>
      </c>
      <c r="H83">
        <v>1368.9373779</v>
      </c>
      <c r="I83">
        <v>1284.1142577999999</v>
      </c>
      <c r="J83">
        <v>1261.5167236</v>
      </c>
      <c r="K83">
        <v>1375</v>
      </c>
      <c r="L83">
        <v>0</v>
      </c>
      <c r="M83">
        <v>0</v>
      </c>
      <c r="N83">
        <v>1375</v>
      </c>
    </row>
    <row r="84" spans="1:14" x14ac:dyDescent="0.25">
      <c r="A84">
        <v>3.694458</v>
      </c>
      <c r="B84" s="1">
        <f>DATE(2010,5,4) + TIME(16,40,1)</f>
        <v>40302.694456018522</v>
      </c>
      <c r="C84">
        <v>80</v>
      </c>
      <c r="D84">
        <v>75.645973205999994</v>
      </c>
      <c r="E84">
        <v>50</v>
      </c>
      <c r="F84">
        <v>14.996750832</v>
      </c>
      <c r="G84">
        <v>1377.9920654</v>
      </c>
      <c r="H84">
        <v>1368.8752440999999</v>
      </c>
      <c r="I84">
        <v>1284.1149902</v>
      </c>
      <c r="J84">
        <v>1261.5173339999999</v>
      </c>
      <c r="K84">
        <v>1375</v>
      </c>
      <c r="L84">
        <v>0</v>
      </c>
      <c r="M84">
        <v>0</v>
      </c>
      <c r="N84">
        <v>1375</v>
      </c>
    </row>
    <row r="85" spans="1:14" x14ac:dyDescent="0.25">
      <c r="A85">
        <v>3.7999520000000002</v>
      </c>
      <c r="B85" s="1">
        <f>DATE(2010,5,4) + TIME(19,11,55)</f>
        <v>40302.799942129626</v>
      </c>
      <c r="C85">
        <v>80</v>
      </c>
      <c r="D85">
        <v>75.979705811000002</v>
      </c>
      <c r="E85">
        <v>50</v>
      </c>
      <c r="F85">
        <v>14.996767997999999</v>
      </c>
      <c r="G85">
        <v>1377.9095459</v>
      </c>
      <c r="H85">
        <v>1368.8121338000001</v>
      </c>
      <c r="I85">
        <v>1284.1156006000001</v>
      </c>
      <c r="J85">
        <v>1261.5178223</v>
      </c>
      <c r="K85">
        <v>1375</v>
      </c>
      <c r="L85">
        <v>0</v>
      </c>
      <c r="M85">
        <v>0</v>
      </c>
      <c r="N85">
        <v>1375</v>
      </c>
    </row>
    <row r="86" spans="1:14" x14ac:dyDescent="0.25">
      <c r="A86">
        <v>3.9075069999999998</v>
      </c>
      <c r="B86" s="1">
        <f>DATE(2010,5,4) + TIME(21,46,48)</f>
        <v>40302.907500000001</v>
      </c>
      <c r="C86">
        <v>80</v>
      </c>
      <c r="D86">
        <v>76.292518615999995</v>
      </c>
      <c r="E86">
        <v>50</v>
      </c>
      <c r="F86">
        <v>14.99678421</v>
      </c>
      <c r="G86">
        <v>1377.8277588000001</v>
      </c>
      <c r="H86">
        <v>1368.7480469</v>
      </c>
      <c r="I86">
        <v>1284.1163329999999</v>
      </c>
      <c r="J86">
        <v>1261.5184326000001</v>
      </c>
      <c r="K86">
        <v>1375</v>
      </c>
      <c r="L86">
        <v>0</v>
      </c>
      <c r="M86">
        <v>0</v>
      </c>
      <c r="N86">
        <v>1375</v>
      </c>
    </row>
    <row r="87" spans="1:14" x14ac:dyDescent="0.25">
      <c r="A87">
        <v>4.0173069999999997</v>
      </c>
      <c r="B87" s="1">
        <f>DATE(2010,5,5) + TIME(0,24,55)</f>
        <v>40303.01730324074</v>
      </c>
      <c r="C87">
        <v>80</v>
      </c>
      <c r="D87">
        <v>76.585533142000003</v>
      </c>
      <c r="E87">
        <v>50</v>
      </c>
      <c r="F87">
        <v>14.996801376000001</v>
      </c>
      <c r="G87">
        <v>1377.7463379000001</v>
      </c>
      <c r="H87">
        <v>1368.6829834</v>
      </c>
      <c r="I87">
        <v>1284.1169434000001</v>
      </c>
      <c r="J87">
        <v>1261.519043</v>
      </c>
      <c r="K87">
        <v>1375</v>
      </c>
      <c r="L87">
        <v>0</v>
      </c>
      <c r="M87">
        <v>0</v>
      </c>
      <c r="N87">
        <v>1375</v>
      </c>
    </row>
    <row r="88" spans="1:14" x14ac:dyDescent="0.25">
      <c r="A88">
        <v>4.1295510000000002</v>
      </c>
      <c r="B88" s="1">
        <f>DATE(2010,5,5) + TIME(3,6,33)</f>
        <v>40303.129548611112</v>
      </c>
      <c r="C88">
        <v>80</v>
      </c>
      <c r="D88">
        <v>76.859817504999995</v>
      </c>
      <c r="E88">
        <v>50</v>
      </c>
      <c r="F88">
        <v>14.996817589000001</v>
      </c>
      <c r="G88">
        <v>1377.6652832</v>
      </c>
      <c r="H88">
        <v>1368.6168213000001</v>
      </c>
      <c r="I88">
        <v>1284.1176757999999</v>
      </c>
      <c r="J88">
        <v>1261.5196533000001</v>
      </c>
      <c r="K88">
        <v>1375</v>
      </c>
      <c r="L88">
        <v>0</v>
      </c>
      <c r="M88">
        <v>0</v>
      </c>
      <c r="N88">
        <v>1375</v>
      </c>
    </row>
    <row r="89" spans="1:14" x14ac:dyDescent="0.25">
      <c r="A89">
        <v>4.2444509999999998</v>
      </c>
      <c r="B89" s="1">
        <f>DATE(2010,5,5) + TIME(5,52,0)</f>
        <v>40303.244444444441</v>
      </c>
      <c r="C89">
        <v>80</v>
      </c>
      <c r="D89">
        <v>77.116340636999993</v>
      </c>
      <c r="E89">
        <v>50</v>
      </c>
      <c r="F89">
        <v>14.996833800999999</v>
      </c>
      <c r="G89">
        <v>1377.5843506000001</v>
      </c>
      <c r="H89">
        <v>1368.5495605000001</v>
      </c>
      <c r="I89">
        <v>1284.1184082</v>
      </c>
      <c r="J89">
        <v>1261.5201416</v>
      </c>
      <c r="K89">
        <v>1375</v>
      </c>
      <c r="L89">
        <v>0</v>
      </c>
      <c r="M89">
        <v>0</v>
      </c>
      <c r="N89">
        <v>1375</v>
      </c>
    </row>
    <row r="90" spans="1:14" x14ac:dyDescent="0.25">
      <c r="A90">
        <v>4.362285</v>
      </c>
      <c r="B90" s="1">
        <f>DATE(2010,5,5) + TIME(8,41,41)</f>
        <v>40303.362280092595</v>
      </c>
      <c r="C90">
        <v>80</v>
      </c>
      <c r="D90">
        <v>77.356117248999993</v>
      </c>
      <c r="E90">
        <v>50</v>
      </c>
      <c r="F90">
        <v>14.996850014</v>
      </c>
      <c r="G90">
        <v>1377.5032959</v>
      </c>
      <c r="H90">
        <v>1368.480957</v>
      </c>
      <c r="I90">
        <v>1284.1190185999999</v>
      </c>
      <c r="J90">
        <v>1261.5207519999999</v>
      </c>
      <c r="K90">
        <v>1375</v>
      </c>
      <c r="L90">
        <v>0</v>
      </c>
      <c r="M90">
        <v>0</v>
      </c>
      <c r="N90">
        <v>1375</v>
      </c>
    </row>
    <row r="91" spans="1:14" x14ac:dyDescent="0.25">
      <c r="A91">
        <v>4.483263</v>
      </c>
      <c r="B91" s="1">
        <f>DATE(2010,5,5) + TIME(11,35,53)</f>
        <v>40303.483252314814</v>
      </c>
      <c r="C91">
        <v>80</v>
      </c>
      <c r="D91">
        <v>77.579910278</v>
      </c>
      <c r="E91">
        <v>50</v>
      </c>
      <c r="F91">
        <v>14.996866226</v>
      </c>
      <c r="G91">
        <v>1377.4221190999999</v>
      </c>
      <c r="H91">
        <v>1368.4111327999999</v>
      </c>
      <c r="I91">
        <v>1284.119751</v>
      </c>
      <c r="J91">
        <v>1261.5214844</v>
      </c>
      <c r="K91">
        <v>1375</v>
      </c>
      <c r="L91">
        <v>0</v>
      </c>
      <c r="M91">
        <v>0</v>
      </c>
      <c r="N91">
        <v>1375</v>
      </c>
    </row>
    <row r="92" spans="1:14" x14ac:dyDescent="0.25">
      <c r="A92">
        <v>4.6076509999999997</v>
      </c>
      <c r="B92" s="1">
        <f>DATE(2010,5,5) + TIME(14,35,1)</f>
        <v>40303.60765046296</v>
      </c>
      <c r="C92">
        <v>80</v>
      </c>
      <c r="D92">
        <v>77.788528442</v>
      </c>
      <c r="E92">
        <v>50</v>
      </c>
      <c r="F92">
        <v>14.996882439</v>
      </c>
      <c r="G92">
        <v>1377.3406981999999</v>
      </c>
      <c r="H92">
        <v>1368.3399658000001</v>
      </c>
      <c r="I92">
        <v>1284.1204834</v>
      </c>
      <c r="J92">
        <v>1261.5220947</v>
      </c>
      <c r="K92">
        <v>1375</v>
      </c>
      <c r="L92">
        <v>0</v>
      </c>
      <c r="M92">
        <v>0</v>
      </c>
      <c r="N92">
        <v>1375</v>
      </c>
    </row>
    <row r="93" spans="1:14" x14ac:dyDescent="0.25">
      <c r="A93">
        <v>4.7357500000000003</v>
      </c>
      <c r="B93" s="1">
        <f>DATE(2010,5,5) + TIME(17,39,28)</f>
        <v>40303.73574074074</v>
      </c>
      <c r="C93">
        <v>80</v>
      </c>
      <c r="D93">
        <v>77.982734679999993</v>
      </c>
      <c r="E93">
        <v>50</v>
      </c>
      <c r="F93">
        <v>14.996898651</v>
      </c>
      <c r="G93">
        <v>1377.2586670000001</v>
      </c>
      <c r="H93">
        <v>1368.2673339999999</v>
      </c>
      <c r="I93">
        <v>1284.1212158000001</v>
      </c>
      <c r="J93">
        <v>1261.5227050999999</v>
      </c>
      <c r="K93">
        <v>1375</v>
      </c>
      <c r="L93">
        <v>0</v>
      </c>
      <c r="M93">
        <v>0</v>
      </c>
      <c r="N93">
        <v>1375</v>
      </c>
    </row>
    <row r="94" spans="1:14" x14ac:dyDescent="0.25">
      <c r="A94">
        <v>4.8678889999999999</v>
      </c>
      <c r="B94" s="1">
        <f>DATE(2010,5,5) + TIME(20,49,45)</f>
        <v>40303.867881944447</v>
      </c>
      <c r="C94">
        <v>80</v>
      </c>
      <c r="D94">
        <v>78.163253784000005</v>
      </c>
      <c r="E94">
        <v>50</v>
      </c>
      <c r="F94">
        <v>14.996914864000001</v>
      </c>
      <c r="G94">
        <v>1377.1761475000001</v>
      </c>
      <c r="H94">
        <v>1368.1932373</v>
      </c>
      <c r="I94">
        <v>1284.1219481999999</v>
      </c>
      <c r="J94">
        <v>1261.5233154</v>
      </c>
      <c r="K94">
        <v>1375</v>
      </c>
      <c r="L94">
        <v>0</v>
      </c>
      <c r="M94">
        <v>0</v>
      </c>
      <c r="N94">
        <v>1375</v>
      </c>
    </row>
    <row r="95" spans="1:14" x14ac:dyDescent="0.25">
      <c r="A95">
        <v>5.0044320000000004</v>
      </c>
      <c r="B95" s="1">
        <f>DATE(2010,5,6) + TIME(0,6,22)</f>
        <v>40304.004421296297</v>
      </c>
      <c r="C95">
        <v>80</v>
      </c>
      <c r="D95">
        <v>78.330780028999996</v>
      </c>
      <c r="E95">
        <v>50</v>
      </c>
      <c r="F95">
        <v>14.996931075999999</v>
      </c>
      <c r="G95">
        <v>1377.0927733999999</v>
      </c>
      <c r="H95">
        <v>1368.1175536999999</v>
      </c>
      <c r="I95">
        <v>1284.1226807</v>
      </c>
      <c r="J95">
        <v>1261.5240478999999</v>
      </c>
      <c r="K95">
        <v>1375</v>
      </c>
      <c r="L95">
        <v>0</v>
      </c>
      <c r="M95">
        <v>0</v>
      </c>
      <c r="N95">
        <v>1375</v>
      </c>
    </row>
    <row r="96" spans="1:14" x14ac:dyDescent="0.25">
      <c r="A96">
        <v>5.1457850000000001</v>
      </c>
      <c r="B96" s="1">
        <f>DATE(2010,5,6) + TIME(3,29,55)</f>
        <v>40304.145775462966</v>
      </c>
      <c r="C96">
        <v>80</v>
      </c>
      <c r="D96">
        <v>78.485954285000005</v>
      </c>
      <c r="E96">
        <v>50</v>
      </c>
      <c r="F96">
        <v>14.996947289</v>
      </c>
      <c r="G96">
        <v>1377.0084228999999</v>
      </c>
      <c r="H96">
        <v>1368.0400391000001</v>
      </c>
      <c r="I96">
        <v>1284.1235352000001</v>
      </c>
      <c r="J96">
        <v>1261.5247803</v>
      </c>
      <c r="K96">
        <v>1375</v>
      </c>
      <c r="L96">
        <v>0</v>
      </c>
      <c r="M96">
        <v>0</v>
      </c>
      <c r="N96">
        <v>1375</v>
      </c>
    </row>
    <row r="97" spans="1:14" x14ac:dyDescent="0.25">
      <c r="A97">
        <v>5.2917389999999997</v>
      </c>
      <c r="B97" s="1">
        <f>DATE(2010,5,6) + TIME(7,0,6)</f>
        <v>40304.29173611111</v>
      </c>
      <c r="C97">
        <v>80</v>
      </c>
      <c r="D97">
        <v>78.628822326999995</v>
      </c>
      <c r="E97">
        <v>50</v>
      </c>
      <c r="F97">
        <v>14.996963501</v>
      </c>
      <c r="G97">
        <v>1376.9232178</v>
      </c>
      <c r="H97">
        <v>1367.9608154</v>
      </c>
      <c r="I97">
        <v>1284.1242675999999</v>
      </c>
      <c r="J97">
        <v>1261.5253906</v>
      </c>
      <c r="K97">
        <v>1375</v>
      </c>
      <c r="L97">
        <v>0</v>
      </c>
      <c r="M97">
        <v>0</v>
      </c>
      <c r="N97">
        <v>1375</v>
      </c>
    </row>
    <row r="98" spans="1:14" x14ac:dyDescent="0.25">
      <c r="A98">
        <v>5.4423159999999999</v>
      </c>
      <c r="B98" s="1">
        <f>DATE(2010,5,6) + TIME(10,36,56)</f>
        <v>40304.442314814813</v>
      </c>
      <c r="C98">
        <v>80</v>
      </c>
      <c r="D98">
        <v>78.759796143000003</v>
      </c>
      <c r="E98">
        <v>50</v>
      </c>
      <c r="F98">
        <v>14.996979713</v>
      </c>
      <c r="G98">
        <v>1376.8370361</v>
      </c>
      <c r="H98">
        <v>1367.8800048999999</v>
      </c>
      <c r="I98">
        <v>1284.1251221</v>
      </c>
      <c r="J98">
        <v>1261.5261230000001</v>
      </c>
      <c r="K98">
        <v>1375</v>
      </c>
      <c r="L98">
        <v>0</v>
      </c>
      <c r="M98">
        <v>0</v>
      </c>
      <c r="N98">
        <v>1375</v>
      </c>
    </row>
    <row r="99" spans="1:14" x14ac:dyDescent="0.25">
      <c r="A99">
        <v>5.5979169999999998</v>
      </c>
      <c r="B99" s="1">
        <f>DATE(2010,5,6) + TIME(14,21,0)</f>
        <v>40304.597916666666</v>
      </c>
      <c r="C99">
        <v>80</v>
      </c>
      <c r="D99">
        <v>78.879623413000004</v>
      </c>
      <c r="E99">
        <v>50</v>
      </c>
      <c r="F99">
        <v>14.996995926</v>
      </c>
      <c r="G99">
        <v>1376.7501221</v>
      </c>
      <c r="H99">
        <v>1367.7978516000001</v>
      </c>
      <c r="I99">
        <v>1284.1258545000001</v>
      </c>
      <c r="J99">
        <v>1261.5268555</v>
      </c>
      <c r="K99">
        <v>1375</v>
      </c>
      <c r="L99">
        <v>0</v>
      </c>
      <c r="M99">
        <v>0</v>
      </c>
      <c r="N99">
        <v>1375</v>
      </c>
    </row>
    <row r="100" spans="1:14" x14ac:dyDescent="0.25">
      <c r="A100">
        <v>5.7585660000000001</v>
      </c>
      <c r="B100" s="1">
        <f>DATE(2010,5,6) + TIME(18,12,20)</f>
        <v>40304.758564814816</v>
      </c>
      <c r="C100">
        <v>80</v>
      </c>
      <c r="D100">
        <v>78.988754271999994</v>
      </c>
      <c r="E100">
        <v>50</v>
      </c>
      <c r="F100">
        <v>14.997012138000001</v>
      </c>
      <c r="G100">
        <v>1376.6623535000001</v>
      </c>
      <c r="H100">
        <v>1367.7139893000001</v>
      </c>
      <c r="I100">
        <v>1284.1267089999999</v>
      </c>
      <c r="J100">
        <v>1261.5277100000001</v>
      </c>
      <c r="K100">
        <v>1375</v>
      </c>
      <c r="L100">
        <v>0</v>
      </c>
      <c r="M100">
        <v>0</v>
      </c>
      <c r="N100">
        <v>1375</v>
      </c>
    </row>
    <row r="101" spans="1:14" x14ac:dyDescent="0.25">
      <c r="A101">
        <v>5.9247189999999996</v>
      </c>
      <c r="B101" s="1">
        <f>DATE(2010,5,6) + TIME(22,11,35)</f>
        <v>40304.924710648149</v>
      </c>
      <c r="C101">
        <v>80</v>
      </c>
      <c r="D101">
        <v>79.087928771999998</v>
      </c>
      <c r="E101">
        <v>50</v>
      </c>
      <c r="F101">
        <v>14.997028351000001</v>
      </c>
      <c r="G101">
        <v>1376.5736084</v>
      </c>
      <c r="H101">
        <v>1367.6287841999999</v>
      </c>
      <c r="I101">
        <v>1284.1275635</v>
      </c>
      <c r="J101">
        <v>1261.5284423999999</v>
      </c>
      <c r="K101">
        <v>1375</v>
      </c>
      <c r="L101">
        <v>0</v>
      </c>
      <c r="M101">
        <v>0</v>
      </c>
      <c r="N101">
        <v>1375</v>
      </c>
    </row>
    <row r="102" spans="1:14" x14ac:dyDescent="0.25">
      <c r="A102">
        <v>6.0968730000000004</v>
      </c>
      <c r="B102" s="1">
        <f>DATE(2010,5,7) + TIME(2,19,29)</f>
        <v>40305.096863425926</v>
      </c>
      <c r="C102">
        <v>80</v>
      </c>
      <c r="D102">
        <v>79.177833557</v>
      </c>
      <c r="E102">
        <v>50</v>
      </c>
      <c r="F102">
        <v>14.997045517</v>
      </c>
      <c r="G102">
        <v>1376.4838867000001</v>
      </c>
      <c r="H102">
        <v>1367.5421143000001</v>
      </c>
      <c r="I102">
        <v>1284.128418</v>
      </c>
      <c r="J102">
        <v>1261.5291748</v>
      </c>
      <c r="K102">
        <v>1375</v>
      </c>
      <c r="L102">
        <v>0</v>
      </c>
      <c r="M102">
        <v>0</v>
      </c>
      <c r="N102">
        <v>1375</v>
      </c>
    </row>
    <row r="103" spans="1:14" x14ac:dyDescent="0.25">
      <c r="A103">
        <v>6.2755840000000003</v>
      </c>
      <c r="B103" s="1">
        <f>DATE(2010,5,7) + TIME(6,36,50)</f>
        <v>40305.275578703702</v>
      </c>
      <c r="C103">
        <v>80</v>
      </c>
      <c r="D103">
        <v>79.259132385000001</v>
      </c>
      <c r="E103">
        <v>50</v>
      </c>
      <c r="F103">
        <v>14.997061729</v>
      </c>
      <c r="G103">
        <v>1376.3929443</v>
      </c>
      <c r="H103">
        <v>1367.4537353999999</v>
      </c>
      <c r="I103">
        <v>1284.1293945</v>
      </c>
      <c r="J103">
        <v>1261.5300293</v>
      </c>
      <c r="K103">
        <v>1375</v>
      </c>
      <c r="L103">
        <v>0</v>
      </c>
      <c r="M103">
        <v>0</v>
      </c>
      <c r="N103">
        <v>1375</v>
      </c>
    </row>
    <row r="104" spans="1:14" x14ac:dyDescent="0.25">
      <c r="A104">
        <v>6.461303</v>
      </c>
      <c r="B104" s="1">
        <f>DATE(2010,5,7) + TIME(11,4,16)</f>
        <v>40305.461296296293</v>
      </c>
      <c r="C104">
        <v>80</v>
      </c>
      <c r="D104">
        <v>79.332382202000005</v>
      </c>
      <c r="E104">
        <v>50</v>
      </c>
      <c r="F104">
        <v>14.997078896</v>
      </c>
      <c r="G104">
        <v>1376.3006591999999</v>
      </c>
      <c r="H104">
        <v>1367.3636475000001</v>
      </c>
      <c r="I104">
        <v>1284.130249</v>
      </c>
      <c r="J104">
        <v>1261.5308838000001</v>
      </c>
      <c r="K104">
        <v>1375</v>
      </c>
      <c r="L104">
        <v>0</v>
      </c>
      <c r="M104">
        <v>0</v>
      </c>
      <c r="N104">
        <v>1375</v>
      </c>
    </row>
    <row r="105" spans="1:14" x14ac:dyDescent="0.25">
      <c r="A105">
        <v>6.6520299999999999</v>
      </c>
      <c r="B105" s="1">
        <f>DATE(2010,5,7) + TIME(15,38,55)</f>
        <v>40305.652025462965</v>
      </c>
      <c r="C105">
        <v>80</v>
      </c>
      <c r="D105">
        <v>79.397384643999999</v>
      </c>
      <c r="E105">
        <v>50</v>
      </c>
      <c r="F105">
        <v>14.997095108</v>
      </c>
      <c r="G105">
        <v>1376.2071533000001</v>
      </c>
      <c r="H105">
        <v>1367.2717285000001</v>
      </c>
      <c r="I105">
        <v>1284.1312256000001</v>
      </c>
      <c r="J105">
        <v>1261.5317382999999</v>
      </c>
      <c r="K105">
        <v>1375</v>
      </c>
      <c r="L105">
        <v>0</v>
      </c>
      <c r="M105">
        <v>0</v>
      </c>
      <c r="N105">
        <v>1375</v>
      </c>
    </row>
    <row r="106" spans="1:14" x14ac:dyDescent="0.25">
      <c r="A106">
        <v>6.8431160000000002</v>
      </c>
      <c r="B106" s="1">
        <f>DATE(2010,5,7) + TIME(20,14,5)</f>
        <v>40305.843113425923</v>
      </c>
      <c r="C106">
        <v>80</v>
      </c>
      <c r="D106">
        <v>79.453674316000004</v>
      </c>
      <c r="E106">
        <v>50</v>
      </c>
      <c r="F106">
        <v>14.99711132</v>
      </c>
      <c r="G106">
        <v>1376.1136475000001</v>
      </c>
      <c r="H106">
        <v>1367.1793213000001</v>
      </c>
      <c r="I106">
        <v>1284.1320800999999</v>
      </c>
      <c r="J106">
        <v>1261.5325928</v>
      </c>
      <c r="K106">
        <v>1375</v>
      </c>
      <c r="L106">
        <v>0</v>
      </c>
      <c r="M106">
        <v>0</v>
      </c>
      <c r="N106">
        <v>1375</v>
      </c>
    </row>
    <row r="107" spans="1:14" x14ac:dyDescent="0.25">
      <c r="A107">
        <v>7.0349380000000004</v>
      </c>
      <c r="B107" s="1">
        <f>DATE(2010,5,8) + TIME(0,50,18)</f>
        <v>40306.034930555557</v>
      </c>
      <c r="C107">
        <v>80</v>
      </c>
      <c r="D107">
        <v>79.502525329999997</v>
      </c>
      <c r="E107">
        <v>50</v>
      </c>
      <c r="F107">
        <v>14.997127533</v>
      </c>
      <c r="G107">
        <v>1376.0218506000001</v>
      </c>
      <c r="H107">
        <v>1367.0886230000001</v>
      </c>
      <c r="I107">
        <v>1284.1330565999999</v>
      </c>
      <c r="J107">
        <v>1261.5334473</v>
      </c>
      <c r="K107">
        <v>1375</v>
      </c>
      <c r="L107">
        <v>0</v>
      </c>
      <c r="M107">
        <v>0</v>
      </c>
      <c r="N107">
        <v>1375</v>
      </c>
    </row>
    <row r="108" spans="1:14" x14ac:dyDescent="0.25">
      <c r="A108">
        <v>7.2272759999999998</v>
      </c>
      <c r="B108" s="1">
        <f>DATE(2010,5,8) + TIME(5,27,16)</f>
        <v>40306.227268518516</v>
      </c>
      <c r="C108">
        <v>80</v>
      </c>
      <c r="D108">
        <v>79.544868468999994</v>
      </c>
      <c r="E108">
        <v>50</v>
      </c>
      <c r="F108">
        <v>14.997142792</v>
      </c>
      <c r="G108">
        <v>1375.9318848</v>
      </c>
      <c r="H108">
        <v>1366.9993896000001</v>
      </c>
      <c r="I108">
        <v>1284.1340332</v>
      </c>
      <c r="J108">
        <v>1261.5344238</v>
      </c>
      <c r="K108">
        <v>1375</v>
      </c>
      <c r="L108">
        <v>0</v>
      </c>
      <c r="M108">
        <v>0</v>
      </c>
      <c r="N108">
        <v>1375</v>
      </c>
    </row>
    <row r="109" spans="1:14" x14ac:dyDescent="0.25">
      <c r="A109">
        <v>7.420426</v>
      </c>
      <c r="B109" s="1">
        <f>DATE(2010,5,8) + TIME(10,5,24)</f>
        <v>40306.420416666668</v>
      </c>
      <c r="C109">
        <v>80</v>
      </c>
      <c r="D109">
        <v>79.581642150999997</v>
      </c>
      <c r="E109">
        <v>50</v>
      </c>
      <c r="F109">
        <v>14.997158051</v>
      </c>
      <c r="G109">
        <v>1375.8436279</v>
      </c>
      <c r="H109">
        <v>1366.9116211</v>
      </c>
      <c r="I109">
        <v>1284.1348877</v>
      </c>
      <c r="J109">
        <v>1261.5352783000001</v>
      </c>
      <c r="K109">
        <v>1375</v>
      </c>
      <c r="L109">
        <v>0</v>
      </c>
      <c r="M109">
        <v>0</v>
      </c>
      <c r="N109">
        <v>1375</v>
      </c>
    </row>
    <row r="110" spans="1:14" x14ac:dyDescent="0.25">
      <c r="A110">
        <v>7.6146830000000003</v>
      </c>
      <c r="B110" s="1">
        <f>DATE(2010,5,8) + TIME(14,45,8)</f>
        <v>40306.614675925928</v>
      </c>
      <c r="C110">
        <v>80</v>
      </c>
      <c r="D110">
        <v>79.613616942999997</v>
      </c>
      <c r="E110">
        <v>50</v>
      </c>
      <c r="F110">
        <v>14.997173309000001</v>
      </c>
      <c r="G110">
        <v>1375.7568358999999</v>
      </c>
      <c r="H110">
        <v>1366.8253173999999</v>
      </c>
      <c r="I110">
        <v>1284.1358643000001</v>
      </c>
      <c r="J110">
        <v>1261.5361327999999</v>
      </c>
      <c r="K110">
        <v>1375</v>
      </c>
      <c r="L110">
        <v>0</v>
      </c>
      <c r="M110">
        <v>0</v>
      </c>
      <c r="N110">
        <v>1375</v>
      </c>
    </row>
    <row r="111" spans="1:14" x14ac:dyDescent="0.25">
      <c r="A111">
        <v>7.8103119999999997</v>
      </c>
      <c r="B111" s="1">
        <f>DATE(2010,5,8) + TIME(19,26,50)</f>
        <v>40306.810300925928</v>
      </c>
      <c r="C111">
        <v>80</v>
      </c>
      <c r="D111">
        <v>79.641456603999998</v>
      </c>
      <c r="E111">
        <v>50</v>
      </c>
      <c r="F111">
        <v>14.997187614</v>
      </c>
      <c r="G111">
        <v>1375.6715088000001</v>
      </c>
      <c r="H111">
        <v>1366.7402344</v>
      </c>
      <c r="I111">
        <v>1284.1368408000001</v>
      </c>
      <c r="J111">
        <v>1261.5369873</v>
      </c>
      <c r="K111">
        <v>1375</v>
      </c>
      <c r="L111">
        <v>0</v>
      </c>
      <c r="M111">
        <v>0</v>
      </c>
      <c r="N111">
        <v>1375</v>
      </c>
    </row>
    <row r="112" spans="1:14" x14ac:dyDescent="0.25">
      <c r="A112">
        <v>8.0076110000000007</v>
      </c>
      <c r="B112" s="1">
        <f>DATE(2010,5,9) + TIME(0,10,57)</f>
        <v>40307.007604166669</v>
      </c>
      <c r="C112">
        <v>80</v>
      </c>
      <c r="D112">
        <v>79.665733337000006</v>
      </c>
      <c r="E112">
        <v>50</v>
      </c>
      <c r="F112">
        <v>14.99720192</v>
      </c>
      <c r="G112">
        <v>1375.5872803</v>
      </c>
      <c r="H112">
        <v>1366.6563721</v>
      </c>
      <c r="I112">
        <v>1284.1376952999999</v>
      </c>
      <c r="J112">
        <v>1261.5378418</v>
      </c>
      <c r="K112">
        <v>1375</v>
      </c>
      <c r="L112">
        <v>0</v>
      </c>
      <c r="M112">
        <v>0</v>
      </c>
      <c r="N112">
        <v>1375</v>
      </c>
    </row>
    <row r="113" spans="1:14" x14ac:dyDescent="0.25">
      <c r="A113">
        <v>8.2068809999999992</v>
      </c>
      <c r="B113" s="1">
        <f>DATE(2010,5,9) + TIME(4,57,54)</f>
        <v>40307.206875000003</v>
      </c>
      <c r="C113">
        <v>80</v>
      </c>
      <c r="D113">
        <v>79.686920165999993</v>
      </c>
      <c r="E113">
        <v>50</v>
      </c>
      <c r="F113">
        <v>14.997217178</v>
      </c>
      <c r="G113">
        <v>1375.5042725000001</v>
      </c>
      <c r="H113">
        <v>1366.5734863</v>
      </c>
      <c r="I113">
        <v>1284.1386719</v>
      </c>
      <c r="J113">
        <v>1261.5386963000001</v>
      </c>
      <c r="K113">
        <v>1375</v>
      </c>
      <c r="L113">
        <v>0</v>
      </c>
      <c r="M113">
        <v>0</v>
      </c>
      <c r="N113">
        <v>1375</v>
      </c>
    </row>
    <row r="114" spans="1:14" x14ac:dyDescent="0.25">
      <c r="A114">
        <v>8.4084120000000002</v>
      </c>
      <c r="B114" s="1">
        <f>DATE(2010,5,9) + TIME(9,48,6)</f>
        <v>40307.408402777779</v>
      </c>
      <c r="C114">
        <v>80</v>
      </c>
      <c r="D114">
        <v>79.705429077000005</v>
      </c>
      <c r="E114">
        <v>50</v>
      </c>
      <c r="F114">
        <v>14.99723053</v>
      </c>
      <c r="G114">
        <v>1375.4219971</v>
      </c>
      <c r="H114">
        <v>1366.4914550999999</v>
      </c>
      <c r="I114">
        <v>1284.1395264</v>
      </c>
      <c r="J114">
        <v>1261.5395507999999</v>
      </c>
      <c r="K114">
        <v>1375</v>
      </c>
      <c r="L114">
        <v>0</v>
      </c>
      <c r="M114">
        <v>0</v>
      </c>
      <c r="N114">
        <v>1375</v>
      </c>
    </row>
    <row r="115" spans="1:14" x14ac:dyDescent="0.25">
      <c r="A115">
        <v>8.612501</v>
      </c>
      <c r="B115" s="1">
        <f>DATE(2010,5,9) + TIME(14,42,0)</f>
        <v>40307.612500000003</v>
      </c>
      <c r="C115">
        <v>80</v>
      </c>
      <c r="D115">
        <v>79.721618652000004</v>
      </c>
      <c r="E115">
        <v>50</v>
      </c>
      <c r="F115">
        <v>14.997244835</v>
      </c>
      <c r="G115">
        <v>1375.3406981999999</v>
      </c>
      <c r="H115">
        <v>1366.4101562000001</v>
      </c>
      <c r="I115">
        <v>1284.1405029</v>
      </c>
      <c r="J115">
        <v>1261.5405272999999</v>
      </c>
      <c r="K115">
        <v>1375</v>
      </c>
      <c r="L115">
        <v>0</v>
      </c>
      <c r="M115">
        <v>0</v>
      </c>
      <c r="N115">
        <v>1375</v>
      </c>
    </row>
    <row r="116" spans="1:14" x14ac:dyDescent="0.25">
      <c r="A116">
        <v>8.8194520000000001</v>
      </c>
      <c r="B116" s="1">
        <f>DATE(2010,5,9) + TIME(19,40,0)</f>
        <v>40307.819444444445</v>
      </c>
      <c r="C116">
        <v>80</v>
      </c>
      <c r="D116">
        <v>79.735794067</v>
      </c>
      <c r="E116">
        <v>50</v>
      </c>
      <c r="F116">
        <v>14.997259140000001</v>
      </c>
      <c r="G116">
        <v>1375.2598877</v>
      </c>
      <c r="H116">
        <v>1366.3295897999999</v>
      </c>
      <c r="I116">
        <v>1284.1414795000001</v>
      </c>
      <c r="J116">
        <v>1261.5413818</v>
      </c>
      <c r="K116">
        <v>1375</v>
      </c>
      <c r="L116">
        <v>0</v>
      </c>
      <c r="M116">
        <v>0</v>
      </c>
      <c r="N116">
        <v>1375</v>
      </c>
    </row>
    <row r="117" spans="1:14" x14ac:dyDescent="0.25">
      <c r="A117">
        <v>9.0295850000000009</v>
      </c>
      <c r="B117" s="1">
        <f>DATE(2010,5,10) + TIME(0,42,36)</f>
        <v>40308.029583333337</v>
      </c>
      <c r="C117">
        <v>80</v>
      </c>
      <c r="D117">
        <v>79.748207092000001</v>
      </c>
      <c r="E117">
        <v>50</v>
      </c>
      <c r="F117">
        <v>14.997272491</v>
      </c>
      <c r="G117">
        <v>1375.1796875</v>
      </c>
      <c r="H117">
        <v>1366.2495117000001</v>
      </c>
      <c r="I117">
        <v>1284.1424560999999</v>
      </c>
      <c r="J117">
        <v>1261.5422363</v>
      </c>
      <c r="K117">
        <v>1375</v>
      </c>
      <c r="L117">
        <v>0</v>
      </c>
      <c r="M117">
        <v>0</v>
      </c>
      <c r="N117">
        <v>1375</v>
      </c>
    </row>
    <row r="118" spans="1:14" x14ac:dyDescent="0.25">
      <c r="A118">
        <v>9.2432320000000008</v>
      </c>
      <c r="B118" s="1">
        <f>DATE(2010,5,10) + TIME(5,50,15)</f>
        <v>40308.24322916667</v>
      </c>
      <c r="C118">
        <v>80</v>
      </c>
      <c r="D118">
        <v>79.759094238000003</v>
      </c>
      <c r="E118">
        <v>50</v>
      </c>
      <c r="F118">
        <v>14.997286796999999</v>
      </c>
      <c r="G118">
        <v>1375.0999756000001</v>
      </c>
      <c r="H118">
        <v>1366.1699219</v>
      </c>
      <c r="I118">
        <v>1284.1434326000001</v>
      </c>
      <c r="J118">
        <v>1261.5432129000001</v>
      </c>
      <c r="K118">
        <v>1375</v>
      </c>
      <c r="L118">
        <v>0</v>
      </c>
      <c r="M118">
        <v>0</v>
      </c>
      <c r="N118">
        <v>1375</v>
      </c>
    </row>
    <row r="119" spans="1:14" x14ac:dyDescent="0.25">
      <c r="A119">
        <v>9.4607449999999993</v>
      </c>
      <c r="B119" s="1">
        <f>DATE(2010,5,10) + TIME(11,3,28)</f>
        <v>40308.460740740738</v>
      </c>
      <c r="C119">
        <v>80</v>
      </c>
      <c r="D119">
        <v>79.768653869999994</v>
      </c>
      <c r="E119">
        <v>50</v>
      </c>
      <c r="F119">
        <v>14.997300148000001</v>
      </c>
      <c r="G119">
        <v>1375.0205077999999</v>
      </c>
      <c r="H119">
        <v>1366.0905762</v>
      </c>
      <c r="I119">
        <v>1284.1444091999999</v>
      </c>
      <c r="J119">
        <v>1261.5440673999999</v>
      </c>
      <c r="K119">
        <v>1375</v>
      </c>
      <c r="L119">
        <v>0</v>
      </c>
      <c r="M119">
        <v>0</v>
      </c>
      <c r="N119">
        <v>1375</v>
      </c>
    </row>
    <row r="120" spans="1:14" x14ac:dyDescent="0.25">
      <c r="A120">
        <v>9.682499</v>
      </c>
      <c r="B120" s="1">
        <f>DATE(2010,5,10) + TIME(16,22,47)</f>
        <v>40308.682488425926</v>
      </c>
      <c r="C120">
        <v>80</v>
      </c>
      <c r="D120">
        <v>79.777046204000001</v>
      </c>
      <c r="E120">
        <v>50</v>
      </c>
      <c r="F120">
        <v>14.997314453</v>
      </c>
      <c r="G120">
        <v>1374.9414062000001</v>
      </c>
      <c r="H120">
        <v>1366.0115966999999</v>
      </c>
      <c r="I120">
        <v>1284.1453856999999</v>
      </c>
      <c r="J120">
        <v>1261.5450439000001</v>
      </c>
      <c r="K120">
        <v>1375</v>
      </c>
      <c r="L120">
        <v>0</v>
      </c>
      <c r="M120">
        <v>0</v>
      </c>
      <c r="N120">
        <v>1375</v>
      </c>
    </row>
    <row r="121" spans="1:14" x14ac:dyDescent="0.25">
      <c r="A121">
        <v>9.9089500000000008</v>
      </c>
      <c r="B121" s="1">
        <f>DATE(2010,5,10) + TIME(21,48,53)</f>
        <v>40308.908946759257</v>
      </c>
      <c r="C121">
        <v>80</v>
      </c>
      <c r="D121">
        <v>79.784431458</v>
      </c>
      <c r="E121">
        <v>50</v>
      </c>
      <c r="F121">
        <v>14.997327804999999</v>
      </c>
      <c r="G121">
        <v>1374.8623047000001</v>
      </c>
      <c r="H121">
        <v>1365.9327393000001</v>
      </c>
      <c r="I121">
        <v>1284.1463623</v>
      </c>
      <c r="J121">
        <v>1261.5460204999999</v>
      </c>
      <c r="K121">
        <v>1375</v>
      </c>
      <c r="L121">
        <v>0</v>
      </c>
      <c r="M121">
        <v>0</v>
      </c>
      <c r="N121">
        <v>1375</v>
      </c>
    </row>
    <row r="122" spans="1:14" x14ac:dyDescent="0.25">
      <c r="A122">
        <v>10.140314</v>
      </c>
      <c r="B122" s="1">
        <f>DATE(2010,5,11) + TIME(3,22,3)</f>
        <v>40309.1403125</v>
      </c>
      <c r="C122">
        <v>80</v>
      </c>
      <c r="D122">
        <v>79.790931701999995</v>
      </c>
      <c r="E122">
        <v>50</v>
      </c>
      <c r="F122">
        <v>14.99734211</v>
      </c>
      <c r="G122">
        <v>1374.7830810999999</v>
      </c>
      <c r="H122">
        <v>1365.8538818</v>
      </c>
      <c r="I122">
        <v>1284.1474608999999</v>
      </c>
      <c r="J122">
        <v>1261.5469971</v>
      </c>
      <c r="K122">
        <v>1375</v>
      </c>
      <c r="L122">
        <v>0</v>
      </c>
      <c r="M122">
        <v>0</v>
      </c>
      <c r="N122">
        <v>1375</v>
      </c>
    </row>
    <row r="123" spans="1:14" x14ac:dyDescent="0.25">
      <c r="A123">
        <v>10.37642</v>
      </c>
      <c r="B123" s="1">
        <f>DATE(2010,5,11) + TIME(9,2,2)</f>
        <v>40309.37641203704</v>
      </c>
      <c r="C123">
        <v>80</v>
      </c>
      <c r="D123">
        <v>79.796638489000003</v>
      </c>
      <c r="E123">
        <v>50</v>
      </c>
      <c r="F123">
        <v>14.997355461</v>
      </c>
      <c r="G123">
        <v>1374.7039795000001</v>
      </c>
      <c r="H123">
        <v>1365.7750243999999</v>
      </c>
      <c r="I123">
        <v>1284.1484375</v>
      </c>
      <c r="J123">
        <v>1261.5479736</v>
      </c>
      <c r="K123">
        <v>1375</v>
      </c>
      <c r="L123">
        <v>0</v>
      </c>
      <c r="M123">
        <v>0</v>
      </c>
      <c r="N123">
        <v>1375</v>
      </c>
    </row>
    <row r="124" spans="1:14" x14ac:dyDescent="0.25">
      <c r="A124">
        <v>10.617609</v>
      </c>
      <c r="B124" s="1">
        <f>DATE(2010,5,11) + TIME(14,49,21)</f>
        <v>40309.617604166669</v>
      </c>
      <c r="C124">
        <v>80</v>
      </c>
      <c r="D124">
        <v>79.801666260000005</v>
      </c>
      <c r="E124">
        <v>50</v>
      </c>
      <c r="F124">
        <v>14.997368813</v>
      </c>
      <c r="G124">
        <v>1374.6247559000001</v>
      </c>
      <c r="H124">
        <v>1365.6961670000001</v>
      </c>
      <c r="I124">
        <v>1284.1495361</v>
      </c>
      <c r="J124">
        <v>1261.5489502</v>
      </c>
      <c r="K124">
        <v>1375</v>
      </c>
      <c r="L124">
        <v>0</v>
      </c>
      <c r="M124">
        <v>0</v>
      </c>
      <c r="N124">
        <v>1375</v>
      </c>
    </row>
    <row r="125" spans="1:14" x14ac:dyDescent="0.25">
      <c r="A125">
        <v>10.864338999999999</v>
      </c>
      <c r="B125" s="1">
        <f>DATE(2010,5,11) + TIME(20,44,38)</f>
        <v>40309.864328703705</v>
      </c>
      <c r="C125">
        <v>80</v>
      </c>
      <c r="D125">
        <v>79.806098938000005</v>
      </c>
      <c r="E125">
        <v>50</v>
      </c>
      <c r="F125">
        <v>14.997383118</v>
      </c>
      <c r="G125">
        <v>1374.5456543</v>
      </c>
      <c r="H125">
        <v>1365.6174315999999</v>
      </c>
      <c r="I125">
        <v>1284.1506348</v>
      </c>
      <c r="J125">
        <v>1261.5500488</v>
      </c>
      <c r="K125">
        <v>1375</v>
      </c>
      <c r="L125">
        <v>0</v>
      </c>
      <c r="M125">
        <v>0</v>
      </c>
      <c r="N125">
        <v>1375</v>
      </c>
    </row>
    <row r="126" spans="1:14" x14ac:dyDescent="0.25">
      <c r="A126">
        <v>11.117105</v>
      </c>
      <c r="B126" s="1">
        <f>DATE(2010,5,12) + TIME(2,48,37)</f>
        <v>40310.117094907408</v>
      </c>
      <c r="C126">
        <v>80</v>
      </c>
      <c r="D126">
        <v>79.810020446999999</v>
      </c>
      <c r="E126">
        <v>50</v>
      </c>
      <c r="F126">
        <v>14.997396469</v>
      </c>
      <c r="G126">
        <v>1374.4663086</v>
      </c>
      <c r="H126">
        <v>1365.5385742000001</v>
      </c>
      <c r="I126">
        <v>1284.1517334</v>
      </c>
      <c r="J126">
        <v>1261.5510254000001</v>
      </c>
      <c r="K126">
        <v>1375</v>
      </c>
      <c r="L126">
        <v>0</v>
      </c>
      <c r="M126">
        <v>0</v>
      </c>
      <c r="N126">
        <v>1375</v>
      </c>
    </row>
    <row r="127" spans="1:14" x14ac:dyDescent="0.25">
      <c r="A127">
        <v>11.376439</v>
      </c>
      <c r="B127" s="1">
        <f>DATE(2010,5,12) + TIME(9,2,4)</f>
        <v>40310.376435185186</v>
      </c>
      <c r="C127">
        <v>80</v>
      </c>
      <c r="D127">
        <v>79.813484192000004</v>
      </c>
      <c r="E127">
        <v>50</v>
      </c>
      <c r="F127">
        <v>14.997410774</v>
      </c>
      <c r="G127">
        <v>1374.3867187999999</v>
      </c>
      <c r="H127">
        <v>1365.4595947</v>
      </c>
      <c r="I127">
        <v>1284.1529541</v>
      </c>
      <c r="J127">
        <v>1261.552124</v>
      </c>
      <c r="K127">
        <v>1375</v>
      </c>
      <c r="L127">
        <v>0</v>
      </c>
      <c r="M127">
        <v>0</v>
      </c>
      <c r="N127">
        <v>1375</v>
      </c>
    </row>
    <row r="128" spans="1:14" x14ac:dyDescent="0.25">
      <c r="A128">
        <v>11.642944</v>
      </c>
      <c r="B128" s="1">
        <f>DATE(2010,5,12) + TIME(15,25,50)</f>
        <v>40310.642939814818</v>
      </c>
      <c r="C128">
        <v>80</v>
      </c>
      <c r="D128">
        <v>79.816566467000001</v>
      </c>
      <c r="E128">
        <v>50</v>
      </c>
      <c r="F128">
        <v>14.997425078999999</v>
      </c>
      <c r="G128">
        <v>1374.3067627</v>
      </c>
      <c r="H128">
        <v>1365.380249</v>
      </c>
      <c r="I128">
        <v>1284.1540527</v>
      </c>
      <c r="J128">
        <v>1261.5532227000001</v>
      </c>
      <c r="K128">
        <v>1375</v>
      </c>
      <c r="L128">
        <v>0</v>
      </c>
      <c r="M128">
        <v>0</v>
      </c>
      <c r="N128">
        <v>1375</v>
      </c>
    </row>
    <row r="129" spans="1:14" x14ac:dyDescent="0.25">
      <c r="A129">
        <v>11.917285</v>
      </c>
      <c r="B129" s="1">
        <f>DATE(2010,5,12) + TIME(22,0,53)</f>
        <v>40310.917280092595</v>
      </c>
      <c r="C129">
        <v>80</v>
      </c>
      <c r="D129">
        <v>79.819305420000006</v>
      </c>
      <c r="E129">
        <v>50</v>
      </c>
      <c r="F129">
        <v>14.997438431000001</v>
      </c>
      <c r="G129">
        <v>1374.2264404</v>
      </c>
      <c r="H129">
        <v>1365.3006591999999</v>
      </c>
      <c r="I129">
        <v>1284.1552733999999</v>
      </c>
      <c r="J129">
        <v>1261.5544434000001</v>
      </c>
      <c r="K129">
        <v>1375</v>
      </c>
      <c r="L129">
        <v>0</v>
      </c>
      <c r="M129">
        <v>0</v>
      </c>
      <c r="N129">
        <v>1375</v>
      </c>
    </row>
    <row r="130" spans="1:14" x14ac:dyDescent="0.25">
      <c r="A130">
        <v>12.199745999999999</v>
      </c>
      <c r="B130" s="1">
        <f>DATE(2010,5,13) + TIME(4,47,38)</f>
        <v>40311.199745370373</v>
      </c>
      <c r="C130">
        <v>80</v>
      </c>
      <c r="D130">
        <v>79.821746825999995</v>
      </c>
      <c r="E130">
        <v>50</v>
      </c>
      <c r="F130">
        <v>14.997452736</v>
      </c>
      <c r="G130">
        <v>1374.1453856999999</v>
      </c>
      <c r="H130">
        <v>1365.2203368999999</v>
      </c>
      <c r="I130">
        <v>1284.1564940999999</v>
      </c>
      <c r="J130">
        <v>1261.5555420000001</v>
      </c>
      <c r="K130">
        <v>1375</v>
      </c>
      <c r="L130">
        <v>0</v>
      </c>
      <c r="M130">
        <v>0</v>
      </c>
      <c r="N130">
        <v>1375</v>
      </c>
    </row>
    <row r="131" spans="1:14" x14ac:dyDescent="0.25">
      <c r="A131">
        <v>12.490686999999999</v>
      </c>
      <c r="B131" s="1">
        <f>DATE(2010,5,13) + TIME(11,46,35)</f>
        <v>40311.490682870368</v>
      </c>
      <c r="C131">
        <v>80</v>
      </c>
      <c r="D131">
        <v>79.823921204000001</v>
      </c>
      <c r="E131">
        <v>50</v>
      </c>
      <c r="F131">
        <v>14.997467041</v>
      </c>
      <c r="G131">
        <v>1374.0637207</v>
      </c>
      <c r="H131">
        <v>1365.1396483999999</v>
      </c>
      <c r="I131">
        <v>1284.1577147999999</v>
      </c>
      <c r="J131">
        <v>1261.5567627</v>
      </c>
      <c r="K131">
        <v>1375</v>
      </c>
      <c r="L131">
        <v>0</v>
      </c>
      <c r="M131">
        <v>0</v>
      </c>
      <c r="N131">
        <v>1375</v>
      </c>
    </row>
    <row r="132" spans="1:14" x14ac:dyDescent="0.25">
      <c r="A132">
        <v>12.790379</v>
      </c>
      <c r="B132" s="1">
        <f>DATE(2010,5,13) + TIME(18,58,8)</f>
        <v>40311.790370370371</v>
      </c>
      <c r="C132">
        <v>80</v>
      </c>
      <c r="D132">
        <v>79.825874329000001</v>
      </c>
      <c r="E132">
        <v>50</v>
      </c>
      <c r="F132">
        <v>14.9974823</v>
      </c>
      <c r="G132">
        <v>1373.9814452999999</v>
      </c>
      <c r="H132">
        <v>1365.0582274999999</v>
      </c>
      <c r="I132">
        <v>1284.1590576000001</v>
      </c>
      <c r="J132">
        <v>1261.5579834</v>
      </c>
      <c r="K132">
        <v>1375</v>
      </c>
      <c r="L132">
        <v>0</v>
      </c>
      <c r="M132">
        <v>0</v>
      </c>
      <c r="N132">
        <v>1375</v>
      </c>
    </row>
    <row r="133" spans="1:14" x14ac:dyDescent="0.25">
      <c r="A133">
        <v>13.092890000000001</v>
      </c>
      <c r="B133" s="1">
        <f>DATE(2010,5,14) + TIME(2,13,45)</f>
        <v>40312.092881944445</v>
      </c>
      <c r="C133">
        <v>80</v>
      </c>
      <c r="D133">
        <v>79.827583313000005</v>
      </c>
      <c r="E133">
        <v>50</v>
      </c>
      <c r="F133">
        <v>14.997496605</v>
      </c>
      <c r="G133">
        <v>1373.8984375</v>
      </c>
      <c r="H133">
        <v>1364.9764404</v>
      </c>
      <c r="I133">
        <v>1284.1604004000001</v>
      </c>
      <c r="J133">
        <v>1261.5592041</v>
      </c>
      <c r="K133">
        <v>1375</v>
      </c>
      <c r="L133">
        <v>0</v>
      </c>
      <c r="M133">
        <v>0</v>
      </c>
      <c r="N133">
        <v>1375</v>
      </c>
    </row>
    <row r="134" spans="1:14" x14ac:dyDescent="0.25">
      <c r="A134">
        <v>13.395619</v>
      </c>
      <c r="B134" s="1">
        <f>DATE(2010,5,14) + TIME(9,29,41)</f>
        <v>40312.395613425928</v>
      </c>
      <c r="C134">
        <v>80</v>
      </c>
      <c r="D134">
        <v>79.829086304</v>
      </c>
      <c r="E134">
        <v>50</v>
      </c>
      <c r="F134">
        <v>14.997509956</v>
      </c>
      <c r="G134">
        <v>1373.8165283000001</v>
      </c>
      <c r="H134">
        <v>1364.8956298999999</v>
      </c>
      <c r="I134">
        <v>1284.1616211</v>
      </c>
      <c r="J134">
        <v>1261.5604248</v>
      </c>
      <c r="K134">
        <v>1375</v>
      </c>
      <c r="L134">
        <v>0</v>
      </c>
      <c r="M134">
        <v>0</v>
      </c>
      <c r="N134">
        <v>1375</v>
      </c>
    </row>
    <row r="135" spans="1:14" x14ac:dyDescent="0.25">
      <c r="A135">
        <v>13.699078999999999</v>
      </c>
      <c r="B135" s="1">
        <f>DATE(2010,5,14) + TIME(16,46,40)</f>
        <v>40312.699074074073</v>
      </c>
      <c r="C135">
        <v>80</v>
      </c>
      <c r="D135">
        <v>79.830413817999997</v>
      </c>
      <c r="E135">
        <v>50</v>
      </c>
      <c r="F135">
        <v>14.997524261000001</v>
      </c>
      <c r="G135">
        <v>1373.7362060999999</v>
      </c>
      <c r="H135">
        <v>1364.8165283000001</v>
      </c>
      <c r="I135">
        <v>1284.1629639</v>
      </c>
      <c r="J135">
        <v>1261.5616454999999</v>
      </c>
      <c r="K135">
        <v>1375</v>
      </c>
      <c r="L135">
        <v>0</v>
      </c>
      <c r="M135">
        <v>0</v>
      </c>
      <c r="N135">
        <v>1375</v>
      </c>
    </row>
    <row r="136" spans="1:14" x14ac:dyDescent="0.25">
      <c r="A136">
        <v>14.003746</v>
      </c>
      <c r="B136" s="1">
        <f>DATE(2010,5,15) + TIME(0,5,23)</f>
        <v>40313.003738425927</v>
      </c>
      <c r="C136">
        <v>80</v>
      </c>
      <c r="D136">
        <v>79.831588745000005</v>
      </c>
      <c r="E136">
        <v>50</v>
      </c>
      <c r="F136">
        <v>14.997537613</v>
      </c>
      <c r="G136">
        <v>1373.6574707</v>
      </c>
      <c r="H136">
        <v>1364.7391356999999</v>
      </c>
      <c r="I136">
        <v>1284.1643065999999</v>
      </c>
      <c r="J136">
        <v>1261.5629882999999</v>
      </c>
      <c r="K136">
        <v>1375</v>
      </c>
      <c r="L136">
        <v>0</v>
      </c>
      <c r="M136">
        <v>0</v>
      </c>
      <c r="N136">
        <v>1375</v>
      </c>
    </row>
    <row r="137" spans="1:14" x14ac:dyDescent="0.25">
      <c r="A137">
        <v>14.310079999999999</v>
      </c>
      <c r="B137" s="1">
        <f>DATE(2010,5,15) + TIME(7,26,30)</f>
        <v>40313.310069444444</v>
      </c>
      <c r="C137">
        <v>80</v>
      </c>
      <c r="D137">
        <v>79.832641601999995</v>
      </c>
      <c r="E137">
        <v>50</v>
      </c>
      <c r="F137">
        <v>14.997550964</v>
      </c>
      <c r="G137">
        <v>1373.5800781</v>
      </c>
      <c r="H137">
        <v>1364.6630858999999</v>
      </c>
      <c r="I137">
        <v>1284.1656493999999</v>
      </c>
      <c r="J137">
        <v>1261.5642089999999</v>
      </c>
      <c r="K137">
        <v>1375</v>
      </c>
      <c r="L137">
        <v>0</v>
      </c>
      <c r="M137">
        <v>0</v>
      </c>
      <c r="N137">
        <v>1375</v>
      </c>
    </row>
    <row r="138" spans="1:14" x14ac:dyDescent="0.25">
      <c r="A138">
        <v>14.618603</v>
      </c>
      <c r="B138" s="1">
        <f>DATE(2010,5,15) + TIME(14,50,47)</f>
        <v>40313.61859953704</v>
      </c>
      <c r="C138">
        <v>80</v>
      </c>
      <c r="D138">
        <v>79.833580017000003</v>
      </c>
      <c r="E138">
        <v>50</v>
      </c>
      <c r="F138">
        <v>14.997564316</v>
      </c>
      <c r="G138">
        <v>1373.5037841999999</v>
      </c>
      <c r="H138">
        <v>1364.5881348</v>
      </c>
      <c r="I138">
        <v>1284.1669922000001</v>
      </c>
      <c r="J138">
        <v>1261.5654297000001</v>
      </c>
      <c r="K138">
        <v>1375</v>
      </c>
      <c r="L138">
        <v>0</v>
      </c>
      <c r="M138">
        <v>0</v>
      </c>
      <c r="N138">
        <v>1375</v>
      </c>
    </row>
    <row r="139" spans="1:14" x14ac:dyDescent="0.25">
      <c r="A139">
        <v>14.929796</v>
      </c>
      <c r="B139" s="1">
        <f>DATE(2010,5,15) + TIME(22,18,54)</f>
        <v>40313.929791666669</v>
      </c>
      <c r="C139">
        <v>80</v>
      </c>
      <c r="D139">
        <v>79.834434509000005</v>
      </c>
      <c r="E139">
        <v>50</v>
      </c>
      <c r="F139">
        <v>14.997577667</v>
      </c>
      <c r="G139">
        <v>1373.4284668</v>
      </c>
      <c r="H139">
        <v>1364.5144043</v>
      </c>
      <c r="I139">
        <v>1284.1683350000001</v>
      </c>
      <c r="J139">
        <v>1261.5667725000001</v>
      </c>
      <c r="K139">
        <v>1375</v>
      </c>
      <c r="L139">
        <v>0</v>
      </c>
      <c r="M139">
        <v>0</v>
      </c>
      <c r="N139">
        <v>1375</v>
      </c>
    </row>
    <row r="140" spans="1:14" x14ac:dyDescent="0.25">
      <c r="A140">
        <v>15.244142999999999</v>
      </c>
      <c r="B140" s="1">
        <f>DATE(2010,5,16) + TIME(5,51,33)</f>
        <v>40314.244131944448</v>
      </c>
      <c r="C140">
        <v>80</v>
      </c>
      <c r="D140">
        <v>79.835205078000001</v>
      </c>
      <c r="E140">
        <v>50</v>
      </c>
      <c r="F140">
        <v>14.997591019</v>
      </c>
      <c r="G140">
        <v>1373.354126</v>
      </c>
      <c r="H140">
        <v>1364.4415283000001</v>
      </c>
      <c r="I140">
        <v>1284.1696777</v>
      </c>
      <c r="J140">
        <v>1261.5679932</v>
      </c>
      <c r="K140">
        <v>1375</v>
      </c>
      <c r="L140">
        <v>0</v>
      </c>
      <c r="M140">
        <v>0</v>
      </c>
      <c r="N140">
        <v>1375</v>
      </c>
    </row>
    <row r="141" spans="1:14" x14ac:dyDescent="0.25">
      <c r="A141">
        <v>15.562137</v>
      </c>
      <c r="B141" s="1">
        <f>DATE(2010,5,16) + TIME(13,29,28)</f>
        <v>40314.56212962963</v>
      </c>
      <c r="C141">
        <v>80</v>
      </c>
      <c r="D141">
        <v>79.835906981999997</v>
      </c>
      <c r="E141">
        <v>50</v>
      </c>
      <c r="F141">
        <v>14.997604369999999</v>
      </c>
      <c r="G141">
        <v>1373.2803954999999</v>
      </c>
      <c r="H141">
        <v>1364.3693848</v>
      </c>
      <c r="I141">
        <v>1284.1710204999999</v>
      </c>
      <c r="J141">
        <v>1261.5693358999999</v>
      </c>
      <c r="K141">
        <v>1375</v>
      </c>
      <c r="L141">
        <v>0</v>
      </c>
      <c r="M141">
        <v>0</v>
      </c>
      <c r="N141">
        <v>1375</v>
      </c>
    </row>
    <row r="142" spans="1:14" x14ac:dyDescent="0.25">
      <c r="A142">
        <v>15.884285999999999</v>
      </c>
      <c r="B142" s="1">
        <f>DATE(2010,5,16) + TIME(21,13,22)</f>
        <v>40314.884282407409</v>
      </c>
      <c r="C142">
        <v>80</v>
      </c>
      <c r="D142">
        <v>79.836540221999996</v>
      </c>
      <c r="E142">
        <v>50</v>
      </c>
      <c r="F142">
        <v>14.997616768</v>
      </c>
      <c r="G142">
        <v>1373.2072754000001</v>
      </c>
      <c r="H142">
        <v>1364.2979736</v>
      </c>
      <c r="I142">
        <v>1284.1723632999999</v>
      </c>
      <c r="J142">
        <v>1261.5706786999999</v>
      </c>
      <c r="K142">
        <v>1375</v>
      </c>
      <c r="L142">
        <v>0</v>
      </c>
      <c r="M142">
        <v>0</v>
      </c>
      <c r="N142">
        <v>1375</v>
      </c>
    </row>
    <row r="143" spans="1:14" x14ac:dyDescent="0.25">
      <c r="A143">
        <v>16.211122</v>
      </c>
      <c r="B143" s="1">
        <f>DATE(2010,5,17) + TIME(5,4,0)</f>
        <v>40315.211111111108</v>
      </c>
      <c r="C143">
        <v>80</v>
      </c>
      <c r="D143">
        <v>79.837127686000002</v>
      </c>
      <c r="E143">
        <v>50</v>
      </c>
      <c r="F143">
        <v>14.997630119</v>
      </c>
      <c r="G143">
        <v>1373.1346435999999</v>
      </c>
      <c r="H143">
        <v>1364.2270507999999</v>
      </c>
      <c r="I143">
        <v>1284.1738281</v>
      </c>
      <c r="J143">
        <v>1261.5718993999999</v>
      </c>
      <c r="K143">
        <v>1375</v>
      </c>
      <c r="L143">
        <v>0</v>
      </c>
      <c r="M143">
        <v>0</v>
      </c>
      <c r="N143">
        <v>1375</v>
      </c>
    </row>
    <row r="144" spans="1:14" x14ac:dyDescent="0.25">
      <c r="A144">
        <v>16.543199000000001</v>
      </c>
      <c r="B144" s="1">
        <f>DATE(2010,5,17) + TIME(13,2,12)</f>
        <v>40315.543194444443</v>
      </c>
      <c r="C144">
        <v>80</v>
      </c>
      <c r="D144">
        <v>79.837669372999997</v>
      </c>
      <c r="E144">
        <v>50</v>
      </c>
      <c r="F144">
        <v>14.997643471</v>
      </c>
      <c r="G144">
        <v>1373.0623779</v>
      </c>
      <c r="H144">
        <v>1364.1566161999999</v>
      </c>
      <c r="I144">
        <v>1284.175293</v>
      </c>
      <c r="J144">
        <v>1261.5732422000001</v>
      </c>
      <c r="K144">
        <v>1375</v>
      </c>
      <c r="L144">
        <v>0</v>
      </c>
      <c r="M144">
        <v>0</v>
      </c>
      <c r="N144">
        <v>1375</v>
      </c>
    </row>
    <row r="145" spans="1:14" x14ac:dyDescent="0.25">
      <c r="A145">
        <v>16.879912000000001</v>
      </c>
      <c r="B145" s="1">
        <f>DATE(2010,5,17) + TIME(21,7,4)</f>
        <v>40315.879907407405</v>
      </c>
      <c r="C145">
        <v>80</v>
      </c>
      <c r="D145">
        <v>79.838165282999995</v>
      </c>
      <c r="E145">
        <v>50</v>
      </c>
      <c r="F145">
        <v>14.997655869000001</v>
      </c>
      <c r="G145">
        <v>1372.9902344</v>
      </c>
      <c r="H145">
        <v>1364.0865478999999</v>
      </c>
      <c r="I145">
        <v>1284.1766356999999</v>
      </c>
      <c r="J145">
        <v>1261.574707</v>
      </c>
      <c r="K145">
        <v>1375</v>
      </c>
      <c r="L145">
        <v>0</v>
      </c>
      <c r="M145">
        <v>0</v>
      </c>
      <c r="N145">
        <v>1375</v>
      </c>
    </row>
    <row r="146" spans="1:14" x14ac:dyDescent="0.25">
      <c r="A146">
        <v>17.221330999999999</v>
      </c>
      <c r="B146" s="1">
        <f>DATE(2010,5,18) + TIME(5,18,42)</f>
        <v>40316.221319444441</v>
      </c>
      <c r="C146">
        <v>80</v>
      </c>
      <c r="D146">
        <v>79.838615417</v>
      </c>
      <c r="E146">
        <v>50</v>
      </c>
      <c r="F146">
        <v>14.997668266</v>
      </c>
      <c r="G146">
        <v>1372.9185791</v>
      </c>
      <c r="H146">
        <v>1364.0168457</v>
      </c>
      <c r="I146">
        <v>1284.1781006000001</v>
      </c>
      <c r="J146">
        <v>1261.5760498</v>
      </c>
      <c r="K146">
        <v>1375</v>
      </c>
      <c r="L146">
        <v>0</v>
      </c>
      <c r="M146">
        <v>0</v>
      </c>
      <c r="N146">
        <v>1375</v>
      </c>
    </row>
    <row r="147" spans="1:14" x14ac:dyDescent="0.25">
      <c r="A147">
        <v>17.567993999999999</v>
      </c>
      <c r="B147" s="1">
        <f>DATE(2010,5,18) + TIME(13,37,54)</f>
        <v>40316.567986111113</v>
      </c>
      <c r="C147">
        <v>80</v>
      </c>
      <c r="D147">
        <v>79.839042664000004</v>
      </c>
      <c r="E147">
        <v>50</v>
      </c>
      <c r="F147">
        <v>14.997681618</v>
      </c>
      <c r="G147">
        <v>1372.8472899999999</v>
      </c>
      <c r="H147">
        <v>1363.9475098</v>
      </c>
      <c r="I147">
        <v>1284.1795654</v>
      </c>
      <c r="J147">
        <v>1261.5773925999999</v>
      </c>
      <c r="K147">
        <v>1375</v>
      </c>
      <c r="L147">
        <v>0</v>
      </c>
      <c r="M147">
        <v>0</v>
      </c>
      <c r="N147">
        <v>1375</v>
      </c>
    </row>
    <row r="148" spans="1:14" x14ac:dyDescent="0.25">
      <c r="A148">
        <v>17.920511000000001</v>
      </c>
      <c r="B148" s="1">
        <f>DATE(2010,5,18) + TIME(22,5,32)</f>
        <v>40316.92050925926</v>
      </c>
      <c r="C148">
        <v>80</v>
      </c>
      <c r="D148">
        <v>79.839431762999993</v>
      </c>
      <c r="E148">
        <v>50</v>
      </c>
      <c r="F148">
        <v>14.997694016000001</v>
      </c>
      <c r="G148">
        <v>1372.7762451000001</v>
      </c>
      <c r="H148">
        <v>1363.8786620999999</v>
      </c>
      <c r="I148">
        <v>1284.1811522999999</v>
      </c>
      <c r="J148">
        <v>1261.5788574000001</v>
      </c>
      <c r="K148">
        <v>1375</v>
      </c>
      <c r="L148">
        <v>0</v>
      </c>
      <c r="M148">
        <v>0</v>
      </c>
      <c r="N148">
        <v>1375</v>
      </c>
    </row>
    <row r="149" spans="1:14" x14ac:dyDescent="0.25">
      <c r="A149">
        <v>18.27956</v>
      </c>
      <c r="B149" s="1">
        <f>DATE(2010,5,19) + TIME(6,42,33)</f>
        <v>40317.279548611114</v>
      </c>
      <c r="C149">
        <v>80</v>
      </c>
      <c r="D149">
        <v>79.839790343999994</v>
      </c>
      <c r="E149">
        <v>50</v>
      </c>
      <c r="F149">
        <v>14.997706413</v>
      </c>
      <c r="G149">
        <v>1372.7053223</v>
      </c>
      <c r="H149">
        <v>1363.8099365</v>
      </c>
      <c r="I149">
        <v>1284.1826172000001</v>
      </c>
      <c r="J149">
        <v>1261.5803223</v>
      </c>
      <c r="K149">
        <v>1375</v>
      </c>
      <c r="L149">
        <v>0</v>
      </c>
      <c r="M149">
        <v>0</v>
      </c>
      <c r="N149">
        <v>1375</v>
      </c>
    </row>
    <row r="150" spans="1:14" x14ac:dyDescent="0.25">
      <c r="A150">
        <v>18.645678</v>
      </c>
      <c r="B150" s="1">
        <f>DATE(2010,5,19) + TIME(15,29,46)</f>
        <v>40317.645671296297</v>
      </c>
      <c r="C150">
        <v>80</v>
      </c>
      <c r="D150">
        <v>79.840126037999994</v>
      </c>
      <c r="E150">
        <v>50</v>
      </c>
      <c r="F150">
        <v>14.997719764999999</v>
      </c>
      <c r="G150">
        <v>1372.6345214999999</v>
      </c>
      <c r="H150">
        <v>1363.7413329999999</v>
      </c>
      <c r="I150">
        <v>1284.1842041</v>
      </c>
      <c r="J150">
        <v>1261.5817870999999</v>
      </c>
      <c r="K150">
        <v>1375</v>
      </c>
      <c r="L150">
        <v>0</v>
      </c>
      <c r="M150">
        <v>0</v>
      </c>
      <c r="N150">
        <v>1375</v>
      </c>
    </row>
    <row r="151" spans="1:14" x14ac:dyDescent="0.25">
      <c r="A151">
        <v>19.019531000000001</v>
      </c>
      <c r="B151" s="1">
        <f>DATE(2010,5,20) + TIME(0,28,7)</f>
        <v>40318.019525462965</v>
      </c>
      <c r="C151">
        <v>80</v>
      </c>
      <c r="D151">
        <v>79.840438843000001</v>
      </c>
      <c r="E151">
        <v>50</v>
      </c>
      <c r="F151">
        <v>14.997732162</v>
      </c>
      <c r="G151">
        <v>1372.5635986</v>
      </c>
      <c r="H151">
        <v>1363.6727295000001</v>
      </c>
      <c r="I151">
        <v>1284.1857910000001</v>
      </c>
      <c r="J151">
        <v>1261.5832519999999</v>
      </c>
      <c r="K151">
        <v>1375</v>
      </c>
      <c r="L151">
        <v>0</v>
      </c>
      <c r="M151">
        <v>0</v>
      </c>
      <c r="N151">
        <v>1375</v>
      </c>
    </row>
    <row r="152" spans="1:14" x14ac:dyDescent="0.25">
      <c r="A152">
        <v>19.401862000000001</v>
      </c>
      <c r="B152" s="1">
        <f>DATE(2010,5,20) + TIME(9,38,40)</f>
        <v>40318.40185185185</v>
      </c>
      <c r="C152">
        <v>80</v>
      </c>
      <c r="D152">
        <v>79.840736389</v>
      </c>
      <c r="E152">
        <v>50</v>
      </c>
      <c r="F152">
        <v>14.997745514</v>
      </c>
      <c r="G152">
        <v>1372.4925536999999</v>
      </c>
      <c r="H152">
        <v>1363.604126</v>
      </c>
      <c r="I152">
        <v>1284.1873779</v>
      </c>
      <c r="J152">
        <v>1261.5847168</v>
      </c>
      <c r="K152">
        <v>1375</v>
      </c>
      <c r="L152">
        <v>0</v>
      </c>
      <c r="M152">
        <v>0</v>
      </c>
      <c r="N152">
        <v>1375</v>
      </c>
    </row>
    <row r="153" spans="1:14" x14ac:dyDescent="0.25">
      <c r="A153">
        <v>19.793526</v>
      </c>
      <c r="B153" s="1">
        <f>DATE(2010,5,20) + TIME(19,2,40)</f>
        <v>40318.79351851852</v>
      </c>
      <c r="C153">
        <v>80</v>
      </c>
      <c r="D153">
        <v>79.841011046999995</v>
      </c>
      <c r="E153">
        <v>50</v>
      </c>
      <c r="F153">
        <v>14.997757912000001</v>
      </c>
      <c r="G153">
        <v>1372.4212646000001</v>
      </c>
      <c r="H153">
        <v>1363.5354004000001</v>
      </c>
      <c r="I153">
        <v>1284.1890868999999</v>
      </c>
      <c r="J153">
        <v>1261.5863036999999</v>
      </c>
      <c r="K153">
        <v>1375</v>
      </c>
      <c r="L153">
        <v>0</v>
      </c>
      <c r="M153">
        <v>0</v>
      </c>
      <c r="N153">
        <v>1375</v>
      </c>
    </row>
    <row r="154" spans="1:14" x14ac:dyDescent="0.25">
      <c r="A154">
        <v>20.194692</v>
      </c>
      <c r="B154" s="1">
        <f>DATE(2010,5,21) + TIME(4,40,21)</f>
        <v>40319.194687499999</v>
      </c>
      <c r="C154">
        <v>80</v>
      </c>
      <c r="D154">
        <v>79.841270446999999</v>
      </c>
      <c r="E154">
        <v>50</v>
      </c>
      <c r="F154">
        <v>14.997771263000001</v>
      </c>
      <c r="G154">
        <v>1372.3496094</v>
      </c>
      <c r="H154">
        <v>1363.4663086</v>
      </c>
      <c r="I154">
        <v>1284.1907959</v>
      </c>
      <c r="J154">
        <v>1261.5878906</v>
      </c>
      <c r="K154">
        <v>1375</v>
      </c>
      <c r="L154">
        <v>0</v>
      </c>
      <c r="M154">
        <v>0</v>
      </c>
      <c r="N154">
        <v>1375</v>
      </c>
    </row>
    <row r="155" spans="1:14" x14ac:dyDescent="0.25">
      <c r="A155">
        <v>20.605505999999998</v>
      </c>
      <c r="B155" s="1">
        <f>DATE(2010,5,21) + TIME(14,31,55)</f>
        <v>40319.605497685188</v>
      </c>
      <c r="C155">
        <v>80</v>
      </c>
      <c r="D155">
        <v>79.841514587000006</v>
      </c>
      <c r="E155">
        <v>50</v>
      </c>
      <c r="F155">
        <v>14.997783661</v>
      </c>
      <c r="G155">
        <v>1372.2777100000001</v>
      </c>
      <c r="H155">
        <v>1363.3969727000001</v>
      </c>
      <c r="I155">
        <v>1284.1925048999999</v>
      </c>
      <c r="J155">
        <v>1261.5895995999999</v>
      </c>
      <c r="K155">
        <v>1375</v>
      </c>
      <c r="L155">
        <v>0</v>
      </c>
      <c r="M155">
        <v>0</v>
      </c>
      <c r="N155">
        <v>1375</v>
      </c>
    </row>
    <row r="156" spans="1:14" x14ac:dyDescent="0.25">
      <c r="A156">
        <v>21.023223999999999</v>
      </c>
      <c r="B156" s="1">
        <f>DATE(2010,5,22) + TIME(0,33,26)</f>
        <v>40320.023217592592</v>
      </c>
      <c r="C156">
        <v>80</v>
      </c>
      <c r="D156">
        <v>79.841743468999994</v>
      </c>
      <c r="E156">
        <v>50</v>
      </c>
      <c r="F156">
        <v>14.997797011999999</v>
      </c>
      <c r="G156">
        <v>1372.2053223</v>
      </c>
      <c r="H156">
        <v>1363.3273925999999</v>
      </c>
      <c r="I156">
        <v>1284.1942139</v>
      </c>
      <c r="J156">
        <v>1261.5911865</v>
      </c>
      <c r="K156">
        <v>1375</v>
      </c>
      <c r="L156">
        <v>0</v>
      </c>
      <c r="M156">
        <v>0</v>
      </c>
      <c r="N156">
        <v>1375</v>
      </c>
    </row>
    <row r="157" spans="1:14" x14ac:dyDescent="0.25">
      <c r="A157">
        <v>21.441706</v>
      </c>
      <c r="B157" s="1">
        <f>DATE(2010,5,22) + TIME(10,36,3)</f>
        <v>40320.441701388889</v>
      </c>
      <c r="C157">
        <v>80</v>
      </c>
      <c r="D157">
        <v>79.841949463000006</v>
      </c>
      <c r="E157">
        <v>50</v>
      </c>
      <c r="F157">
        <v>14.99780941</v>
      </c>
      <c r="G157">
        <v>1372.1331786999999</v>
      </c>
      <c r="H157">
        <v>1363.2580565999999</v>
      </c>
      <c r="I157">
        <v>1284.1960449000001</v>
      </c>
      <c r="J157">
        <v>1261.5928954999999</v>
      </c>
      <c r="K157">
        <v>1375</v>
      </c>
      <c r="L157">
        <v>0</v>
      </c>
      <c r="M157">
        <v>0</v>
      </c>
      <c r="N157">
        <v>1375</v>
      </c>
    </row>
    <row r="158" spans="1:14" x14ac:dyDescent="0.25">
      <c r="A158">
        <v>21.861571999999999</v>
      </c>
      <c r="B158" s="1">
        <f>DATE(2010,5,22) + TIME(20,40,39)</f>
        <v>40320.861562500002</v>
      </c>
      <c r="C158">
        <v>80</v>
      </c>
      <c r="D158">
        <v>79.842140197999996</v>
      </c>
      <c r="E158">
        <v>50</v>
      </c>
      <c r="F158">
        <v>14.997821807999999</v>
      </c>
      <c r="G158">
        <v>1372.0621338000001</v>
      </c>
      <c r="H158">
        <v>1363.1900635</v>
      </c>
      <c r="I158">
        <v>1284.197876</v>
      </c>
      <c r="J158">
        <v>1261.5946045000001</v>
      </c>
      <c r="K158">
        <v>1375</v>
      </c>
      <c r="L158">
        <v>0</v>
      </c>
      <c r="M158">
        <v>0</v>
      </c>
      <c r="N158">
        <v>1375</v>
      </c>
    </row>
    <row r="159" spans="1:14" x14ac:dyDescent="0.25">
      <c r="A159">
        <v>22.283605999999999</v>
      </c>
      <c r="B159" s="1">
        <f>DATE(2010,5,23) + TIME(6,48,23)</f>
        <v>40321.283599537041</v>
      </c>
      <c r="C159">
        <v>80</v>
      </c>
      <c r="D159">
        <v>79.842323303000001</v>
      </c>
      <c r="E159">
        <v>50</v>
      </c>
      <c r="F159">
        <v>14.997835158999999</v>
      </c>
      <c r="G159">
        <v>1371.9923096</v>
      </c>
      <c r="H159">
        <v>1363.1230469</v>
      </c>
      <c r="I159">
        <v>1284.1995850000001</v>
      </c>
      <c r="J159">
        <v>1261.5963135</v>
      </c>
      <c r="K159">
        <v>1375</v>
      </c>
      <c r="L159">
        <v>0</v>
      </c>
      <c r="M159">
        <v>0</v>
      </c>
      <c r="N159">
        <v>1375</v>
      </c>
    </row>
    <row r="160" spans="1:14" x14ac:dyDescent="0.25">
      <c r="A160">
        <v>22.708501999999999</v>
      </c>
      <c r="B160" s="1">
        <f>DATE(2010,5,23) + TIME(17,0,14)</f>
        <v>40321.708495370367</v>
      </c>
      <c r="C160">
        <v>80</v>
      </c>
      <c r="D160">
        <v>79.842491150000001</v>
      </c>
      <c r="E160">
        <v>50</v>
      </c>
      <c r="F160">
        <v>14.997847557</v>
      </c>
      <c r="G160">
        <v>1371.9233397999999</v>
      </c>
      <c r="H160">
        <v>1363.0570068</v>
      </c>
      <c r="I160">
        <v>1284.2014160000001</v>
      </c>
      <c r="J160">
        <v>1261.5980225000001</v>
      </c>
      <c r="K160">
        <v>1375</v>
      </c>
      <c r="L160">
        <v>0</v>
      </c>
      <c r="M160">
        <v>0</v>
      </c>
      <c r="N160">
        <v>1375</v>
      </c>
    </row>
    <row r="161" spans="1:14" x14ac:dyDescent="0.25">
      <c r="A161">
        <v>23.136958</v>
      </c>
      <c r="B161" s="1">
        <f>DATE(2010,5,24) + TIME(3,17,13)</f>
        <v>40322.136956018519</v>
      </c>
      <c r="C161">
        <v>80</v>
      </c>
      <c r="D161">
        <v>79.842651367000002</v>
      </c>
      <c r="E161">
        <v>50</v>
      </c>
      <c r="F161">
        <v>14.997859954999999</v>
      </c>
      <c r="G161">
        <v>1371.8552245999999</v>
      </c>
      <c r="H161">
        <v>1362.9918213000001</v>
      </c>
      <c r="I161">
        <v>1284.2032471</v>
      </c>
      <c r="J161">
        <v>1261.5997314000001</v>
      </c>
      <c r="K161">
        <v>1375</v>
      </c>
      <c r="L161">
        <v>0</v>
      </c>
      <c r="M161">
        <v>0</v>
      </c>
      <c r="N161">
        <v>1375</v>
      </c>
    </row>
    <row r="162" spans="1:14" x14ac:dyDescent="0.25">
      <c r="A162">
        <v>23.569682</v>
      </c>
      <c r="B162" s="1">
        <f>DATE(2010,5,24) + TIME(13,40,20)</f>
        <v>40322.569675925923</v>
      </c>
      <c r="C162">
        <v>80</v>
      </c>
      <c r="D162">
        <v>79.842803954999994</v>
      </c>
      <c r="E162">
        <v>50</v>
      </c>
      <c r="F162">
        <v>14.997871398999999</v>
      </c>
      <c r="G162">
        <v>1371.7877197</v>
      </c>
      <c r="H162">
        <v>1362.9272461</v>
      </c>
      <c r="I162">
        <v>1284.2050781</v>
      </c>
      <c r="J162">
        <v>1261.6015625</v>
      </c>
      <c r="K162">
        <v>1375</v>
      </c>
      <c r="L162">
        <v>0</v>
      </c>
      <c r="M162">
        <v>0</v>
      </c>
      <c r="N162">
        <v>1375</v>
      </c>
    </row>
    <row r="163" spans="1:14" x14ac:dyDescent="0.25">
      <c r="A163">
        <v>24.007394999999999</v>
      </c>
      <c r="B163" s="1">
        <f>DATE(2010,5,25) + TIME(0,10,38)</f>
        <v>40323.007384259261</v>
      </c>
      <c r="C163">
        <v>80</v>
      </c>
      <c r="D163">
        <v>79.842941284000005</v>
      </c>
      <c r="E163">
        <v>50</v>
      </c>
      <c r="F163">
        <v>14.997883797</v>
      </c>
      <c r="G163">
        <v>1371.7207031</v>
      </c>
      <c r="H163">
        <v>1362.8634033000001</v>
      </c>
      <c r="I163">
        <v>1284.2070312000001</v>
      </c>
      <c r="J163">
        <v>1261.6032714999999</v>
      </c>
      <c r="K163">
        <v>1375</v>
      </c>
      <c r="L163">
        <v>0</v>
      </c>
      <c r="M163">
        <v>0</v>
      </c>
      <c r="N163">
        <v>1375</v>
      </c>
    </row>
    <row r="164" spans="1:14" x14ac:dyDescent="0.25">
      <c r="A164">
        <v>24.450845999999999</v>
      </c>
      <c r="B164" s="1">
        <f>DATE(2010,5,25) + TIME(10,49,13)</f>
        <v>40323.450844907406</v>
      </c>
      <c r="C164">
        <v>80</v>
      </c>
      <c r="D164">
        <v>79.843078613000003</v>
      </c>
      <c r="E164">
        <v>50</v>
      </c>
      <c r="F164">
        <v>14.997896194000001</v>
      </c>
      <c r="G164">
        <v>1371.6541748</v>
      </c>
      <c r="H164">
        <v>1362.7999268000001</v>
      </c>
      <c r="I164">
        <v>1284.2088623</v>
      </c>
      <c r="J164">
        <v>1261.6051024999999</v>
      </c>
      <c r="K164">
        <v>1375</v>
      </c>
      <c r="L164">
        <v>0</v>
      </c>
      <c r="M164">
        <v>0</v>
      </c>
      <c r="N164">
        <v>1375</v>
      </c>
    </row>
    <row r="165" spans="1:14" x14ac:dyDescent="0.25">
      <c r="A165">
        <v>24.898192000000002</v>
      </c>
      <c r="B165" s="1">
        <f>DATE(2010,5,25) + TIME(21,33,23)</f>
        <v>40323.898182870369</v>
      </c>
      <c r="C165">
        <v>80</v>
      </c>
      <c r="D165">
        <v>79.843208313000005</v>
      </c>
      <c r="E165">
        <v>50</v>
      </c>
      <c r="F165">
        <v>14.997907638999999</v>
      </c>
      <c r="G165">
        <v>1371.5878906</v>
      </c>
      <c r="H165">
        <v>1362.7368164</v>
      </c>
      <c r="I165">
        <v>1284.2108154</v>
      </c>
      <c r="J165">
        <v>1261.6068115</v>
      </c>
      <c r="K165">
        <v>1375</v>
      </c>
      <c r="L165">
        <v>0</v>
      </c>
      <c r="M165">
        <v>0</v>
      </c>
      <c r="N165">
        <v>1375</v>
      </c>
    </row>
    <row r="166" spans="1:14" x14ac:dyDescent="0.25">
      <c r="A166">
        <v>25.349882999999998</v>
      </c>
      <c r="B166" s="1">
        <f>DATE(2010,5,26) + TIME(8,23,49)</f>
        <v>40324.349872685183</v>
      </c>
      <c r="C166">
        <v>80</v>
      </c>
      <c r="D166">
        <v>79.843330382999994</v>
      </c>
      <c r="E166">
        <v>50</v>
      </c>
      <c r="F166">
        <v>14.997920036</v>
      </c>
      <c r="G166">
        <v>1371.5222168</v>
      </c>
      <c r="H166">
        <v>1362.6743164</v>
      </c>
      <c r="I166">
        <v>1284.2126464999999</v>
      </c>
      <c r="J166">
        <v>1261.6086425999999</v>
      </c>
      <c r="K166">
        <v>1375</v>
      </c>
      <c r="L166">
        <v>0</v>
      </c>
      <c r="M166">
        <v>0</v>
      </c>
      <c r="N166">
        <v>1375</v>
      </c>
    </row>
    <row r="167" spans="1:14" x14ac:dyDescent="0.25">
      <c r="A167">
        <v>25.8066</v>
      </c>
      <c r="B167" s="1">
        <f>DATE(2010,5,26) + TIME(19,21,30)</f>
        <v>40324.806597222225</v>
      </c>
      <c r="C167">
        <v>80</v>
      </c>
      <c r="D167">
        <v>79.843452454000001</v>
      </c>
      <c r="E167">
        <v>50</v>
      </c>
      <c r="F167">
        <v>14.99793148</v>
      </c>
      <c r="G167">
        <v>1371.4570312000001</v>
      </c>
      <c r="H167">
        <v>1362.6123047000001</v>
      </c>
      <c r="I167">
        <v>1284.2145995999999</v>
      </c>
      <c r="J167">
        <v>1261.6104736</v>
      </c>
      <c r="K167">
        <v>1375</v>
      </c>
      <c r="L167">
        <v>0</v>
      </c>
      <c r="M167">
        <v>0</v>
      </c>
      <c r="N167">
        <v>1375</v>
      </c>
    </row>
    <row r="168" spans="1:14" x14ac:dyDescent="0.25">
      <c r="A168">
        <v>26.269045999999999</v>
      </c>
      <c r="B168" s="1">
        <f>DATE(2010,5,27) + TIME(6,27,25)</f>
        <v>40325.26903935185</v>
      </c>
      <c r="C168">
        <v>80</v>
      </c>
      <c r="D168">
        <v>79.843566894999995</v>
      </c>
      <c r="E168">
        <v>50</v>
      </c>
      <c r="F168">
        <v>14.997943877999999</v>
      </c>
      <c r="G168">
        <v>1371.3922118999999</v>
      </c>
      <c r="H168">
        <v>1362.5507812000001</v>
      </c>
      <c r="I168">
        <v>1284.2166748</v>
      </c>
      <c r="J168">
        <v>1261.6123047000001</v>
      </c>
      <c r="K168">
        <v>1375</v>
      </c>
      <c r="L168">
        <v>0</v>
      </c>
      <c r="M168">
        <v>0</v>
      </c>
      <c r="N168">
        <v>1375</v>
      </c>
    </row>
    <row r="169" spans="1:14" x14ac:dyDescent="0.25">
      <c r="A169">
        <v>26.737952</v>
      </c>
      <c r="B169" s="1">
        <f>DATE(2010,5,27) + TIME(17,42,39)</f>
        <v>40325.737951388888</v>
      </c>
      <c r="C169">
        <v>80</v>
      </c>
      <c r="D169">
        <v>79.843681334999999</v>
      </c>
      <c r="E169">
        <v>50</v>
      </c>
      <c r="F169">
        <v>14.997955321999999</v>
      </c>
      <c r="G169">
        <v>1371.3277588000001</v>
      </c>
      <c r="H169">
        <v>1362.489624</v>
      </c>
      <c r="I169">
        <v>1284.2186279</v>
      </c>
      <c r="J169">
        <v>1261.6142577999999</v>
      </c>
      <c r="K169">
        <v>1375</v>
      </c>
      <c r="L169">
        <v>0</v>
      </c>
      <c r="M169">
        <v>0</v>
      </c>
      <c r="N169">
        <v>1375</v>
      </c>
    </row>
    <row r="170" spans="1:14" x14ac:dyDescent="0.25">
      <c r="A170">
        <v>27.214209</v>
      </c>
      <c r="B170" s="1">
        <f>DATE(2010,5,28) + TIME(5,8,27)</f>
        <v>40326.214201388888</v>
      </c>
      <c r="C170">
        <v>80</v>
      </c>
      <c r="D170">
        <v>79.843788146999998</v>
      </c>
      <c r="E170">
        <v>50</v>
      </c>
      <c r="F170">
        <v>14.99796772</v>
      </c>
      <c r="G170">
        <v>1371.2634277</v>
      </c>
      <c r="H170">
        <v>1362.4287108999999</v>
      </c>
      <c r="I170">
        <v>1284.2207031</v>
      </c>
      <c r="J170">
        <v>1261.6162108999999</v>
      </c>
      <c r="K170">
        <v>1375</v>
      </c>
      <c r="L170">
        <v>0</v>
      </c>
      <c r="M170">
        <v>0</v>
      </c>
      <c r="N170">
        <v>1375</v>
      </c>
    </row>
    <row r="171" spans="1:14" x14ac:dyDescent="0.25">
      <c r="A171">
        <v>27.698616999999999</v>
      </c>
      <c r="B171" s="1">
        <f>DATE(2010,5,28) + TIME(16,46,0)</f>
        <v>40326.698611111111</v>
      </c>
      <c r="C171">
        <v>80</v>
      </c>
      <c r="D171">
        <v>79.843894958000007</v>
      </c>
      <c r="E171">
        <v>50</v>
      </c>
      <c r="F171">
        <v>14.997979164</v>
      </c>
      <c r="G171">
        <v>1371.1993408000001</v>
      </c>
      <c r="H171">
        <v>1362.3680420000001</v>
      </c>
      <c r="I171">
        <v>1284.2227783000001</v>
      </c>
      <c r="J171">
        <v>1261.6180420000001</v>
      </c>
      <c r="K171">
        <v>1375</v>
      </c>
      <c r="L171">
        <v>0</v>
      </c>
      <c r="M171">
        <v>0</v>
      </c>
      <c r="N171">
        <v>1375</v>
      </c>
    </row>
    <row r="172" spans="1:14" x14ac:dyDescent="0.25">
      <c r="A172">
        <v>28.191932999999999</v>
      </c>
      <c r="B172" s="1">
        <f>DATE(2010,5,29) + TIME(4,36,23)</f>
        <v>40327.191932870373</v>
      </c>
      <c r="C172">
        <v>80</v>
      </c>
      <c r="D172">
        <v>79.843994140999996</v>
      </c>
      <c r="E172">
        <v>50</v>
      </c>
      <c r="F172">
        <v>14.997990608</v>
      </c>
      <c r="G172">
        <v>1371.1351318</v>
      </c>
      <c r="H172">
        <v>1362.307251</v>
      </c>
      <c r="I172">
        <v>1284.2248535000001</v>
      </c>
      <c r="J172">
        <v>1261.6201172000001</v>
      </c>
      <c r="K172">
        <v>1375</v>
      </c>
      <c r="L172">
        <v>0</v>
      </c>
      <c r="M172">
        <v>0</v>
      </c>
      <c r="N172">
        <v>1375</v>
      </c>
    </row>
    <row r="173" spans="1:14" x14ac:dyDescent="0.25">
      <c r="A173">
        <v>28.695039999999999</v>
      </c>
      <c r="B173" s="1">
        <f>DATE(2010,5,29) + TIME(16,40,51)</f>
        <v>40327.695034722223</v>
      </c>
      <c r="C173">
        <v>80</v>
      </c>
      <c r="D173">
        <v>79.844100952000005</v>
      </c>
      <c r="E173">
        <v>50</v>
      </c>
      <c r="F173">
        <v>14.998003005999999</v>
      </c>
      <c r="G173">
        <v>1371.0708007999999</v>
      </c>
      <c r="H173">
        <v>1362.246582</v>
      </c>
      <c r="I173">
        <v>1284.2269286999999</v>
      </c>
      <c r="J173">
        <v>1261.6220702999999</v>
      </c>
      <c r="K173">
        <v>1375</v>
      </c>
      <c r="L173">
        <v>0</v>
      </c>
      <c r="M173">
        <v>0</v>
      </c>
      <c r="N173">
        <v>1375</v>
      </c>
    </row>
    <row r="174" spans="1:14" x14ac:dyDescent="0.25">
      <c r="A174">
        <v>29.209011</v>
      </c>
      <c r="B174" s="1">
        <f>DATE(2010,5,30) + TIME(5,0,58)</f>
        <v>40328.209004629629</v>
      </c>
      <c r="C174">
        <v>80</v>
      </c>
      <c r="D174">
        <v>79.844200134000005</v>
      </c>
      <c r="E174">
        <v>50</v>
      </c>
      <c r="F174">
        <v>14.998014449999999</v>
      </c>
      <c r="G174">
        <v>1371.0063477000001</v>
      </c>
      <c r="H174">
        <v>1362.1857910000001</v>
      </c>
      <c r="I174">
        <v>1284.229126</v>
      </c>
      <c r="J174">
        <v>1261.6241454999999</v>
      </c>
      <c r="K174">
        <v>1375</v>
      </c>
      <c r="L174">
        <v>0</v>
      </c>
      <c r="M174">
        <v>0</v>
      </c>
      <c r="N174">
        <v>1375</v>
      </c>
    </row>
    <row r="175" spans="1:14" x14ac:dyDescent="0.25">
      <c r="A175">
        <v>29.734528000000001</v>
      </c>
      <c r="B175" s="1">
        <f>DATE(2010,5,30) + TIME(17,37,43)</f>
        <v>40328.734525462962</v>
      </c>
      <c r="C175">
        <v>80</v>
      </c>
      <c r="D175">
        <v>79.844299316000004</v>
      </c>
      <c r="E175">
        <v>50</v>
      </c>
      <c r="F175">
        <v>14.998026848</v>
      </c>
      <c r="G175">
        <v>1370.9416504000001</v>
      </c>
      <c r="H175">
        <v>1362.1247559000001</v>
      </c>
      <c r="I175">
        <v>1284.2313231999999</v>
      </c>
      <c r="J175">
        <v>1261.6262207</v>
      </c>
      <c r="K175">
        <v>1375</v>
      </c>
      <c r="L175">
        <v>0</v>
      </c>
      <c r="M175">
        <v>0</v>
      </c>
      <c r="N175">
        <v>1375</v>
      </c>
    </row>
    <row r="176" spans="1:14" x14ac:dyDescent="0.25">
      <c r="A176">
        <v>30.270717999999999</v>
      </c>
      <c r="B176" s="1">
        <f>DATE(2010,5,31) + TIME(6,29,50)</f>
        <v>40329.27071759259</v>
      </c>
      <c r="C176">
        <v>80</v>
      </c>
      <c r="D176">
        <v>79.844406128000003</v>
      </c>
      <c r="E176">
        <v>50</v>
      </c>
      <c r="F176">
        <v>14.998038292</v>
      </c>
      <c r="G176">
        <v>1370.8765868999999</v>
      </c>
      <c r="H176">
        <v>1362.0634766000001</v>
      </c>
      <c r="I176">
        <v>1284.2336425999999</v>
      </c>
      <c r="J176">
        <v>1261.628418</v>
      </c>
      <c r="K176">
        <v>1375</v>
      </c>
      <c r="L176">
        <v>0</v>
      </c>
      <c r="M176">
        <v>0</v>
      </c>
      <c r="N176">
        <v>1375</v>
      </c>
    </row>
    <row r="177" spans="1:14" x14ac:dyDescent="0.25">
      <c r="A177">
        <v>30.812920999999999</v>
      </c>
      <c r="B177" s="1">
        <f>DATE(2010,5,31) + TIME(19,30,36)</f>
        <v>40329.812916666669</v>
      </c>
      <c r="C177">
        <v>80</v>
      </c>
      <c r="D177">
        <v>79.844505310000002</v>
      </c>
      <c r="E177">
        <v>50</v>
      </c>
      <c r="F177">
        <v>14.998050689999999</v>
      </c>
      <c r="G177">
        <v>1370.8112793</v>
      </c>
      <c r="H177">
        <v>1362.0020752</v>
      </c>
      <c r="I177">
        <v>1284.2359618999999</v>
      </c>
      <c r="J177">
        <v>1261.6306152</v>
      </c>
      <c r="K177">
        <v>1375</v>
      </c>
      <c r="L177">
        <v>0</v>
      </c>
      <c r="M177">
        <v>0</v>
      </c>
      <c r="N177">
        <v>1375</v>
      </c>
    </row>
    <row r="178" spans="1:14" x14ac:dyDescent="0.25">
      <c r="A178">
        <v>31.356902000000002</v>
      </c>
      <c r="B178" s="1">
        <f>DATE(2010,6,1) + TIME(8,33,56)</f>
        <v>40330.356898148151</v>
      </c>
      <c r="C178">
        <v>80</v>
      </c>
      <c r="D178">
        <v>79.844596863000007</v>
      </c>
      <c r="E178">
        <v>50</v>
      </c>
      <c r="F178">
        <v>14.998062134</v>
      </c>
      <c r="G178">
        <v>1370.7464600000001</v>
      </c>
      <c r="H178">
        <v>1361.9410399999999</v>
      </c>
      <c r="I178">
        <v>1284.2384033000001</v>
      </c>
      <c r="J178">
        <v>1261.6328125</v>
      </c>
      <c r="K178">
        <v>1375</v>
      </c>
      <c r="L178">
        <v>0</v>
      </c>
      <c r="M178">
        <v>0</v>
      </c>
      <c r="N178">
        <v>1375</v>
      </c>
    </row>
    <row r="179" spans="1:14" x14ac:dyDescent="0.25">
      <c r="A179">
        <v>31.903704000000001</v>
      </c>
      <c r="B179" s="1">
        <f>DATE(2010,6,1) + TIME(21,41,20)</f>
        <v>40330.903703703705</v>
      </c>
      <c r="C179">
        <v>80</v>
      </c>
      <c r="D179">
        <v>79.844696045000006</v>
      </c>
      <c r="E179">
        <v>50</v>
      </c>
      <c r="F179">
        <v>14.998073578</v>
      </c>
      <c r="G179">
        <v>1370.6823730000001</v>
      </c>
      <c r="H179">
        <v>1361.8809814000001</v>
      </c>
      <c r="I179">
        <v>1284.2407227000001</v>
      </c>
      <c r="J179">
        <v>1261.6350098</v>
      </c>
      <c r="K179">
        <v>1375</v>
      </c>
      <c r="L179">
        <v>0</v>
      </c>
      <c r="M179">
        <v>0</v>
      </c>
      <c r="N179">
        <v>1375</v>
      </c>
    </row>
    <row r="180" spans="1:14" x14ac:dyDescent="0.25">
      <c r="A180">
        <v>32.454261000000002</v>
      </c>
      <c r="B180" s="1">
        <f>DATE(2010,6,2) + TIME(10,54,8)</f>
        <v>40331.454259259262</v>
      </c>
      <c r="C180">
        <v>80</v>
      </c>
      <c r="D180">
        <v>79.844795227000006</v>
      </c>
      <c r="E180">
        <v>50</v>
      </c>
      <c r="F180">
        <v>14.998085022</v>
      </c>
      <c r="G180">
        <v>1370.6191406</v>
      </c>
      <c r="H180">
        <v>1361.8216553</v>
      </c>
      <c r="I180">
        <v>1284.2431641000001</v>
      </c>
      <c r="J180">
        <v>1261.6373291</v>
      </c>
      <c r="K180">
        <v>1375</v>
      </c>
      <c r="L180">
        <v>0</v>
      </c>
      <c r="M180">
        <v>0</v>
      </c>
      <c r="N180">
        <v>1375</v>
      </c>
    </row>
    <row r="181" spans="1:14" x14ac:dyDescent="0.25">
      <c r="A181">
        <v>33.009529000000001</v>
      </c>
      <c r="B181" s="1">
        <f>DATE(2010,6,3) + TIME(0,13,43)</f>
        <v>40332.009525462963</v>
      </c>
      <c r="C181">
        <v>80</v>
      </c>
      <c r="D181">
        <v>79.844886779999996</v>
      </c>
      <c r="E181">
        <v>50</v>
      </c>
      <c r="F181">
        <v>14.998096466</v>
      </c>
      <c r="G181">
        <v>1370.5563964999999</v>
      </c>
      <c r="H181">
        <v>1361.7628173999999</v>
      </c>
      <c r="I181">
        <v>1284.2454834</v>
      </c>
      <c r="J181">
        <v>1261.6395264</v>
      </c>
      <c r="K181">
        <v>1375</v>
      </c>
      <c r="L181">
        <v>0</v>
      </c>
      <c r="M181">
        <v>0</v>
      </c>
      <c r="N181">
        <v>1375</v>
      </c>
    </row>
    <row r="182" spans="1:14" x14ac:dyDescent="0.25">
      <c r="A182">
        <v>33.570476999999997</v>
      </c>
      <c r="B182" s="1">
        <f>DATE(2010,6,3) + TIME(13,41,29)</f>
        <v>40332.570474537039</v>
      </c>
      <c r="C182">
        <v>80</v>
      </c>
      <c r="D182">
        <v>79.844978333</v>
      </c>
      <c r="E182">
        <v>50</v>
      </c>
      <c r="F182">
        <v>14.998108864000001</v>
      </c>
      <c r="G182">
        <v>1370.4942627</v>
      </c>
      <c r="H182">
        <v>1361.7045897999999</v>
      </c>
      <c r="I182">
        <v>1284.2479248</v>
      </c>
      <c r="J182">
        <v>1261.6418457</v>
      </c>
      <c r="K182">
        <v>1375</v>
      </c>
      <c r="L182">
        <v>0</v>
      </c>
      <c r="M182">
        <v>0</v>
      </c>
      <c r="N182">
        <v>1375</v>
      </c>
    </row>
    <row r="183" spans="1:14" x14ac:dyDescent="0.25">
      <c r="A183">
        <v>34.134276</v>
      </c>
      <c r="B183" s="1">
        <f>DATE(2010,6,4) + TIME(3,13,21)</f>
        <v>40333.134270833332</v>
      </c>
      <c r="C183">
        <v>80</v>
      </c>
      <c r="D183">
        <v>79.845077515</v>
      </c>
      <c r="E183">
        <v>50</v>
      </c>
      <c r="F183">
        <v>14.998119354</v>
      </c>
      <c r="G183">
        <v>1370.4323730000001</v>
      </c>
      <c r="H183">
        <v>1361.6467285000001</v>
      </c>
      <c r="I183">
        <v>1284.2503661999999</v>
      </c>
      <c r="J183">
        <v>1261.6441649999999</v>
      </c>
      <c r="K183">
        <v>1375</v>
      </c>
      <c r="L183">
        <v>0</v>
      </c>
      <c r="M183">
        <v>0</v>
      </c>
      <c r="N183">
        <v>1375</v>
      </c>
    </row>
    <row r="184" spans="1:14" x14ac:dyDescent="0.25">
      <c r="A184">
        <v>34.701264999999999</v>
      </c>
      <c r="B184" s="1">
        <f>DATE(2010,6,4) + TIME(16,49,49)</f>
        <v>40333.701261574075</v>
      </c>
      <c r="C184">
        <v>80</v>
      </c>
      <c r="D184">
        <v>79.845169067</v>
      </c>
      <c r="E184">
        <v>50</v>
      </c>
      <c r="F184">
        <v>14.998130798</v>
      </c>
      <c r="G184">
        <v>1370.3712158000001</v>
      </c>
      <c r="H184">
        <v>1361.5895995999999</v>
      </c>
      <c r="I184">
        <v>1284.2528076000001</v>
      </c>
      <c r="J184">
        <v>1261.6464844</v>
      </c>
      <c r="K184">
        <v>1375</v>
      </c>
      <c r="L184">
        <v>0</v>
      </c>
      <c r="M184">
        <v>0</v>
      </c>
      <c r="N184">
        <v>1375</v>
      </c>
    </row>
    <row r="185" spans="1:14" x14ac:dyDescent="0.25">
      <c r="A185">
        <v>35.272295</v>
      </c>
      <c r="B185" s="1">
        <f>DATE(2010,6,5) + TIME(6,32,6)</f>
        <v>40334.272291666668</v>
      </c>
      <c r="C185">
        <v>80</v>
      </c>
      <c r="D185">
        <v>79.845260620000005</v>
      </c>
      <c r="E185">
        <v>50</v>
      </c>
      <c r="F185">
        <v>14.998142242</v>
      </c>
      <c r="G185">
        <v>1370.3106689000001</v>
      </c>
      <c r="H185">
        <v>1361.5330810999999</v>
      </c>
      <c r="I185">
        <v>1284.2553711</v>
      </c>
      <c r="J185">
        <v>1261.6488036999999</v>
      </c>
      <c r="K185">
        <v>1375</v>
      </c>
      <c r="L185">
        <v>0</v>
      </c>
      <c r="M185">
        <v>0</v>
      </c>
      <c r="N185">
        <v>1375</v>
      </c>
    </row>
    <row r="186" spans="1:14" x14ac:dyDescent="0.25">
      <c r="A186">
        <v>35.848229000000003</v>
      </c>
      <c r="B186" s="1">
        <f>DATE(2010,6,5) + TIME(20,21,26)</f>
        <v>40334.848217592589</v>
      </c>
      <c r="C186">
        <v>80</v>
      </c>
      <c r="D186">
        <v>79.845359802000004</v>
      </c>
      <c r="E186">
        <v>50</v>
      </c>
      <c r="F186">
        <v>14.998153687</v>
      </c>
      <c r="G186">
        <v>1370.2507324000001</v>
      </c>
      <c r="H186">
        <v>1361.4771728999999</v>
      </c>
      <c r="I186">
        <v>1284.2578125</v>
      </c>
      <c r="J186">
        <v>1261.6511230000001</v>
      </c>
      <c r="K186">
        <v>1375</v>
      </c>
      <c r="L186">
        <v>0</v>
      </c>
      <c r="M186">
        <v>0</v>
      </c>
      <c r="N186">
        <v>1375</v>
      </c>
    </row>
    <row r="187" spans="1:14" x14ac:dyDescent="0.25">
      <c r="A187">
        <v>36.429940999999999</v>
      </c>
      <c r="B187" s="1">
        <f>DATE(2010,6,6) + TIME(10,19,6)</f>
        <v>40335.429930555554</v>
      </c>
      <c r="C187">
        <v>80</v>
      </c>
      <c r="D187">
        <v>79.845451354999994</v>
      </c>
      <c r="E187">
        <v>50</v>
      </c>
      <c r="F187">
        <v>14.998164177</v>
      </c>
      <c r="G187">
        <v>1370.1911620999999</v>
      </c>
      <c r="H187">
        <v>1361.4216309000001</v>
      </c>
      <c r="I187">
        <v>1284.260376</v>
      </c>
      <c r="J187">
        <v>1261.6535644999999</v>
      </c>
      <c r="K187">
        <v>1375</v>
      </c>
      <c r="L187">
        <v>0</v>
      </c>
      <c r="M187">
        <v>0</v>
      </c>
      <c r="N187">
        <v>1375</v>
      </c>
    </row>
    <row r="188" spans="1:14" x14ac:dyDescent="0.25">
      <c r="A188">
        <v>37.018340999999999</v>
      </c>
      <c r="B188" s="1">
        <f>DATE(2010,6,7) + TIME(0,26,24)</f>
        <v>40336.018333333333</v>
      </c>
      <c r="C188">
        <v>80</v>
      </c>
      <c r="D188">
        <v>79.845542907999999</v>
      </c>
      <c r="E188">
        <v>50</v>
      </c>
      <c r="F188">
        <v>14.998175621</v>
      </c>
      <c r="G188">
        <v>1370.1319579999999</v>
      </c>
      <c r="H188">
        <v>1361.3664550999999</v>
      </c>
      <c r="I188">
        <v>1284.2629394999999</v>
      </c>
      <c r="J188">
        <v>1261.6558838000001</v>
      </c>
      <c r="K188">
        <v>1375</v>
      </c>
      <c r="L188">
        <v>0</v>
      </c>
      <c r="M188">
        <v>0</v>
      </c>
      <c r="N188">
        <v>1375</v>
      </c>
    </row>
    <row r="189" spans="1:14" x14ac:dyDescent="0.25">
      <c r="A189">
        <v>37.614367000000001</v>
      </c>
      <c r="B189" s="1">
        <f>DATE(2010,6,7) + TIME(14,44,41)</f>
        <v>40336.614363425928</v>
      </c>
      <c r="C189">
        <v>80</v>
      </c>
      <c r="D189">
        <v>79.845642089999998</v>
      </c>
      <c r="E189">
        <v>50</v>
      </c>
      <c r="F189">
        <v>14.998186111000001</v>
      </c>
      <c r="G189">
        <v>1370.072876</v>
      </c>
      <c r="H189">
        <v>1361.3115233999999</v>
      </c>
      <c r="I189">
        <v>1284.265625</v>
      </c>
      <c r="J189">
        <v>1261.6583252</v>
      </c>
      <c r="K189">
        <v>1375</v>
      </c>
      <c r="L189">
        <v>0</v>
      </c>
      <c r="M189">
        <v>0</v>
      </c>
      <c r="N189">
        <v>1375</v>
      </c>
    </row>
    <row r="190" spans="1:14" x14ac:dyDescent="0.25">
      <c r="A190">
        <v>38.219172999999998</v>
      </c>
      <c r="B190" s="1">
        <f>DATE(2010,6,8) + TIME(5,15,36)</f>
        <v>40337.219166666669</v>
      </c>
      <c r="C190">
        <v>80</v>
      </c>
      <c r="D190">
        <v>79.845741271999998</v>
      </c>
      <c r="E190">
        <v>50</v>
      </c>
      <c r="F190">
        <v>14.998197555999999</v>
      </c>
      <c r="G190">
        <v>1370.0140381000001</v>
      </c>
      <c r="H190">
        <v>1361.2568358999999</v>
      </c>
      <c r="I190">
        <v>1284.2681885</v>
      </c>
      <c r="J190">
        <v>1261.6608887</v>
      </c>
      <c r="K190">
        <v>1375</v>
      </c>
      <c r="L190">
        <v>0</v>
      </c>
      <c r="M190">
        <v>0</v>
      </c>
      <c r="N190">
        <v>1375</v>
      </c>
    </row>
    <row r="191" spans="1:14" x14ac:dyDescent="0.25">
      <c r="A191">
        <v>38.833750999999999</v>
      </c>
      <c r="B191" s="1">
        <f>DATE(2010,6,8) + TIME(20,0,36)</f>
        <v>40337.833749999998</v>
      </c>
      <c r="C191">
        <v>80</v>
      </c>
      <c r="D191">
        <v>79.845840453999998</v>
      </c>
      <c r="E191">
        <v>50</v>
      </c>
      <c r="F191">
        <v>14.998208046</v>
      </c>
      <c r="G191">
        <v>1369.9552002</v>
      </c>
      <c r="H191">
        <v>1361.2022704999999</v>
      </c>
      <c r="I191">
        <v>1284.270874</v>
      </c>
      <c r="J191">
        <v>1261.6633300999999</v>
      </c>
      <c r="K191">
        <v>1375</v>
      </c>
      <c r="L191">
        <v>0</v>
      </c>
      <c r="M191">
        <v>0</v>
      </c>
      <c r="N191">
        <v>1375</v>
      </c>
    </row>
    <row r="192" spans="1:14" x14ac:dyDescent="0.25">
      <c r="A192">
        <v>39.459038</v>
      </c>
      <c r="B192" s="1">
        <f>DATE(2010,6,9) + TIME(11,1,0)</f>
        <v>40338.459027777775</v>
      </c>
      <c r="C192">
        <v>80</v>
      </c>
      <c r="D192">
        <v>79.845939635999997</v>
      </c>
      <c r="E192">
        <v>50</v>
      </c>
      <c r="F192">
        <v>14.99821949</v>
      </c>
      <c r="G192">
        <v>1369.8963623</v>
      </c>
      <c r="H192">
        <v>1361.1475829999999</v>
      </c>
      <c r="I192">
        <v>1284.2735596</v>
      </c>
      <c r="J192">
        <v>1261.6658935999999</v>
      </c>
      <c r="K192">
        <v>1375</v>
      </c>
      <c r="L192">
        <v>0</v>
      </c>
      <c r="M192">
        <v>0</v>
      </c>
      <c r="N192">
        <v>1375</v>
      </c>
    </row>
    <row r="193" spans="1:14" x14ac:dyDescent="0.25">
      <c r="A193">
        <v>40.096162999999997</v>
      </c>
      <c r="B193" s="1">
        <f>DATE(2010,6,10) + TIME(2,18,28)</f>
        <v>40339.09615740741</v>
      </c>
      <c r="C193">
        <v>80</v>
      </c>
      <c r="D193">
        <v>79.846038817999997</v>
      </c>
      <c r="E193">
        <v>50</v>
      </c>
      <c r="F193">
        <v>14.99822998</v>
      </c>
      <c r="G193">
        <v>1369.8374022999999</v>
      </c>
      <c r="H193">
        <v>1361.0928954999999</v>
      </c>
      <c r="I193">
        <v>1284.2763672000001</v>
      </c>
      <c r="J193">
        <v>1261.668457</v>
      </c>
      <c r="K193">
        <v>1375</v>
      </c>
      <c r="L193">
        <v>0</v>
      </c>
      <c r="M193">
        <v>0</v>
      </c>
      <c r="N193">
        <v>1375</v>
      </c>
    </row>
    <row r="194" spans="1:14" x14ac:dyDescent="0.25">
      <c r="A194">
        <v>40.746569999999998</v>
      </c>
      <c r="B194" s="1">
        <f>DATE(2010,6,10) + TIME(17,55,3)</f>
        <v>40339.746562499997</v>
      </c>
      <c r="C194">
        <v>80</v>
      </c>
      <c r="D194">
        <v>79.846145629999995</v>
      </c>
      <c r="E194">
        <v>50</v>
      </c>
      <c r="F194">
        <v>14.998241425</v>
      </c>
      <c r="G194">
        <v>1369.7781981999999</v>
      </c>
      <c r="H194">
        <v>1361.0380858999999</v>
      </c>
      <c r="I194">
        <v>1284.2791748</v>
      </c>
      <c r="J194">
        <v>1261.6711425999999</v>
      </c>
      <c r="K194">
        <v>1375</v>
      </c>
      <c r="L194">
        <v>0</v>
      </c>
      <c r="M194">
        <v>0</v>
      </c>
      <c r="N194">
        <v>1375</v>
      </c>
    </row>
    <row r="195" spans="1:14" x14ac:dyDescent="0.25">
      <c r="A195">
        <v>41.409664999999997</v>
      </c>
      <c r="B195" s="1">
        <f>DATE(2010,6,11) + TIME(9,49,55)</f>
        <v>40340.40966435185</v>
      </c>
      <c r="C195">
        <v>80</v>
      </c>
      <c r="D195">
        <v>79.846244811999995</v>
      </c>
      <c r="E195">
        <v>50</v>
      </c>
      <c r="F195">
        <v>14.998252869</v>
      </c>
      <c r="G195">
        <v>1369.71875</v>
      </c>
      <c r="H195">
        <v>1360.9830322</v>
      </c>
      <c r="I195">
        <v>1284.2821045000001</v>
      </c>
      <c r="J195">
        <v>1261.6738281</v>
      </c>
      <c r="K195">
        <v>1375</v>
      </c>
      <c r="L195">
        <v>0</v>
      </c>
      <c r="M195">
        <v>0</v>
      </c>
      <c r="N195">
        <v>1375</v>
      </c>
    </row>
    <row r="196" spans="1:14" x14ac:dyDescent="0.25">
      <c r="A196">
        <v>42.085070000000002</v>
      </c>
      <c r="B196" s="1">
        <f>DATE(2010,6,12) + TIME(2,2,30)</f>
        <v>40341.085069444445</v>
      </c>
      <c r="C196">
        <v>80</v>
      </c>
      <c r="D196">
        <v>79.846359253000003</v>
      </c>
      <c r="E196">
        <v>50</v>
      </c>
      <c r="F196">
        <v>14.998263358999999</v>
      </c>
      <c r="G196">
        <v>1369.6589355000001</v>
      </c>
      <c r="H196">
        <v>1360.9278564000001</v>
      </c>
      <c r="I196">
        <v>1284.2850341999999</v>
      </c>
      <c r="J196">
        <v>1261.6766356999999</v>
      </c>
      <c r="K196">
        <v>1375</v>
      </c>
      <c r="L196">
        <v>0</v>
      </c>
      <c r="M196">
        <v>0</v>
      </c>
      <c r="N196">
        <v>1375</v>
      </c>
    </row>
    <row r="197" spans="1:14" x14ac:dyDescent="0.25">
      <c r="A197">
        <v>42.768039000000002</v>
      </c>
      <c r="B197" s="1">
        <f>DATE(2010,6,12) + TIME(18,25,58)</f>
        <v>40341.76803240741</v>
      </c>
      <c r="C197">
        <v>80</v>
      </c>
      <c r="D197">
        <v>79.846466063999998</v>
      </c>
      <c r="E197">
        <v>50</v>
      </c>
      <c r="F197">
        <v>14.998274802999999</v>
      </c>
      <c r="G197">
        <v>1369.5991211</v>
      </c>
      <c r="H197">
        <v>1360.8725586</v>
      </c>
      <c r="I197">
        <v>1284.2880858999999</v>
      </c>
      <c r="J197">
        <v>1261.6794434000001</v>
      </c>
      <c r="K197">
        <v>1375</v>
      </c>
      <c r="L197">
        <v>0</v>
      </c>
      <c r="M197">
        <v>0</v>
      </c>
      <c r="N197">
        <v>1375</v>
      </c>
    </row>
    <row r="198" spans="1:14" x14ac:dyDescent="0.25">
      <c r="A198">
        <v>43.455435999999999</v>
      </c>
      <c r="B198" s="1">
        <f>DATE(2010,6,13) + TIME(10,55,49)</f>
        <v>40342.455428240741</v>
      </c>
      <c r="C198">
        <v>80</v>
      </c>
      <c r="D198">
        <v>79.846572875999996</v>
      </c>
      <c r="E198">
        <v>50</v>
      </c>
      <c r="F198">
        <v>14.998286246999999</v>
      </c>
      <c r="G198">
        <v>1369.5394286999999</v>
      </c>
      <c r="H198">
        <v>1360.8175048999999</v>
      </c>
      <c r="I198">
        <v>1284.2911377</v>
      </c>
      <c r="J198">
        <v>1261.6823730000001</v>
      </c>
      <c r="K198">
        <v>1375</v>
      </c>
      <c r="L198">
        <v>0</v>
      </c>
      <c r="M198">
        <v>0</v>
      </c>
      <c r="N198">
        <v>1375</v>
      </c>
    </row>
    <row r="199" spans="1:14" x14ac:dyDescent="0.25">
      <c r="A199">
        <v>44.148049999999998</v>
      </c>
      <c r="B199" s="1">
        <f>DATE(2010,6,14) + TIME(3,33,11)</f>
        <v>40343.148043981484</v>
      </c>
      <c r="C199">
        <v>80</v>
      </c>
      <c r="D199">
        <v>79.846679687999995</v>
      </c>
      <c r="E199">
        <v>50</v>
      </c>
      <c r="F199">
        <v>14.998296738000001</v>
      </c>
      <c r="G199">
        <v>1369.4803466999999</v>
      </c>
      <c r="H199">
        <v>1360.7629394999999</v>
      </c>
      <c r="I199">
        <v>1284.2941894999999</v>
      </c>
      <c r="J199">
        <v>1261.6851807</v>
      </c>
      <c r="K199">
        <v>1375</v>
      </c>
      <c r="L199">
        <v>0</v>
      </c>
      <c r="M199">
        <v>0</v>
      </c>
      <c r="N199">
        <v>1375</v>
      </c>
    </row>
    <row r="200" spans="1:14" x14ac:dyDescent="0.25">
      <c r="A200">
        <v>44.841228999999998</v>
      </c>
      <c r="B200" s="1">
        <f>DATE(2010,6,14) + TIME(20,11,22)</f>
        <v>40343.841226851851</v>
      </c>
      <c r="C200">
        <v>80</v>
      </c>
      <c r="D200">
        <v>79.846794127999999</v>
      </c>
      <c r="E200">
        <v>50</v>
      </c>
      <c r="F200">
        <v>14.998308182000001</v>
      </c>
      <c r="G200">
        <v>1369.4216309000001</v>
      </c>
      <c r="H200">
        <v>1360.7088623</v>
      </c>
      <c r="I200">
        <v>1284.2973632999999</v>
      </c>
      <c r="J200">
        <v>1261.6881103999999</v>
      </c>
      <c r="K200">
        <v>1375</v>
      </c>
      <c r="L200">
        <v>0</v>
      </c>
      <c r="M200">
        <v>0</v>
      </c>
      <c r="N200">
        <v>1375</v>
      </c>
    </row>
    <row r="201" spans="1:14" x14ac:dyDescent="0.25">
      <c r="A201">
        <v>45.536073999999999</v>
      </c>
      <c r="B201" s="1">
        <f>DATE(2010,6,15) + TIME(12,51,56)</f>
        <v>40344.536064814813</v>
      </c>
      <c r="C201">
        <v>80</v>
      </c>
      <c r="D201">
        <v>79.846900939999998</v>
      </c>
      <c r="E201">
        <v>50</v>
      </c>
      <c r="F201">
        <v>14.998318672</v>
      </c>
      <c r="G201">
        <v>1369.3637695</v>
      </c>
      <c r="H201">
        <v>1360.6556396000001</v>
      </c>
      <c r="I201">
        <v>1284.3005370999999</v>
      </c>
      <c r="J201">
        <v>1261.6910399999999</v>
      </c>
      <c r="K201">
        <v>1375</v>
      </c>
      <c r="L201">
        <v>0</v>
      </c>
      <c r="M201">
        <v>0</v>
      </c>
      <c r="N201">
        <v>1375</v>
      </c>
    </row>
    <row r="202" spans="1:14" x14ac:dyDescent="0.25">
      <c r="A202">
        <v>46.233657999999998</v>
      </c>
      <c r="B202" s="1">
        <f>DATE(2010,6,16) + TIME(5,36,28)</f>
        <v>40345.233657407407</v>
      </c>
      <c r="C202">
        <v>80</v>
      </c>
      <c r="D202">
        <v>79.847015381000006</v>
      </c>
      <c r="E202">
        <v>50</v>
      </c>
      <c r="F202">
        <v>14.998329162999999</v>
      </c>
      <c r="G202">
        <v>1369.3066406</v>
      </c>
      <c r="H202">
        <v>1360.6030272999999</v>
      </c>
      <c r="I202">
        <v>1284.3035889</v>
      </c>
      <c r="J202">
        <v>1261.6939697</v>
      </c>
      <c r="K202">
        <v>1375</v>
      </c>
      <c r="L202">
        <v>0</v>
      </c>
      <c r="M202">
        <v>0</v>
      </c>
      <c r="N202">
        <v>1375</v>
      </c>
    </row>
    <row r="203" spans="1:14" x14ac:dyDescent="0.25">
      <c r="A203">
        <v>46.935057</v>
      </c>
      <c r="B203" s="1">
        <f>DATE(2010,6,16) + TIME(22,26,28)</f>
        <v>40345.935046296298</v>
      </c>
      <c r="C203">
        <v>80</v>
      </c>
      <c r="D203">
        <v>79.847122192</v>
      </c>
      <c r="E203">
        <v>50</v>
      </c>
      <c r="F203">
        <v>14.998339653</v>
      </c>
      <c r="G203">
        <v>1369.2501221</v>
      </c>
      <c r="H203">
        <v>1360.5510254000001</v>
      </c>
      <c r="I203">
        <v>1284.3067627</v>
      </c>
      <c r="J203">
        <v>1261.6968993999999</v>
      </c>
      <c r="K203">
        <v>1375</v>
      </c>
      <c r="L203">
        <v>0</v>
      </c>
      <c r="M203">
        <v>0</v>
      </c>
      <c r="N203">
        <v>1375</v>
      </c>
    </row>
    <row r="204" spans="1:14" x14ac:dyDescent="0.25">
      <c r="A204">
        <v>47.641343999999997</v>
      </c>
      <c r="B204" s="1">
        <f>DATE(2010,6,17) + TIME(15,23,32)</f>
        <v>40346.641342592593</v>
      </c>
      <c r="C204">
        <v>80</v>
      </c>
      <c r="D204">
        <v>79.847236632999994</v>
      </c>
      <c r="E204">
        <v>50</v>
      </c>
      <c r="F204">
        <v>14.998350143</v>
      </c>
      <c r="G204">
        <v>1369.1940918</v>
      </c>
      <c r="H204">
        <v>1360.4996338000001</v>
      </c>
      <c r="I204">
        <v>1284.3099365</v>
      </c>
      <c r="J204">
        <v>1261.6998291</v>
      </c>
      <c r="K204">
        <v>1375</v>
      </c>
      <c r="L204">
        <v>0</v>
      </c>
      <c r="M204">
        <v>0</v>
      </c>
      <c r="N204">
        <v>1375</v>
      </c>
    </row>
    <row r="205" spans="1:14" x14ac:dyDescent="0.25">
      <c r="A205">
        <v>48.353600999999998</v>
      </c>
      <c r="B205" s="1">
        <f>DATE(2010,6,18) + TIME(8,29,11)</f>
        <v>40347.35359953704</v>
      </c>
      <c r="C205">
        <v>80</v>
      </c>
      <c r="D205">
        <v>79.847351074000002</v>
      </c>
      <c r="E205">
        <v>50</v>
      </c>
      <c r="F205">
        <v>14.998360634000001</v>
      </c>
      <c r="G205">
        <v>1369.1385498</v>
      </c>
      <c r="H205">
        <v>1360.4486084</v>
      </c>
      <c r="I205">
        <v>1284.3132324000001</v>
      </c>
      <c r="J205">
        <v>1261.7028809000001</v>
      </c>
      <c r="K205">
        <v>1375</v>
      </c>
      <c r="L205">
        <v>0</v>
      </c>
      <c r="M205">
        <v>0</v>
      </c>
      <c r="N205">
        <v>1375</v>
      </c>
    </row>
    <row r="206" spans="1:14" x14ac:dyDescent="0.25">
      <c r="A206">
        <v>49.072932999999999</v>
      </c>
      <c r="B206" s="1">
        <f>DATE(2010,6,19) + TIME(1,45,1)</f>
        <v>40348.072928240741</v>
      </c>
      <c r="C206">
        <v>80</v>
      </c>
      <c r="D206">
        <v>79.847465514999996</v>
      </c>
      <c r="E206">
        <v>50</v>
      </c>
      <c r="F206">
        <v>14.998371124</v>
      </c>
      <c r="G206">
        <v>1369.0832519999999</v>
      </c>
      <c r="H206">
        <v>1360.3978271000001</v>
      </c>
      <c r="I206">
        <v>1284.3164062000001</v>
      </c>
      <c r="J206">
        <v>1261.7059326000001</v>
      </c>
      <c r="K206">
        <v>1375</v>
      </c>
      <c r="L206">
        <v>0</v>
      </c>
      <c r="M206">
        <v>0</v>
      </c>
      <c r="N206">
        <v>1375</v>
      </c>
    </row>
    <row r="207" spans="1:14" x14ac:dyDescent="0.25">
      <c r="A207">
        <v>49.800486999999997</v>
      </c>
      <c r="B207" s="1">
        <f>DATE(2010,6,19) + TIME(19,12,42)</f>
        <v>40348.800486111111</v>
      </c>
      <c r="C207">
        <v>80</v>
      </c>
      <c r="D207">
        <v>79.847579956000004</v>
      </c>
      <c r="E207">
        <v>50</v>
      </c>
      <c r="F207">
        <v>14.998381615</v>
      </c>
      <c r="G207">
        <v>1369.0281981999999</v>
      </c>
      <c r="H207">
        <v>1360.3474120999999</v>
      </c>
      <c r="I207">
        <v>1284.3197021000001</v>
      </c>
      <c r="J207">
        <v>1261.7089844</v>
      </c>
      <c r="K207">
        <v>1375</v>
      </c>
      <c r="L207">
        <v>0</v>
      </c>
      <c r="M207">
        <v>0</v>
      </c>
      <c r="N207">
        <v>1375</v>
      </c>
    </row>
    <row r="208" spans="1:14" x14ac:dyDescent="0.25">
      <c r="A208">
        <v>50.537450999999997</v>
      </c>
      <c r="B208" s="1">
        <f>DATE(2010,6,20) + TIME(12,53,55)</f>
        <v>40349.537442129629</v>
      </c>
      <c r="C208">
        <v>80</v>
      </c>
      <c r="D208">
        <v>79.847694396999998</v>
      </c>
      <c r="E208">
        <v>50</v>
      </c>
      <c r="F208">
        <v>14.998392105000001</v>
      </c>
      <c r="G208">
        <v>1368.9733887</v>
      </c>
      <c r="H208">
        <v>1360.2971190999999</v>
      </c>
      <c r="I208">
        <v>1284.3231201000001</v>
      </c>
      <c r="J208">
        <v>1261.7121582</v>
      </c>
      <c r="K208">
        <v>1375</v>
      </c>
      <c r="L208">
        <v>0</v>
      </c>
      <c r="M208">
        <v>0</v>
      </c>
      <c r="N208">
        <v>1375</v>
      </c>
    </row>
    <row r="209" spans="1:14" x14ac:dyDescent="0.25">
      <c r="A209">
        <v>51.285384000000001</v>
      </c>
      <c r="B209" s="1">
        <f>DATE(2010,6,21) + TIME(6,50,57)</f>
        <v>40350.285381944443</v>
      </c>
      <c r="C209">
        <v>80</v>
      </c>
      <c r="D209">
        <v>79.847816467000001</v>
      </c>
      <c r="E209">
        <v>50</v>
      </c>
      <c r="F209">
        <v>14.998402596</v>
      </c>
      <c r="G209">
        <v>1368.9185791</v>
      </c>
      <c r="H209">
        <v>1360.2470702999999</v>
      </c>
      <c r="I209">
        <v>1284.3264160000001</v>
      </c>
      <c r="J209">
        <v>1261.7152100000001</v>
      </c>
      <c r="K209">
        <v>1375</v>
      </c>
      <c r="L209">
        <v>0</v>
      </c>
      <c r="M209">
        <v>0</v>
      </c>
      <c r="N209">
        <v>1375</v>
      </c>
    </row>
    <row r="210" spans="1:14" x14ac:dyDescent="0.25">
      <c r="A210">
        <v>52.045318000000002</v>
      </c>
      <c r="B210" s="1">
        <f>DATE(2010,6,22) + TIME(1,5,15)</f>
        <v>40351.045312499999</v>
      </c>
      <c r="C210">
        <v>80</v>
      </c>
      <c r="D210">
        <v>79.847938537999994</v>
      </c>
      <c r="E210">
        <v>50</v>
      </c>
      <c r="F210">
        <v>14.998412132</v>
      </c>
      <c r="G210">
        <v>1368.8637695</v>
      </c>
      <c r="H210">
        <v>1360.1968993999999</v>
      </c>
      <c r="I210">
        <v>1284.3299560999999</v>
      </c>
      <c r="J210">
        <v>1261.7185059000001</v>
      </c>
      <c r="K210">
        <v>1375</v>
      </c>
      <c r="L210">
        <v>0</v>
      </c>
      <c r="M210">
        <v>0</v>
      </c>
      <c r="N210">
        <v>1375</v>
      </c>
    </row>
    <row r="211" spans="1:14" x14ac:dyDescent="0.25">
      <c r="A211">
        <v>52.818463999999999</v>
      </c>
      <c r="B211" s="1">
        <f>DATE(2010,6,22) + TIME(19,38,35)</f>
        <v>40351.818460648145</v>
      </c>
      <c r="C211">
        <v>80</v>
      </c>
      <c r="D211">
        <v>79.848060607999997</v>
      </c>
      <c r="E211">
        <v>50</v>
      </c>
      <c r="F211">
        <v>14.998422623</v>
      </c>
      <c r="G211">
        <v>1368.8088379000001</v>
      </c>
      <c r="H211">
        <v>1360.1466064000001</v>
      </c>
      <c r="I211">
        <v>1284.333374</v>
      </c>
      <c r="J211">
        <v>1261.7218018000001</v>
      </c>
      <c r="K211">
        <v>1375</v>
      </c>
      <c r="L211">
        <v>0</v>
      </c>
      <c r="M211">
        <v>0</v>
      </c>
      <c r="N211">
        <v>1375</v>
      </c>
    </row>
    <row r="212" spans="1:14" x14ac:dyDescent="0.25">
      <c r="A212">
        <v>53.606337000000003</v>
      </c>
      <c r="B212" s="1">
        <f>DATE(2010,6,23) + TIME(14,33,7)</f>
        <v>40352.60633101852</v>
      </c>
      <c r="C212">
        <v>80</v>
      </c>
      <c r="D212">
        <v>79.848190308</v>
      </c>
      <c r="E212">
        <v>50</v>
      </c>
      <c r="F212">
        <v>14.998433113000001</v>
      </c>
      <c r="G212">
        <v>1368.7536620999999</v>
      </c>
      <c r="H212">
        <v>1360.0963135</v>
      </c>
      <c r="I212">
        <v>1284.3370361</v>
      </c>
      <c r="J212">
        <v>1261.7250977000001</v>
      </c>
      <c r="K212">
        <v>1375</v>
      </c>
      <c r="L212">
        <v>0</v>
      </c>
      <c r="M212">
        <v>0</v>
      </c>
      <c r="N212">
        <v>1375</v>
      </c>
    </row>
    <row r="213" spans="1:14" x14ac:dyDescent="0.25">
      <c r="A213">
        <v>54.410317999999997</v>
      </c>
      <c r="B213" s="1">
        <f>DATE(2010,6,24) + TIME(9,50,51)</f>
        <v>40353.410312499997</v>
      </c>
      <c r="C213">
        <v>80</v>
      </c>
      <c r="D213">
        <v>79.848320006999998</v>
      </c>
      <c r="E213">
        <v>50</v>
      </c>
      <c r="F213">
        <v>14.998443604</v>
      </c>
      <c r="G213">
        <v>1368.6983643000001</v>
      </c>
      <c r="H213">
        <v>1360.0457764</v>
      </c>
      <c r="I213">
        <v>1284.3406981999999</v>
      </c>
      <c r="J213">
        <v>1261.7285156</v>
      </c>
      <c r="K213">
        <v>1375</v>
      </c>
      <c r="L213">
        <v>0</v>
      </c>
      <c r="M213">
        <v>0</v>
      </c>
      <c r="N213">
        <v>1375</v>
      </c>
    </row>
    <row r="214" spans="1:14" x14ac:dyDescent="0.25">
      <c r="A214">
        <v>55.227049999999998</v>
      </c>
      <c r="B214" s="1">
        <f>DATE(2010,6,25) + TIME(5,26,57)</f>
        <v>40354.227048611108</v>
      </c>
      <c r="C214">
        <v>80</v>
      </c>
      <c r="D214">
        <v>79.848449707</v>
      </c>
      <c r="E214">
        <v>50</v>
      </c>
      <c r="F214">
        <v>14.998454094</v>
      </c>
      <c r="G214">
        <v>1368.6427002</v>
      </c>
      <c r="H214">
        <v>1359.9949951000001</v>
      </c>
      <c r="I214">
        <v>1284.3444824000001</v>
      </c>
      <c r="J214">
        <v>1261.7320557</v>
      </c>
      <c r="K214">
        <v>1375</v>
      </c>
      <c r="L214">
        <v>0</v>
      </c>
      <c r="M214">
        <v>0</v>
      </c>
      <c r="N214">
        <v>1375</v>
      </c>
    </row>
    <row r="215" spans="1:14" x14ac:dyDescent="0.25">
      <c r="A215">
        <v>55.636704999999999</v>
      </c>
      <c r="B215" s="1">
        <f>DATE(2010,6,25) + TIME(15,16,51)</f>
        <v>40354.636701388888</v>
      </c>
      <c r="C215">
        <v>80</v>
      </c>
      <c r="D215">
        <v>79.848503113000007</v>
      </c>
      <c r="E215">
        <v>50</v>
      </c>
      <c r="F215">
        <v>14.998460769999999</v>
      </c>
      <c r="G215">
        <v>1368.5863036999999</v>
      </c>
      <c r="H215">
        <v>1359.9436035000001</v>
      </c>
      <c r="I215">
        <v>1284.3480225000001</v>
      </c>
      <c r="J215">
        <v>1261.7353516000001</v>
      </c>
      <c r="K215">
        <v>1375</v>
      </c>
      <c r="L215">
        <v>0</v>
      </c>
      <c r="M215">
        <v>0</v>
      </c>
      <c r="N215">
        <v>1375</v>
      </c>
    </row>
    <row r="216" spans="1:14" x14ac:dyDescent="0.25">
      <c r="A216">
        <v>56.046360999999997</v>
      </c>
      <c r="B216" s="1">
        <f>DATE(2010,6,26) + TIME(1,6,45)</f>
        <v>40355.046354166669</v>
      </c>
      <c r="C216">
        <v>80</v>
      </c>
      <c r="D216">
        <v>79.848564147999994</v>
      </c>
      <c r="E216">
        <v>50</v>
      </c>
      <c r="F216">
        <v>14.998466492</v>
      </c>
      <c r="G216">
        <v>1368.5583495999999</v>
      </c>
      <c r="H216">
        <v>1359.9179687999999</v>
      </c>
      <c r="I216">
        <v>1284.3499756000001</v>
      </c>
      <c r="J216">
        <v>1261.7371826000001</v>
      </c>
      <c r="K216">
        <v>1375</v>
      </c>
      <c r="L216">
        <v>0</v>
      </c>
      <c r="M216">
        <v>0</v>
      </c>
      <c r="N216">
        <v>1375</v>
      </c>
    </row>
    <row r="217" spans="1:14" x14ac:dyDescent="0.25">
      <c r="A217">
        <v>56.456015999999998</v>
      </c>
      <c r="B217" s="1">
        <f>DATE(2010,6,26) + TIME(10,56,39)</f>
        <v>40355.456006944441</v>
      </c>
      <c r="C217">
        <v>80</v>
      </c>
      <c r="D217">
        <v>79.848625182999996</v>
      </c>
      <c r="E217">
        <v>50</v>
      </c>
      <c r="F217">
        <v>14.998473167</v>
      </c>
      <c r="G217">
        <v>1368.5308838000001</v>
      </c>
      <c r="H217">
        <v>1359.8929443</v>
      </c>
      <c r="I217">
        <v>1284.3519286999999</v>
      </c>
      <c r="J217">
        <v>1261.7388916</v>
      </c>
      <c r="K217">
        <v>1375</v>
      </c>
      <c r="L217">
        <v>0</v>
      </c>
      <c r="M217">
        <v>0</v>
      </c>
      <c r="N217">
        <v>1375</v>
      </c>
    </row>
    <row r="218" spans="1:14" x14ac:dyDescent="0.25">
      <c r="A218">
        <v>56.865672000000004</v>
      </c>
      <c r="B218" s="1">
        <f>DATE(2010,6,26) + TIME(20,46,34)</f>
        <v>40355.865671296298</v>
      </c>
      <c r="C218">
        <v>80</v>
      </c>
      <c r="D218">
        <v>79.848686217999997</v>
      </c>
      <c r="E218">
        <v>50</v>
      </c>
      <c r="F218">
        <v>14.998477936</v>
      </c>
      <c r="G218">
        <v>1368.5035399999999</v>
      </c>
      <c r="H218">
        <v>1359.8680420000001</v>
      </c>
      <c r="I218">
        <v>1284.3538818</v>
      </c>
      <c r="J218">
        <v>1261.7407227000001</v>
      </c>
      <c r="K218">
        <v>1375</v>
      </c>
      <c r="L218">
        <v>0</v>
      </c>
      <c r="M218">
        <v>0</v>
      </c>
      <c r="N218">
        <v>1375</v>
      </c>
    </row>
    <row r="219" spans="1:14" x14ac:dyDescent="0.25">
      <c r="A219">
        <v>57.275326999999997</v>
      </c>
      <c r="B219" s="1">
        <f>DATE(2010,6,27) + TIME(6,36,28)</f>
        <v>40356.275324074071</v>
      </c>
      <c r="C219">
        <v>80</v>
      </c>
      <c r="D219">
        <v>79.848747252999999</v>
      </c>
      <c r="E219">
        <v>50</v>
      </c>
      <c r="F219">
        <v>14.998483658</v>
      </c>
      <c r="G219">
        <v>1368.4764404</v>
      </c>
      <c r="H219">
        <v>1359.8432617000001</v>
      </c>
      <c r="I219">
        <v>1284.3557129000001</v>
      </c>
      <c r="J219">
        <v>1261.7425536999999</v>
      </c>
      <c r="K219">
        <v>1375</v>
      </c>
      <c r="L219">
        <v>0</v>
      </c>
      <c r="M219">
        <v>0</v>
      </c>
      <c r="N219">
        <v>1375</v>
      </c>
    </row>
    <row r="220" spans="1:14" x14ac:dyDescent="0.25">
      <c r="A220">
        <v>58.094638000000003</v>
      </c>
      <c r="B220" s="1">
        <f>DATE(2010,6,28) + TIME(2,16,16)</f>
        <v>40357.094629629632</v>
      </c>
      <c r="C220">
        <v>80</v>
      </c>
      <c r="D220">
        <v>79.848899841000005</v>
      </c>
      <c r="E220">
        <v>50</v>
      </c>
      <c r="F220">
        <v>14.998493195</v>
      </c>
      <c r="G220">
        <v>1368.4500731999999</v>
      </c>
      <c r="H220">
        <v>1359.8194579999999</v>
      </c>
      <c r="I220">
        <v>1284.3579102000001</v>
      </c>
      <c r="J220">
        <v>1261.7445068</v>
      </c>
      <c r="K220">
        <v>1375</v>
      </c>
      <c r="L220">
        <v>0</v>
      </c>
      <c r="M220">
        <v>0</v>
      </c>
      <c r="N220">
        <v>1375</v>
      </c>
    </row>
    <row r="221" spans="1:14" x14ac:dyDescent="0.25">
      <c r="A221">
        <v>58.913974000000003</v>
      </c>
      <c r="B221" s="1">
        <f>DATE(2010,6,28) + TIME(21,56,7)</f>
        <v>40357.913969907408</v>
      </c>
      <c r="C221">
        <v>80</v>
      </c>
      <c r="D221">
        <v>79.849037170000003</v>
      </c>
      <c r="E221">
        <v>50</v>
      </c>
      <c r="F221">
        <v>14.998501778</v>
      </c>
      <c r="G221">
        <v>1368.3969727000001</v>
      </c>
      <c r="H221">
        <v>1359.7711182</v>
      </c>
      <c r="I221">
        <v>1284.3618164</v>
      </c>
      <c r="J221">
        <v>1261.7481689000001</v>
      </c>
      <c r="K221">
        <v>1375</v>
      </c>
      <c r="L221">
        <v>0</v>
      </c>
      <c r="M221">
        <v>0</v>
      </c>
      <c r="N221">
        <v>1375</v>
      </c>
    </row>
    <row r="222" spans="1:14" x14ac:dyDescent="0.25">
      <c r="A222">
        <v>59.737189000000001</v>
      </c>
      <c r="B222" s="1">
        <f>DATE(2010,6,29) + TIME(17,41,33)</f>
        <v>40358.737187500003</v>
      </c>
      <c r="C222">
        <v>80</v>
      </c>
      <c r="D222">
        <v>79.849174500000004</v>
      </c>
      <c r="E222">
        <v>50</v>
      </c>
      <c r="F222">
        <v>14.998511314</v>
      </c>
      <c r="G222">
        <v>1368.3443603999999</v>
      </c>
      <c r="H222">
        <v>1359.7232666</v>
      </c>
      <c r="I222">
        <v>1284.3657227000001</v>
      </c>
      <c r="J222">
        <v>1261.7517089999999</v>
      </c>
      <c r="K222">
        <v>1375</v>
      </c>
      <c r="L222">
        <v>0</v>
      </c>
      <c r="M222">
        <v>0</v>
      </c>
      <c r="N222">
        <v>1375</v>
      </c>
    </row>
    <row r="223" spans="1:14" x14ac:dyDescent="0.25">
      <c r="A223">
        <v>60.565508000000001</v>
      </c>
      <c r="B223" s="1">
        <f>DATE(2010,6,30) + TIME(13,34,19)</f>
        <v>40359.565497685187</v>
      </c>
      <c r="C223">
        <v>80</v>
      </c>
      <c r="D223">
        <v>79.849311829000001</v>
      </c>
      <c r="E223">
        <v>50</v>
      </c>
      <c r="F223">
        <v>14.998520851</v>
      </c>
      <c r="G223">
        <v>1368.2922363</v>
      </c>
      <c r="H223">
        <v>1359.6759033000001</v>
      </c>
      <c r="I223">
        <v>1284.3696289</v>
      </c>
      <c r="J223">
        <v>1261.7553711</v>
      </c>
      <c r="K223">
        <v>1375</v>
      </c>
      <c r="L223">
        <v>0</v>
      </c>
      <c r="M223">
        <v>0</v>
      </c>
      <c r="N223">
        <v>1375</v>
      </c>
    </row>
    <row r="224" spans="1:14" x14ac:dyDescent="0.25">
      <c r="A224">
        <v>61</v>
      </c>
      <c r="B224" s="1">
        <f>DATE(2010,7,1) + TIME(0,0,0)</f>
        <v>40360</v>
      </c>
      <c r="C224">
        <v>80</v>
      </c>
      <c r="D224">
        <v>79.849372864000003</v>
      </c>
      <c r="E224">
        <v>50</v>
      </c>
      <c r="F224">
        <v>14.998527527</v>
      </c>
      <c r="G224">
        <v>1368.2401123</v>
      </c>
      <c r="H224">
        <v>1359.6285399999999</v>
      </c>
      <c r="I224">
        <v>1284.3732910000001</v>
      </c>
      <c r="J224">
        <v>1261.7589111</v>
      </c>
      <c r="K224">
        <v>1375</v>
      </c>
      <c r="L224">
        <v>0</v>
      </c>
      <c r="M224">
        <v>0</v>
      </c>
      <c r="N224">
        <v>1375</v>
      </c>
    </row>
    <row r="225" spans="1:14" x14ac:dyDescent="0.25">
      <c r="A225">
        <v>61.000000999999997</v>
      </c>
      <c r="B225" s="1">
        <f>DATE(2010,7,1) + TIME(0,0,0)</f>
        <v>40360</v>
      </c>
      <c r="C225">
        <v>80</v>
      </c>
      <c r="D225">
        <v>79.849395752000007</v>
      </c>
      <c r="E225">
        <v>50</v>
      </c>
      <c r="F225">
        <v>14.998507500000001</v>
      </c>
      <c r="G225">
        <v>1373.8337402</v>
      </c>
      <c r="H225">
        <v>1359.8145752</v>
      </c>
      <c r="I225">
        <v>1284.1865233999999</v>
      </c>
      <c r="J225">
        <v>1244.7330322</v>
      </c>
      <c r="K225">
        <v>2400</v>
      </c>
      <c r="L225">
        <v>0</v>
      </c>
      <c r="M225">
        <v>0</v>
      </c>
      <c r="N225">
        <v>2400</v>
      </c>
    </row>
    <row r="226" spans="1:14" x14ac:dyDescent="0.25">
      <c r="A226">
        <v>61.000003999999997</v>
      </c>
      <c r="B226" s="1">
        <f>DATE(2010,7,1) + TIME(0,0,0)</f>
        <v>40360</v>
      </c>
      <c r="C226">
        <v>80</v>
      </c>
      <c r="D226">
        <v>79.849464416999993</v>
      </c>
      <c r="E226">
        <v>50</v>
      </c>
      <c r="F226">
        <v>14.998453140000001</v>
      </c>
      <c r="G226">
        <v>1374.3041992000001</v>
      </c>
      <c r="H226">
        <v>1360.284668</v>
      </c>
      <c r="I226">
        <v>1283.6584473</v>
      </c>
      <c r="J226">
        <v>1244.2048339999999</v>
      </c>
      <c r="K226">
        <v>2400</v>
      </c>
      <c r="L226">
        <v>0</v>
      </c>
      <c r="M226">
        <v>0</v>
      </c>
      <c r="N226">
        <v>2400</v>
      </c>
    </row>
    <row r="227" spans="1:14" x14ac:dyDescent="0.25">
      <c r="A227">
        <v>61.000013000000003</v>
      </c>
      <c r="B227" s="1">
        <f>DATE(2010,7,1) + TIME(0,0,1)</f>
        <v>40360.000011574077</v>
      </c>
      <c r="C227">
        <v>80</v>
      </c>
      <c r="D227">
        <v>79.849601746000005</v>
      </c>
      <c r="E227">
        <v>50</v>
      </c>
      <c r="F227">
        <v>14.998314857</v>
      </c>
      <c r="G227">
        <v>1375.2539062000001</v>
      </c>
      <c r="H227">
        <v>1361.2340088000001</v>
      </c>
      <c r="I227">
        <v>1282.3079834</v>
      </c>
      <c r="J227">
        <v>1242.854126</v>
      </c>
      <c r="K227">
        <v>2400</v>
      </c>
      <c r="L227">
        <v>0</v>
      </c>
      <c r="M227">
        <v>0</v>
      </c>
      <c r="N227">
        <v>2400</v>
      </c>
    </row>
    <row r="228" spans="1:14" x14ac:dyDescent="0.25">
      <c r="A228">
        <v>61.000039999999998</v>
      </c>
      <c r="B228" s="1">
        <f>DATE(2010,7,1) + TIME(0,0,3)</f>
        <v>40360.000034722223</v>
      </c>
      <c r="C228">
        <v>80</v>
      </c>
      <c r="D228">
        <v>79.849800110000004</v>
      </c>
      <c r="E228">
        <v>50</v>
      </c>
      <c r="F228">
        <v>14.998027801999999</v>
      </c>
      <c r="G228">
        <v>1376.6408690999999</v>
      </c>
      <c r="H228">
        <v>1362.621582</v>
      </c>
      <c r="I228">
        <v>1279.5185547000001</v>
      </c>
      <c r="J228">
        <v>1240.0643310999999</v>
      </c>
      <c r="K228">
        <v>2400</v>
      </c>
      <c r="L228">
        <v>0</v>
      </c>
      <c r="M228">
        <v>0</v>
      </c>
      <c r="N228">
        <v>2400</v>
      </c>
    </row>
    <row r="229" spans="1:14" x14ac:dyDescent="0.25">
      <c r="A229">
        <v>61.000121</v>
      </c>
      <c r="B229" s="1">
        <f>DATE(2010,7,1) + TIME(0,0,10)</f>
        <v>40360.000115740739</v>
      </c>
      <c r="C229">
        <v>80</v>
      </c>
      <c r="D229">
        <v>79.850028992000006</v>
      </c>
      <c r="E229">
        <v>50</v>
      </c>
      <c r="F229">
        <v>14.997597694</v>
      </c>
      <c r="G229">
        <v>1378.1888428</v>
      </c>
      <c r="H229">
        <v>1364.1700439000001</v>
      </c>
      <c r="I229">
        <v>1275.3273925999999</v>
      </c>
      <c r="J229">
        <v>1235.8726807</v>
      </c>
      <c r="K229">
        <v>2400</v>
      </c>
      <c r="L229">
        <v>0</v>
      </c>
      <c r="M229">
        <v>0</v>
      </c>
      <c r="N229">
        <v>2400</v>
      </c>
    </row>
    <row r="230" spans="1:14" x14ac:dyDescent="0.25">
      <c r="A230">
        <v>61.000363999999998</v>
      </c>
      <c r="B230" s="1">
        <f>DATE(2010,7,1) + TIME(0,0,31)</f>
        <v>40360.000358796293</v>
      </c>
      <c r="C230">
        <v>80</v>
      </c>
      <c r="D230">
        <v>79.850273131999998</v>
      </c>
      <c r="E230">
        <v>50</v>
      </c>
      <c r="F230">
        <v>14.997109413</v>
      </c>
      <c r="G230">
        <v>1379.8050536999999</v>
      </c>
      <c r="H230">
        <v>1365.7768555</v>
      </c>
      <c r="I230">
        <v>1270.5716553</v>
      </c>
      <c r="J230">
        <v>1231.1163329999999</v>
      </c>
      <c r="K230">
        <v>2400</v>
      </c>
      <c r="L230">
        <v>0</v>
      </c>
      <c r="M230">
        <v>0</v>
      </c>
      <c r="N230">
        <v>2400</v>
      </c>
    </row>
    <row r="231" spans="1:14" x14ac:dyDescent="0.25">
      <c r="A231">
        <v>61.001092999999997</v>
      </c>
      <c r="B231" s="1">
        <f>DATE(2010,7,1) + TIME(0,1,34)</f>
        <v>40360.001087962963</v>
      </c>
      <c r="C231">
        <v>80</v>
      </c>
      <c r="D231">
        <v>79.850593567000004</v>
      </c>
      <c r="E231">
        <v>50</v>
      </c>
      <c r="F231">
        <v>14.996616363999999</v>
      </c>
      <c r="G231">
        <v>1381.7082519999999</v>
      </c>
      <c r="H231">
        <v>1367.6508789</v>
      </c>
      <c r="I231">
        <v>1265.7650146000001</v>
      </c>
      <c r="J231">
        <v>1226.3092041</v>
      </c>
      <c r="K231">
        <v>2400</v>
      </c>
      <c r="L231">
        <v>0</v>
      </c>
      <c r="M231">
        <v>0</v>
      </c>
      <c r="N231">
        <v>2400</v>
      </c>
    </row>
    <row r="232" spans="1:14" x14ac:dyDescent="0.25">
      <c r="A232">
        <v>61.003279999999997</v>
      </c>
      <c r="B232" s="1">
        <f>DATE(2010,7,1) + TIME(0,4,43)</f>
        <v>40360.003275462965</v>
      </c>
      <c r="C232">
        <v>80</v>
      </c>
      <c r="D232">
        <v>79.851119995000005</v>
      </c>
      <c r="E232">
        <v>50</v>
      </c>
      <c r="F232">
        <v>14.996128082</v>
      </c>
      <c r="G232">
        <v>1384.2563477000001</v>
      </c>
      <c r="H232">
        <v>1370.1662598</v>
      </c>
      <c r="I232">
        <v>1260.9836425999999</v>
      </c>
      <c r="J232">
        <v>1221.5269774999999</v>
      </c>
      <c r="K232">
        <v>2400</v>
      </c>
      <c r="L232">
        <v>0</v>
      </c>
      <c r="M232">
        <v>0</v>
      </c>
      <c r="N232">
        <v>2400</v>
      </c>
    </row>
    <row r="233" spans="1:14" x14ac:dyDescent="0.25">
      <c r="A233">
        <v>61.009841000000002</v>
      </c>
      <c r="B233" s="1">
        <f>DATE(2010,7,1) + TIME(0,14,10)</f>
        <v>40360.009837962964</v>
      </c>
      <c r="C233">
        <v>80</v>
      </c>
      <c r="D233">
        <v>79.852081299000005</v>
      </c>
      <c r="E233">
        <v>50</v>
      </c>
      <c r="F233">
        <v>14.995669364999999</v>
      </c>
      <c r="G233">
        <v>1387.4473877</v>
      </c>
      <c r="H233">
        <v>1373.3383789</v>
      </c>
      <c r="I233">
        <v>1256.4207764</v>
      </c>
      <c r="J233">
        <v>1216.9624022999999</v>
      </c>
      <c r="K233">
        <v>2400</v>
      </c>
      <c r="L233">
        <v>0</v>
      </c>
      <c r="M233">
        <v>0</v>
      </c>
      <c r="N233">
        <v>2400</v>
      </c>
    </row>
    <row r="234" spans="1:14" x14ac:dyDescent="0.25">
      <c r="A234">
        <v>61.029524000000002</v>
      </c>
      <c r="B234" s="1">
        <f>DATE(2010,7,1) + TIME(0,42,30)</f>
        <v>40360.029513888891</v>
      </c>
      <c r="C234">
        <v>80</v>
      </c>
      <c r="D234">
        <v>79.853965759000005</v>
      </c>
      <c r="E234">
        <v>50</v>
      </c>
      <c r="F234">
        <v>14.995331763999999</v>
      </c>
      <c r="G234">
        <v>1390.4349365</v>
      </c>
      <c r="H234">
        <v>1376.3175048999999</v>
      </c>
      <c r="I234">
        <v>1252.8526611</v>
      </c>
      <c r="J234">
        <v>1213.3922118999999</v>
      </c>
      <c r="K234">
        <v>2400</v>
      </c>
      <c r="L234">
        <v>0</v>
      </c>
      <c r="M234">
        <v>0</v>
      </c>
      <c r="N234">
        <v>2400</v>
      </c>
    </row>
    <row r="235" spans="1:14" x14ac:dyDescent="0.25">
      <c r="A235">
        <v>61.088572999999997</v>
      </c>
      <c r="B235" s="1">
        <f>DATE(2010,7,1) + TIME(2,7,32)</f>
        <v>40360.088564814818</v>
      </c>
      <c r="C235">
        <v>80</v>
      </c>
      <c r="D235">
        <v>79.858253478999998</v>
      </c>
      <c r="E235">
        <v>50</v>
      </c>
      <c r="F235">
        <v>14.995225906</v>
      </c>
      <c r="G235">
        <v>1392.1605225000001</v>
      </c>
      <c r="H235">
        <v>1378.0402832</v>
      </c>
      <c r="I235">
        <v>1251.1441649999999</v>
      </c>
      <c r="J235">
        <v>1211.6826172000001</v>
      </c>
      <c r="K235">
        <v>2400</v>
      </c>
      <c r="L235">
        <v>0</v>
      </c>
      <c r="M235">
        <v>0</v>
      </c>
      <c r="N235">
        <v>2400</v>
      </c>
    </row>
    <row r="236" spans="1:14" x14ac:dyDescent="0.25">
      <c r="A236">
        <v>61.265720000000002</v>
      </c>
      <c r="B236" s="1">
        <f>DATE(2010,7,1) + TIME(6,22,38)</f>
        <v>40360.265717592592</v>
      </c>
      <c r="C236">
        <v>80</v>
      </c>
      <c r="D236">
        <v>79.868064880000006</v>
      </c>
      <c r="E236">
        <v>50</v>
      </c>
      <c r="F236">
        <v>14.995343208</v>
      </c>
      <c r="G236">
        <v>1392.6575928</v>
      </c>
      <c r="H236">
        <v>1378.5379639</v>
      </c>
      <c r="I236">
        <v>1250.8040771000001</v>
      </c>
      <c r="J236">
        <v>1211.3424072</v>
      </c>
      <c r="K236">
        <v>2400</v>
      </c>
      <c r="L236">
        <v>0</v>
      </c>
      <c r="M236">
        <v>0</v>
      </c>
      <c r="N236">
        <v>2400</v>
      </c>
    </row>
    <row r="237" spans="1:14" x14ac:dyDescent="0.25">
      <c r="A237">
        <v>61.788043999999999</v>
      </c>
      <c r="B237" s="1">
        <f>DATE(2010,7,1) + TIME(18,54,46)</f>
        <v>40360.788032407407</v>
      </c>
      <c r="C237">
        <v>80</v>
      </c>
      <c r="D237">
        <v>79.884841918999996</v>
      </c>
      <c r="E237">
        <v>50</v>
      </c>
      <c r="F237">
        <v>14.995622635</v>
      </c>
      <c r="G237">
        <v>1392.6910399999999</v>
      </c>
      <c r="H237">
        <v>1378.5743408000001</v>
      </c>
      <c r="I237">
        <v>1250.7915039</v>
      </c>
      <c r="J237">
        <v>1211.3298339999999</v>
      </c>
      <c r="K237">
        <v>2400</v>
      </c>
      <c r="L237">
        <v>0</v>
      </c>
      <c r="M237">
        <v>0</v>
      </c>
      <c r="N237">
        <v>2400</v>
      </c>
    </row>
    <row r="238" spans="1:14" x14ac:dyDescent="0.25">
      <c r="A238">
        <v>62.312105000000003</v>
      </c>
      <c r="B238" s="1">
        <f>DATE(2010,7,2) + TIME(7,29,25)</f>
        <v>40361.312094907407</v>
      </c>
      <c r="C238">
        <v>80</v>
      </c>
      <c r="D238">
        <v>79.894645690999994</v>
      </c>
      <c r="E238">
        <v>50</v>
      </c>
      <c r="F238">
        <v>14.995833397</v>
      </c>
      <c r="G238">
        <v>1392.597168</v>
      </c>
      <c r="H238">
        <v>1378.4870605000001</v>
      </c>
      <c r="I238">
        <v>1250.7995605000001</v>
      </c>
      <c r="J238">
        <v>1211.3378906</v>
      </c>
      <c r="K238">
        <v>2400</v>
      </c>
      <c r="L238">
        <v>0</v>
      </c>
      <c r="M238">
        <v>0</v>
      </c>
      <c r="N238">
        <v>2400</v>
      </c>
    </row>
    <row r="239" spans="1:14" x14ac:dyDescent="0.25">
      <c r="A239">
        <v>62.842410999999998</v>
      </c>
      <c r="B239" s="1">
        <f>DATE(2010,7,2) + TIME(20,13,4)</f>
        <v>40361.842407407406</v>
      </c>
      <c r="C239">
        <v>80</v>
      </c>
      <c r="D239">
        <v>79.900413513000004</v>
      </c>
      <c r="E239">
        <v>50</v>
      </c>
      <c r="F239">
        <v>14.995998383</v>
      </c>
      <c r="G239">
        <v>1392.5008545000001</v>
      </c>
      <c r="H239">
        <v>1378.3972168</v>
      </c>
      <c r="I239">
        <v>1250.807251</v>
      </c>
      <c r="J239">
        <v>1211.3454589999999</v>
      </c>
      <c r="K239">
        <v>2400</v>
      </c>
      <c r="L239">
        <v>0</v>
      </c>
      <c r="M239">
        <v>0</v>
      </c>
      <c r="N239">
        <v>2400</v>
      </c>
    </row>
    <row r="240" spans="1:14" x14ac:dyDescent="0.25">
      <c r="A240">
        <v>63.37997</v>
      </c>
      <c r="B240" s="1">
        <f>DATE(2010,7,3) + TIME(9,7,9)</f>
        <v>40362.379965277774</v>
      </c>
      <c r="C240">
        <v>80</v>
      </c>
      <c r="D240">
        <v>79.903808593999997</v>
      </c>
      <c r="E240">
        <v>50</v>
      </c>
      <c r="F240">
        <v>14.996130943000001</v>
      </c>
      <c r="G240">
        <v>1392.4046631000001</v>
      </c>
      <c r="H240">
        <v>1378.3073730000001</v>
      </c>
      <c r="I240">
        <v>1250.8150635</v>
      </c>
      <c r="J240">
        <v>1211.3529053</v>
      </c>
      <c r="K240">
        <v>2400</v>
      </c>
      <c r="L240">
        <v>0</v>
      </c>
      <c r="M240">
        <v>0</v>
      </c>
      <c r="N240">
        <v>2400</v>
      </c>
    </row>
    <row r="241" spans="1:14" x14ac:dyDescent="0.25">
      <c r="A241">
        <v>63.925522000000001</v>
      </c>
      <c r="B241" s="1">
        <f>DATE(2010,7,3) + TIME(22,12,45)</f>
        <v>40362.925520833334</v>
      </c>
      <c r="C241">
        <v>80</v>
      </c>
      <c r="D241">
        <v>79.905815125000004</v>
      </c>
      <c r="E241">
        <v>50</v>
      </c>
      <c r="F241">
        <v>14.996240616</v>
      </c>
      <c r="G241">
        <v>1392.3085937999999</v>
      </c>
      <c r="H241">
        <v>1378.2177733999999</v>
      </c>
      <c r="I241">
        <v>1250.822876</v>
      </c>
      <c r="J241">
        <v>1211.3604736</v>
      </c>
      <c r="K241">
        <v>2400</v>
      </c>
      <c r="L241">
        <v>0</v>
      </c>
      <c r="M241">
        <v>0</v>
      </c>
      <c r="N241">
        <v>2400</v>
      </c>
    </row>
    <row r="242" spans="1:14" x14ac:dyDescent="0.25">
      <c r="A242">
        <v>64.476598999999993</v>
      </c>
      <c r="B242" s="1">
        <f>DATE(2010,7,4) + TIME(11,26,18)</f>
        <v>40363.476597222223</v>
      </c>
      <c r="C242">
        <v>80</v>
      </c>
      <c r="D242">
        <v>79.906997681000007</v>
      </c>
      <c r="E242">
        <v>50</v>
      </c>
      <c r="F242">
        <v>14.996334076</v>
      </c>
      <c r="G242">
        <v>1392.2125243999999</v>
      </c>
      <c r="H242">
        <v>1378.1280518000001</v>
      </c>
      <c r="I242">
        <v>1250.8308105000001</v>
      </c>
      <c r="J242">
        <v>1211.3681641000001</v>
      </c>
      <c r="K242">
        <v>2400</v>
      </c>
      <c r="L242">
        <v>0</v>
      </c>
      <c r="M242">
        <v>0</v>
      </c>
      <c r="N242">
        <v>2400</v>
      </c>
    </row>
    <row r="243" spans="1:14" x14ac:dyDescent="0.25">
      <c r="A243">
        <v>65.033662000000007</v>
      </c>
      <c r="B243" s="1">
        <f>DATE(2010,7,5) + TIME(0,48,28)</f>
        <v>40364.03365740741</v>
      </c>
      <c r="C243">
        <v>80</v>
      </c>
      <c r="D243">
        <v>79.907699585000003</v>
      </c>
      <c r="E243">
        <v>50</v>
      </c>
      <c r="F243">
        <v>14.996415138</v>
      </c>
      <c r="G243">
        <v>1392.1168213000001</v>
      </c>
      <c r="H243">
        <v>1378.0388184000001</v>
      </c>
      <c r="I243">
        <v>1250.8388672000001</v>
      </c>
      <c r="J243">
        <v>1211.3759766000001</v>
      </c>
      <c r="K243">
        <v>2400</v>
      </c>
      <c r="L243">
        <v>0</v>
      </c>
      <c r="M243">
        <v>0</v>
      </c>
      <c r="N243">
        <v>2400</v>
      </c>
    </row>
    <row r="244" spans="1:14" x14ac:dyDescent="0.25">
      <c r="A244">
        <v>65.597817000000006</v>
      </c>
      <c r="B244" s="1">
        <f>DATE(2010,7,5) + TIME(14,20,51)</f>
        <v>40364.597812499997</v>
      </c>
      <c r="C244">
        <v>80</v>
      </c>
      <c r="D244">
        <v>79.908126831000004</v>
      </c>
      <c r="E244">
        <v>50</v>
      </c>
      <c r="F244">
        <v>14.996487617</v>
      </c>
      <c r="G244">
        <v>1392.0216064000001</v>
      </c>
      <c r="H244">
        <v>1377.9499512</v>
      </c>
      <c r="I244">
        <v>1250.847168</v>
      </c>
      <c r="J244">
        <v>1211.3839111</v>
      </c>
      <c r="K244">
        <v>2400</v>
      </c>
      <c r="L244">
        <v>0</v>
      </c>
      <c r="M244">
        <v>0</v>
      </c>
      <c r="N244">
        <v>2400</v>
      </c>
    </row>
    <row r="245" spans="1:14" x14ac:dyDescent="0.25">
      <c r="A245">
        <v>66.168255000000002</v>
      </c>
      <c r="B245" s="1">
        <f>DATE(2010,7,6) + TIME(4,2,17)</f>
        <v>40365.168252314812</v>
      </c>
      <c r="C245">
        <v>80</v>
      </c>
      <c r="D245">
        <v>79.908401488999999</v>
      </c>
      <c r="E245">
        <v>50</v>
      </c>
      <c r="F245">
        <v>14.996553421</v>
      </c>
      <c r="G245">
        <v>1391.9263916</v>
      </c>
      <c r="H245">
        <v>1377.8613281</v>
      </c>
      <c r="I245">
        <v>1250.8554687999999</v>
      </c>
      <c r="J245">
        <v>1211.3918457</v>
      </c>
      <c r="K245">
        <v>2400</v>
      </c>
      <c r="L245">
        <v>0</v>
      </c>
      <c r="M245">
        <v>0</v>
      </c>
      <c r="N245">
        <v>2400</v>
      </c>
    </row>
    <row r="246" spans="1:14" x14ac:dyDescent="0.25">
      <c r="A246">
        <v>66.744662000000005</v>
      </c>
      <c r="B246" s="1">
        <f>DATE(2010,7,6) + TIME(17,52,18)</f>
        <v>40365.744652777779</v>
      </c>
      <c r="C246">
        <v>80</v>
      </c>
      <c r="D246">
        <v>79.908576964999995</v>
      </c>
      <c r="E246">
        <v>50</v>
      </c>
      <c r="F246">
        <v>14.996612549</v>
      </c>
      <c r="G246">
        <v>1391.8316649999999</v>
      </c>
      <c r="H246">
        <v>1377.7729492000001</v>
      </c>
      <c r="I246">
        <v>1250.8638916</v>
      </c>
      <c r="J246">
        <v>1211.4000243999999</v>
      </c>
      <c r="K246">
        <v>2400</v>
      </c>
      <c r="L246">
        <v>0</v>
      </c>
      <c r="M246">
        <v>0</v>
      </c>
      <c r="N246">
        <v>2400</v>
      </c>
    </row>
    <row r="247" spans="1:14" x14ac:dyDescent="0.25">
      <c r="A247">
        <v>67.328102000000001</v>
      </c>
      <c r="B247" s="1">
        <f>DATE(2010,7,7) + TIME(7,52,27)</f>
        <v>40366.328090277777</v>
      </c>
      <c r="C247">
        <v>80</v>
      </c>
      <c r="D247">
        <v>79.908699036000002</v>
      </c>
      <c r="E247">
        <v>50</v>
      </c>
      <c r="F247">
        <v>14.996668816</v>
      </c>
      <c r="G247">
        <v>1391.7371826000001</v>
      </c>
      <c r="H247">
        <v>1377.6849365</v>
      </c>
      <c r="I247">
        <v>1250.8725586</v>
      </c>
      <c r="J247">
        <v>1211.4082031</v>
      </c>
      <c r="K247">
        <v>2400</v>
      </c>
      <c r="L247">
        <v>0</v>
      </c>
      <c r="M247">
        <v>0</v>
      </c>
      <c r="N247">
        <v>2400</v>
      </c>
    </row>
    <row r="248" spans="1:14" x14ac:dyDescent="0.25">
      <c r="A248">
        <v>67.914187999999996</v>
      </c>
      <c r="B248" s="1">
        <f>DATE(2010,7,7) + TIME(21,56,25)</f>
        <v>40366.914178240739</v>
      </c>
      <c r="C248">
        <v>80</v>
      </c>
      <c r="D248">
        <v>79.908798218000001</v>
      </c>
      <c r="E248">
        <v>50</v>
      </c>
      <c r="F248">
        <v>14.996720313999999</v>
      </c>
      <c r="G248">
        <v>1391.6428223</v>
      </c>
      <c r="H248">
        <v>1377.597168</v>
      </c>
      <c r="I248">
        <v>1250.8812256000001</v>
      </c>
      <c r="J248">
        <v>1211.416626</v>
      </c>
      <c r="K248">
        <v>2400</v>
      </c>
      <c r="L248">
        <v>0</v>
      </c>
      <c r="M248">
        <v>0</v>
      </c>
      <c r="N248">
        <v>2400</v>
      </c>
    </row>
    <row r="249" spans="1:14" x14ac:dyDescent="0.25">
      <c r="A249">
        <v>68.501542999999998</v>
      </c>
      <c r="B249" s="1">
        <f>DATE(2010,7,8) + TIME(12,2,13)</f>
        <v>40367.501539351855</v>
      </c>
      <c r="C249">
        <v>80</v>
      </c>
      <c r="D249">
        <v>79.908874511999997</v>
      </c>
      <c r="E249">
        <v>50</v>
      </c>
      <c r="F249">
        <v>14.996767997999999</v>
      </c>
      <c r="G249">
        <v>1391.5493164</v>
      </c>
      <c r="H249">
        <v>1377.5102539</v>
      </c>
      <c r="I249">
        <v>1250.8900146000001</v>
      </c>
      <c r="J249">
        <v>1211.4250488</v>
      </c>
      <c r="K249">
        <v>2400</v>
      </c>
      <c r="L249">
        <v>0</v>
      </c>
      <c r="M249">
        <v>0</v>
      </c>
      <c r="N249">
        <v>2400</v>
      </c>
    </row>
    <row r="250" spans="1:14" x14ac:dyDescent="0.25">
      <c r="A250">
        <v>69.091093000000001</v>
      </c>
      <c r="B250" s="1">
        <f>DATE(2010,7,9) + TIME(2,11,10)</f>
        <v>40368.091087962966</v>
      </c>
      <c r="C250">
        <v>80</v>
      </c>
      <c r="D250">
        <v>79.908943175999994</v>
      </c>
      <c r="E250">
        <v>50</v>
      </c>
      <c r="F250">
        <v>14.996813774</v>
      </c>
      <c r="G250">
        <v>1391.4570312000001</v>
      </c>
      <c r="H250">
        <v>1377.4243164</v>
      </c>
      <c r="I250">
        <v>1250.8989257999999</v>
      </c>
      <c r="J250">
        <v>1211.4334716999999</v>
      </c>
      <c r="K250">
        <v>2400</v>
      </c>
      <c r="L250">
        <v>0</v>
      </c>
      <c r="M250">
        <v>0</v>
      </c>
      <c r="N250">
        <v>2400</v>
      </c>
    </row>
    <row r="251" spans="1:14" x14ac:dyDescent="0.25">
      <c r="A251">
        <v>69.683744000000004</v>
      </c>
      <c r="B251" s="1">
        <f>DATE(2010,7,9) + TIME(16,24,35)</f>
        <v>40368.683738425927</v>
      </c>
      <c r="C251">
        <v>80</v>
      </c>
      <c r="D251">
        <v>79.909004210999996</v>
      </c>
      <c r="E251">
        <v>50</v>
      </c>
      <c r="F251">
        <v>14.996856688999999</v>
      </c>
      <c r="G251">
        <v>1391.3654785000001</v>
      </c>
      <c r="H251">
        <v>1377.3392334</v>
      </c>
      <c r="I251">
        <v>1250.9078368999999</v>
      </c>
      <c r="J251">
        <v>1211.4420166</v>
      </c>
      <c r="K251">
        <v>2400</v>
      </c>
      <c r="L251">
        <v>0</v>
      </c>
      <c r="M251">
        <v>0</v>
      </c>
      <c r="N251">
        <v>2400</v>
      </c>
    </row>
    <row r="252" spans="1:14" x14ac:dyDescent="0.25">
      <c r="A252">
        <v>70.280403000000007</v>
      </c>
      <c r="B252" s="1">
        <f>DATE(2010,7,10) + TIME(6,43,46)</f>
        <v>40369.280393518522</v>
      </c>
      <c r="C252">
        <v>80</v>
      </c>
      <c r="D252">
        <v>79.909057617000002</v>
      </c>
      <c r="E252">
        <v>50</v>
      </c>
      <c r="F252">
        <v>14.996897697</v>
      </c>
      <c r="G252">
        <v>1391.2747803</v>
      </c>
      <c r="H252">
        <v>1377.2548827999999</v>
      </c>
      <c r="I252">
        <v>1250.9167480000001</v>
      </c>
      <c r="J252">
        <v>1211.4505615</v>
      </c>
      <c r="K252">
        <v>2400</v>
      </c>
      <c r="L252">
        <v>0</v>
      </c>
      <c r="M252">
        <v>0</v>
      </c>
      <c r="N252">
        <v>2400</v>
      </c>
    </row>
    <row r="253" spans="1:14" x14ac:dyDescent="0.25">
      <c r="A253">
        <v>70.881991999999997</v>
      </c>
      <c r="B253" s="1">
        <f>DATE(2010,7,10) + TIME(21,10,4)</f>
        <v>40369.881990740738</v>
      </c>
      <c r="C253">
        <v>80</v>
      </c>
      <c r="D253">
        <v>79.909118652000004</v>
      </c>
      <c r="E253">
        <v>50</v>
      </c>
      <c r="F253">
        <v>14.996936798</v>
      </c>
      <c r="G253">
        <v>1391.1846923999999</v>
      </c>
      <c r="H253">
        <v>1377.1710204999999</v>
      </c>
      <c r="I253">
        <v>1250.9259033000001</v>
      </c>
      <c r="J253">
        <v>1211.4592285000001</v>
      </c>
      <c r="K253">
        <v>2400</v>
      </c>
      <c r="L253">
        <v>0</v>
      </c>
      <c r="M253">
        <v>0</v>
      </c>
      <c r="N253">
        <v>2400</v>
      </c>
    </row>
    <row r="254" spans="1:14" x14ac:dyDescent="0.25">
      <c r="A254">
        <v>71.489462000000003</v>
      </c>
      <c r="B254" s="1">
        <f>DATE(2010,7,11) + TIME(11,44,49)</f>
        <v>40370.48945601852</v>
      </c>
      <c r="C254">
        <v>80</v>
      </c>
      <c r="D254">
        <v>79.909172057999996</v>
      </c>
      <c r="E254">
        <v>50</v>
      </c>
      <c r="F254">
        <v>14.996974945</v>
      </c>
      <c r="G254">
        <v>1391.0949707</v>
      </c>
      <c r="H254">
        <v>1377.0877685999999</v>
      </c>
      <c r="I254">
        <v>1250.9351807</v>
      </c>
      <c r="J254">
        <v>1211.4681396000001</v>
      </c>
      <c r="K254">
        <v>2400</v>
      </c>
      <c r="L254">
        <v>0</v>
      </c>
      <c r="M254">
        <v>0</v>
      </c>
      <c r="N254">
        <v>2400</v>
      </c>
    </row>
    <row r="255" spans="1:14" x14ac:dyDescent="0.25">
      <c r="A255">
        <v>72.103792999999996</v>
      </c>
      <c r="B255" s="1">
        <f>DATE(2010,7,12) + TIME(2,29,27)</f>
        <v>40371.103784722225</v>
      </c>
      <c r="C255">
        <v>80</v>
      </c>
      <c r="D255">
        <v>79.909225464000002</v>
      </c>
      <c r="E255">
        <v>50</v>
      </c>
      <c r="F255">
        <v>14.997011185</v>
      </c>
      <c r="G255">
        <v>1391.0056152</v>
      </c>
      <c r="H255">
        <v>1377.0046387</v>
      </c>
      <c r="I255">
        <v>1250.9444579999999</v>
      </c>
      <c r="J255">
        <v>1211.4770507999999</v>
      </c>
      <c r="K255">
        <v>2400</v>
      </c>
      <c r="L255">
        <v>0</v>
      </c>
      <c r="M255">
        <v>0</v>
      </c>
      <c r="N255">
        <v>2400</v>
      </c>
    </row>
    <row r="256" spans="1:14" x14ac:dyDescent="0.25">
      <c r="A256">
        <v>72.726212000000004</v>
      </c>
      <c r="B256" s="1">
        <f>DATE(2010,7,12) + TIME(17,25,44)</f>
        <v>40371.726203703707</v>
      </c>
      <c r="C256">
        <v>80</v>
      </c>
      <c r="D256">
        <v>79.909286499000004</v>
      </c>
      <c r="E256">
        <v>50</v>
      </c>
      <c r="F256">
        <v>14.997046471000001</v>
      </c>
      <c r="G256">
        <v>1390.9163818</v>
      </c>
      <c r="H256">
        <v>1376.9217529</v>
      </c>
      <c r="I256">
        <v>1250.9539795000001</v>
      </c>
      <c r="J256">
        <v>1211.4860839999999</v>
      </c>
      <c r="K256">
        <v>2400</v>
      </c>
      <c r="L256">
        <v>0</v>
      </c>
      <c r="M256">
        <v>0</v>
      </c>
      <c r="N256">
        <v>2400</v>
      </c>
    </row>
    <row r="257" spans="1:14" x14ac:dyDescent="0.25">
      <c r="A257">
        <v>73.357540999999998</v>
      </c>
      <c r="B257" s="1">
        <f>DATE(2010,7,13) + TIME(8,34,51)</f>
        <v>40372.357534722221</v>
      </c>
      <c r="C257">
        <v>80</v>
      </c>
      <c r="D257">
        <v>79.909347534000005</v>
      </c>
      <c r="E257">
        <v>50</v>
      </c>
      <c r="F257">
        <v>14.997080802999999</v>
      </c>
      <c r="G257">
        <v>1390.8272704999999</v>
      </c>
      <c r="H257">
        <v>1376.8389893000001</v>
      </c>
      <c r="I257">
        <v>1250.9637451000001</v>
      </c>
      <c r="J257">
        <v>1211.4952393000001</v>
      </c>
      <c r="K257">
        <v>2400</v>
      </c>
      <c r="L257">
        <v>0</v>
      </c>
      <c r="M257">
        <v>0</v>
      </c>
      <c r="N257">
        <v>2400</v>
      </c>
    </row>
    <row r="258" spans="1:14" x14ac:dyDescent="0.25">
      <c r="A258">
        <v>73.995720000000006</v>
      </c>
      <c r="B258" s="1">
        <f>DATE(2010,7,13) + TIME(23,53,50)</f>
        <v>40372.995717592596</v>
      </c>
      <c r="C258">
        <v>80</v>
      </c>
      <c r="D258">
        <v>79.909400939999998</v>
      </c>
      <c r="E258">
        <v>50</v>
      </c>
      <c r="F258">
        <v>14.997114182000001</v>
      </c>
      <c r="G258">
        <v>1390.7379149999999</v>
      </c>
      <c r="H258">
        <v>1376.7559814000001</v>
      </c>
      <c r="I258">
        <v>1250.9735106999999</v>
      </c>
      <c r="J258">
        <v>1211.5046387</v>
      </c>
      <c r="K258">
        <v>2400</v>
      </c>
      <c r="L258">
        <v>0</v>
      </c>
      <c r="M258">
        <v>0</v>
      </c>
      <c r="N258">
        <v>2400</v>
      </c>
    </row>
    <row r="259" spans="1:14" x14ac:dyDescent="0.25">
      <c r="A259">
        <v>74.640309000000002</v>
      </c>
      <c r="B259" s="1">
        <f>DATE(2010,7,14) + TIME(15,22,2)</f>
        <v>40373.640300925923</v>
      </c>
      <c r="C259">
        <v>80</v>
      </c>
      <c r="D259">
        <v>79.909461974999999</v>
      </c>
      <c r="E259">
        <v>50</v>
      </c>
      <c r="F259">
        <v>14.997146605999999</v>
      </c>
      <c r="G259">
        <v>1390.6488036999999</v>
      </c>
      <c r="H259">
        <v>1376.6732178</v>
      </c>
      <c r="I259">
        <v>1250.9835204999999</v>
      </c>
      <c r="J259">
        <v>1211.5141602000001</v>
      </c>
      <c r="K259">
        <v>2400</v>
      </c>
      <c r="L259">
        <v>0</v>
      </c>
      <c r="M259">
        <v>0</v>
      </c>
      <c r="N259">
        <v>2400</v>
      </c>
    </row>
    <row r="260" spans="1:14" x14ac:dyDescent="0.25">
      <c r="A260">
        <v>75.292423999999997</v>
      </c>
      <c r="B260" s="1">
        <f>DATE(2010,7,15) + TIME(7,1,5)</f>
        <v>40374.29241898148</v>
      </c>
      <c r="C260">
        <v>80</v>
      </c>
      <c r="D260">
        <v>79.909523010000001</v>
      </c>
      <c r="E260">
        <v>50</v>
      </c>
      <c r="F260">
        <v>14.997178077999999</v>
      </c>
      <c r="G260">
        <v>1390.5599365</v>
      </c>
      <c r="H260">
        <v>1376.5906981999999</v>
      </c>
      <c r="I260">
        <v>1250.9937743999999</v>
      </c>
      <c r="J260">
        <v>1211.5239257999999</v>
      </c>
      <c r="K260">
        <v>2400</v>
      </c>
      <c r="L260">
        <v>0</v>
      </c>
      <c r="M260">
        <v>0</v>
      </c>
      <c r="N260">
        <v>2400</v>
      </c>
    </row>
    <row r="261" spans="1:14" x14ac:dyDescent="0.25">
      <c r="A261">
        <v>75.953158999999999</v>
      </c>
      <c r="B261" s="1">
        <f>DATE(2010,7,15) + TIME(22,52,32)</f>
        <v>40374.953148148146</v>
      </c>
      <c r="C261">
        <v>80</v>
      </c>
      <c r="D261">
        <v>79.909584045000003</v>
      </c>
      <c r="E261">
        <v>50</v>
      </c>
      <c r="F261">
        <v>14.997208595</v>
      </c>
      <c r="G261">
        <v>1390.4711914</v>
      </c>
      <c r="H261">
        <v>1376.5083007999999</v>
      </c>
      <c r="I261">
        <v>1251.0040283000001</v>
      </c>
      <c r="J261">
        <v>1211.5336914</v>
      </c>
      <c r="K261">
        <v>2400</v>
      </c>
      <c r="L261">
        <v>0</v>
      </c>
      <c r="M261">
        <v>0</v>
      </c>
      <c r="N261">
        <v>2400</v>
      </c>
    </row>
    <row r="262" spans="1:14" x14ac:dyDescent="0.25">
      <c r="A262">
        <v>76.621339000000006</v>
      </c>
      <c r="B262" s="1">
        <f>DATE(2010,7,16) + TIME(14,54,43)</f>
        <v>40375.621331018519</v>
      </c>
      <c r="C262">
        <v>80</v>
      </c>
      <c r="D262">
        <v>79.909645080999994</v>
      </c>
      <c r="E262">
        <v>50</v>
      </c>
      <c r="F262">
        <v>14.997239112999999</v>
      </c>
      <c r="G262">
        <v>1390.3824463000001</v>
      </c>
      <c r="H262">
        <v>1376.4259033000001</v>
      </c>
      <c r="I262">
        <v>1251.0145264</v>
      </c>
      <c r="J262">
        <v>1211.5437012</v>
      </c>
      <c r="K262">
        <v>2400</v>
      </c>
      <c r="L262">
        <v>0</v>
      </c>
      <c r="M262">
        <v>0</v>
      </c>
      <c r="N262">
        <v>2400</v>
      </c>
    </row>
    <row r="263" spans="1:14" x14ac:dyDescent="0.25">
      <c r="A263">
        <v>77.289665999999997</v>
      </c>
      <c r="B263" s="1">
        <f>DATE(2010,7,17) + TIME(6,57,7)</f>
        <v>40376.289664351854</v>
      </c>
      <c r="C263">
        <v>80</v>
      </c>
      <c r="D263">
        <v>79.909706115999995</v>
      </c>
      <c r="E263">
        <v>50</v>
      </c>
      <c r="F263">
        <v>14.997268676999999</v>
      </c>
      <c r="G263">
        <v>1390.2938231999999</v>
      </c>
      <c r="H263">
        <v>1376.3436279</v>
      </c>
      <c r="I263">
        <v>1251.0252685999999</v>
      </c>
      <c r="J263">
        <v>1211.5538329999999</v>
      </c>
      <c r="K263">
        <v>2400</v>
      </c>
      <c r="L263">
        <v>0</v>
      </c>
      <c r="M263">
        <v>0</v>
      </c>
      <c r="N263">
        <v>2400</v>
      </c>
    </row>
    <row r="264" spans="1:14" x14ac:dyDescent="0.25">
      <c r="A264">
        <v>77.958951999999996</v>
      </c>
      <c r="B264" s="1">
        <f>DATE(2010,7,17) + TIME(23,0,53)</f>
        <v>40376.95894675926</v>
      </c>
      <c r="C264">
        <v>80</v>
      </c>
      <c r="D264">
        <v>79.909767150999997</v>
      </c>
      <c r="E264">
        <v>50</v>
      </c>
      <c r="F264">
        <v>14.997298240999999</v>
      </c>
      <c r="G264">
        <v>1390.2062988</v>
      </c>
      <c r="H264">
        <v>1376.2623291</v>
      </c>
      <c r="I264">
        <v>1251.0360106999999</v>
      </c>
      <c r="J264">
        <v>1211.5640868999999</v>
      </c>
      <c r="K264">
        <v>2400</v>
      </c>
      <c r="L264">
        <v>0</v>
      </c>
      <c r="M264">
        <v>0</v>
      </c>
      <c r="N264">
        <v>2400</v>
      </c>
    </row>
    <row r="265" spans="1:14" x14ac:dyDescent="0.25">
      <c r="A265">
        <v>78.630263999999997</v>
      </c>
      <c r="B265" s="1">
        <f>DATE(2010,7,18) + TIME(15,7,34)</f>
        <v>40377.630254629628</v>
      </c>
      <c r="C265">
        <v>80</v>
      </c>
      <c r="D265">
        <v>79.909828185999999</v>
      </c>
      <c r="E265">
        <v>50</v>
      </c>
      <c r="F265">
        <v>14.997325897</v>
      </c>
      <c r="G265">
        <v>1390.1196289</v>
      </c>
      <c r="H265">
        <v>1376.1820068</v>
      </c>
      <c r="I265">
        <v>1251.046875</v>
      </c>
      <c r="J265">
        <v>1211.5743408000001</v>
      </c>
      <c r="K265">
        <v>2400</v>
      </c>
      <c r="L265">
        <v>0</v>
      </c>
      <c r="M265">
        <v>0</v>
      </c>
      <c r="N265">
        <v>2400</v>
      </c>
    </row>
    <row r="266" spans="1:14" x14ac:dyDescent="0.25">
      <c r="A266">
        <v>79.304653000000002</v>
      </c>
      <c r="B266" s="1">
        <f>DATE(2010,7,19) + TIME(7,18,42)</f>
        <v>40378.304652777777</v>
      </c>
      <c r="C266">
        <v>80</v>
      </c>
      <c r="D266">
        <v>79.909896850999999</v>
      </c>
      <c r="E266">
        <v>50</v>
      </c>
      <c r="F266">
        <v>14.997353554</v>
      </c>
      <c r="G266">
        <v>1390.0339355000001</v>
      </c>
      <c r="H266">
        <v>1376.1024170000001</v>
      </c>
      <c r="I266">
        <v>1251.0577393000001</v>
      </c>
      <c r="J266">
        <v>1211.5847168</v>
      </c>
      <c r="K266">
        <v>2400</v>
      </c>
      <c r="L266">
        <v>0</v>
      </c>
      <c r="M266">
        <v>0</v>
      </c>
      <c r="N266">
        <v>2400</v>
      </c>
    </row>
    <row r="267" spans="1:14" x14ac:dyDescent="0.25">
      <c r="A267">
        <v>79.983161999999993</v>
      </c>
      <c r="B267" s="1">
        <f>DATE(2010,7,19) + TIME(23,35,45)</f>
        <v>40378.983159722222</v>
      </c>
      <c r="C267">
        <v>80</v>
      </c>
      <c r="D267">
        <v>79.909957886000001</v>
      </c>
      <c r="E267">
        <v>50</v>
      </c>
      <c r="F267">
        <v>14.997380257</v>
      </c>
      <c r="G267">
        <v>1389.9488524999999</v>
      </c>
      <c r="H267">
        <v>1376.0234375</v>
      </c>
      <c r="I267">
        <v>1251.0687256000001</v>
      </c>
      <c r="J267">
        <v>1211.5950928</v>
      </c>
      <c r="K267">
        <v>2400</v>
      </c>
      <c r="L267">
        <v>0</v>
      </c>
      <c r="M267">
        <v>0</v>
      </c>
      <c r="N267">
        <v>2400</v>
      </c>
    </row>
    <row r="268" spans="1:14" x14ac:dyDescent="0.25">
      <c r="A268">
        <v>80.666835000000006</v>
      </c>
      <c r="B268" s="1">
        <f>DATE(2010,7,20) + TIME(16,0,14)</f>
        <v>40379.666828703703</v>
      </c>
      <c r="C268">
        <v>80</v>
      </c>
      <c r="D268">
        <v>79.910026549999998</v>
      </c>
      <c r="E268">
        <v>50</v>
      </c>
      <c r="F268">
        <v>14.997406959999999</v>
      </c>
      <c r="G268">
        <v>1389.8642577999999</v>
      </c>
      <c r="H268">
        <v>1375.9450684000001</v>
      </c>
      <c r="I268">
        <v>1251.0799560999999</v>
      </c>
      <c r="J268">
        <v>1211.6057129000001</v>
      </c>
      <c r="K268">
        <v>2400</v>
      </c>
      <c r="L268">
        <v>0</v>
      </c>
      <c r="M268">
        <v>0</v>
      </c>
      <c r="N268">
        <v>2400</v>
      </c>
    </row>
    <row r="269" spans="1:14" x14ac:dyDescent="0.25">
      <c r="A269">
        <v>81.356748999999994</v>
      </c>
      <c r="B269" s="1">
        <f>DATE(2010,7,21) + TIME(8,33,43)</f>
        <v>40380.356747685182</v>
      </c>
      <c r="C269">
        <v>80</v>
      </c>
      <c r="D269">
        <v>79.910087584999999</v>
      </c>
      <c r="E269">
        <v>50</v>
      </c>
      <c r="F269">
        <v>14.997432709</v>
      </c>
      <c r="G269">
        <v>1389.7800293</v>
      </c>
      <c r="H269">
        <v>1375.8669434000001</v>
      </c>
      <c r="I269">
        <v>1251.0911865</v>
      </c>
      <c r="J269">
        <v>1211.6163329999999</v>
      </c>
      <c r="K269">
        <v>2400</v>
      </c>
      <c r="L269">
        <v>0</v>
      </c>
      <c r="M269">
        <v>0</v>
      </c>
      <c r="N269">
        <v>2400</v>
      </c>
    </row>
    <row r="270" spans="1:14" x14ac:dyDescent="0.25">
      <c r="A270">
        <v>82.054008999999994</v>
      </c>
      <c r="B270" s="1">
        <f>DATE(2010,7,22) + TIME(1,17,46)</f>
        <v>40381.05400462963</v>
      </c>
      <c r="C270">
        <v>80</v>
      </c>
      <c r="D270">
        <v>79.91015625</v>
      </c>
      <c r="E270">
        <v>50</v>
      </c>
      <c r="F270">
        <v>14.997458458000001</v>
      </c>
      <c r="G270">
        <v>1389.6960449000001</v>
      </c>
      <c r="H270">
        <v>1375.7890625</v>
      </c>
      <c r="I270">
        <v>1251.1026611</v>
      </c>
      <c r="J270">
        <v>1211.6271973</v>
      </c>
      <c r="K270">
        <v>2400</v>
      </c>
      <c r="L270">
        <v>0</v>
      </c>
      <c r="M270">
        <v>0</v>
      </c>
      <c r="N270">
        <v>2400</v>
      </c>
    </row>
    <row r="271" spans="1:14" x14ac:dyDescent="0.25">
      <c r="A271">
        <v>82.759951000000001</v>
      </c>
      <c r="B271" s="1">
        <f>DATE(2010,7,22) + TIME(18,14,19)</f>
        <v>40381.759942129633</v>
      </c>
      <c r="C271">
        <v>80</v>
      </c>
      <c r="D271">
        <v>79.910224915000001</v>
      </c>
      <c r="E271">
        <v>50</v>
      </c>
      <c r="F271">
        <v>14.997483253</v>
      </c>
      <c r="G271">
        <v>1389.6123047000001</v>
      </c>
      <c r="H271">
        <v>1375.7113036999999</v>
      </c>
      <c r="I271">
        <v>1251.1142577999999</v>
      </c>
      <c r="J271">
        <v>1211.6383057</v>
      </c>
      <c r="K271">
        <v>2400</v>
      </c>
      <c r="L271">
        <v>0</v>
      </c>
      <c r="M271">
        <v>0</v>
      </c>
      <c r="N271">
        <v>2400</v>
      </c>
    </row>
    <row r="272" spans="1:14" x14ac:dyDescent="0.25">
      <c r="A272">
        <v>83.475688000000005</v>
      </c>
      <c r="B272" s="1">
        <f>DATE(2010,7,23) + TIME(11,24,59)</f>
        <v>40382.475682870368</v>
      </c>
      <c r="C272">
        <v>80</v>
      </c>
      <c r="D272">
        <v>79.910293578999998</v>
      </c>
      <c r="E272">
        <v>50</v>
      </c>
      <c r="F272">
        <v>14.997508049</v>
      </c>
      <c r="G272">
        <v>1389.5284423999999</v>
      </c>
      <c r="H272">
        <v>1375.6335449000001</v>
      </c>
      <c r="I272">
        <v>1251.1260986</v>
      </c>
      <c r="J272">
        <v>1211.6494141000001</v>
      </c>
      <c r="K272">
        <v>2400</v>
      </c>
      <c r="L272">
        <v>0</v>
      </c>
      <c r="M272">
        <v>0</v>
      </c>
      <c r="N272">
        <v>2400</v>
      </c>
    </row>
    <row r="273" spans="1:14" x14ac:dyDescent="0.25">
      <c r="A273">
        <v>84.201920000000001</v>
      </c>
      <c r="B273" s="1">
        <f>DATE(2010,7,24) + TIME(4,50,45)</f>
        <v>40383.201909722222</v>
      </c>
      <c r="C273">
        <v>80</v>
      </c>
      <c r="D273">
        <v>79.910362243999998</v>
      </c>
      <c r="E273">
        <v>50</v>
      </c>
      <c r="F273">
        <v>14.997532845</v>
      </c>
      <c r="G273">
        <v>1389.4444579999999</v>
      </c>
      <c r="H273">
        <v>1375.5555420000001</v>
      </c>
      <c r="I273">
        <v>1251.1381836</v>
      </c>
      <c r="J273">
        <v>1211.6608887</v>
      </c>
      <c r="K273">
        <v>2400</v>
      </c>
      <c r="L273">
        <v>0</v>
      </c>
      <c r="M273">
        <v>0</v>
      </c>
      <c r="N273">
        <v>2400</v>
      </c>
    </row>
    <row r="274" spans="1:14" x14ac:dyDescent="0.25">
      <c r="A274">
        <v>84.934826999999999</v>
      </c>
      <c r="B274" s="1">
        <f>DATE(2010,7,24) + TIME(22,26,9)</f>
        <v>40383.93482638889</v>
      </c>
      <c r="C274">
        <v>80</v>
      </c>
      <c r="D274">
        <v>79.910438537999994</v>
      </c>
      <c r="E274">
        <v>50</v>
      </c>
      <c r="F274">
        <v>14.99755764</v>
      </c>
      <c r="G274">
        <v>1389.3602295000001</v>
      </c>
      <c r="H274">
        <v>1375.4775391000001</v>
      </c>
      <c r="I274">
        <v>1251.1506348</v>
      </c>
      <c r="J274">
        <v>1211.6726074000001</v>
      </c>
      <c r="K274">
        <v>2400</v>
      </c>
      <c r="L274">
        <v>0</v>
      </c>
      <c r="M274">
        <v>0</v>
      </c>
      <c r="N274">
        <v>2400</v>
      </c>
    </row>
    <row r="275" spans="1:14" x14ac:dyDescent="0.25">
      <c r="A275">
        <v>85.675235000000001</v>
      </c>
      <c r="B275" s="1">
        <f>DATE(2010,7,25) + TIME(16,12,20)</f>
        <v>40384.67523148148</v>
      </c>
      <c r="C275">
        <v>80</v>
      </c>
      <c r="D275">
        <v>79.910507202000005</v>
      </c>
      <c r="E275">
        <v>50</v>
      </c>
      <c r="F275">
        <v>14.997581481999999</v>
      </c>
      <c r="G275">
        <v>1389.2762451000001</v>
      </c>
      <c r="H275">
        <v>1375.3995361</v>
      </c>
      <c r="I275">
        <v>1251.1630858999999</v>
      </c>
      <c r="J275">
        <v>1211.6844481999999</v>
      </c>
      <c r="K275">
        <v>2400</v>
      </c>
      <c r="L275">
        <v>0</v>
      </c>
      <c r="M275">
        <v>0</v>
      </c>
      <c r="N275">
        <v>2400</v>
      </c>
    </row>
    <row r="276" spans="1:14" x14ac:dyDescent="0.25">
      <c r="A276">
        <v>86.424606999999995</v>
      </c>
      <c r="B276" s="1">
        <f>DATE(2010,7,26) + TIME(10,11,26)</f>
        <v>40385.42460648148</v>
      </c>
      <c r="C276">
        <v>80</v>
      </c>
      <c r="D276">
        <v>79.910583496000001</v>
      </c>
      <c r="E276">
        <v>50</v>
      </c>
      <c r="F276">
        <v>14.997606276999999</v>
      </c>
      <c r="G276">
        <v>1389.1923827999999</v>
      </c>
      <c r="H276">
        <v>1375.3218993999999</v>
      </c>
      <c r="I276">
        <v>1251.1757812000001</v>
      </c>
      <c r="J276">
        <v>1211.6964111</v>
      </c>
      <c r="K276">
        <v>2400</v>
      </c>
      <c r="L276">
        <v>0</v>
      </c>
      <c r="M276">
        <v>0</v>
      </c>
      <c r="N276">
        <v>2400</v>
      </c>
    </row>
    <row r="277" spans="1:14" x14ac:dyDescent="0.25">
      <c r="A277">
        <v>87.176106000000004</v>
      </c>
      <c r="B277" s="1">
        <f>DATE(2010,7,27) + TIME(4,13,35)</f>
        <v>40386.176099537035</v>
      </c>
      <c r="C277">
        <v>80</v>
      </c>
      <c r="D277">
        <v>79.910652161000002</v>
      </c>
      <c r="E277">
        <v>50</v>
      </c>
      <c r="F277">
        <v>14.997629165999999</v>
      </c>
      <c r="G277">
        <v>1389.1085204999999</v>
      </c>
      <c r="H277">
        <v>1375.2440185999999</v>
      </c>
      <c r="I277">
        <v>1251.1888428</v>
      </c>
      <c r="J277">
        <v>1211.7086182</v>
      </c>
      <c r="K277">
        <v>2400</v>
      </c>
      <c r="L277">
        <v>0</v>
      </c>
      <c r="M277">
        <v>0</v>
      </c>
      <c r="N277">
        <v>2400</v>
      </c>
    </row>
    <row r="278" spans="1:14" x14ac:dyDescent="0.25">
      <c r="A278">
        <v>87.927772000000004</v>
      </c>
      <c r="B278" s="1">
        <f>DATE(2010,7,27) + TIME(22,15,59)</f>
        <v>40386.927766203706</v>
      </c>
      <c r="C278">
        <v>80</v>
      </c>
      <c r="D278">
        <v>79.910728454999997</v>
      </c>
      <c r="E278">
        <v>50</v>
      </c>
      <c r="F278">
        <v>14.997653008</v>
      </c>
      <c r="G278">
        <v>1389.0253906</v>
      </c>
      <c r="H278">
        <v>1375.1669922000001</v>
      </c>
      <c r="I278">
        <v>1251.2019043</v>
      </c>
      <c r="J278">
        <v>1211.7209473</v>
      </c>
      <c r="K278">
        <v>2400</v>
      </c>
      <c r="L278">
        <v>0</v>
      </c>
      <c r="M278">
        <v>0</v>
      </c>
      <c r="N278">
        <v>2400</v>
      </c>
    </row>
    <row r="279" spans="1:14" x14ac:dyDescent="0.25">
      <c r="A279">
        <v>88.680839000000006</v>
      </c>
      <c r="B279" s="1">
        <f>DATE(2010,7,28) + TIME(16,20,24)</f>
        <v>40387.680833333332</v>
      </c>
      <c r="C279">
        <v>80</v>
      </c>
      <c r="D279">
        <v>79.910804748999993</v>
      </c>
      <c r="E279">
        <v>50</v>
      </c>
      <c r="F279">
        <v>14.997675896000001</v>
      </c>
      <c r="G279">
        <v>1388.9432373</v>
      </c>
      <c r="H279">
        <v>1375.0908202999999</v>
      </c>
      <c r="I279">
        <v>1251.2149658000001</v>
      </c>
      <c r="J279">
        <v>1211.7333983999999</v>
      </c>
      <c r="K279">
        <v>2400</v>
      </c>
      <c r="L279">
        <v>0</v>
      </c>
      <c r="M279">
        <v>0</v>
      </c>
      <c r="N279">
        <v>2400</v>
      </c>
    </row>
    <row r="280" spans="1:14" x14ac:dyDescent="0.25">
      <c r="A280">
        <v>89.436516999999995</v>
      </c>
      <c r="B280" s="1">
        <f>DATE(2010,7,29) + TIME(10,28,35)</f>
        <v>40388.436516203707</v>
      </c>
      <c r="C280">
        <v>80</v>
      </c>
      <c r="D280">
        <v>79.910881042</v>
      </c>
      <c r="E280">
        <v>50</v>
      </c>
      <c r="F280">
        <v>14.99769783</v>
      </c>
      <c r="G280">
        <v>1388.8619385</v>
      </c>
      <c r="H280">
        <v>1375.0153809000001</v>
      </c>
      <c r="I280">
        <v>1251.2282714999999</v>
      </c>
      <c r="J280">
        <v>1211.7459716999999</v>
      </c>
      <c r="K280">
        <v>2400</v>
      </c>
      <c r="L280">
        <v>0</v>
      </c>
      <c r="M280">
        <v>0</v>
      </c>
      <c r="N280">
        <v>2400</v>
      </c>
    </row>
    <row r="281" spans="1:14" x14ac:dyDescent="0.25">
      <c r="A281">
        <v>90.196003000000005</v>
      </c>
      <c r="B281" s="1">
        <f>DATE(2010,7,30) + TIME(4,42,14)</f>
        <v>40389.19599537037</v>
      </c>
      <c r="C281">
        <v>80</v>
      </c>
      <c r="D281">
        <v>79.910949707</v>
      </c>
      <c r="E281">
        <v>50</v>
      </c>
      <c r="F281">
        <v>14.997720718</v>
      </c>
      <c r="G281">
        <v>1388.7811279</v>
      </c>
      <c r="H281">
        <v>1374.9404297000001</v>
      </c>
      <c r="I281">
        <v>1251.2416992000001</v>
      </c>
      <c r="J281">
        <v>1211.7585449000001</v>
      </c>
      <c r="K281">
        <v>2400</v>
      </c>
      <c r="L281">
        <v>0</v>
      </c>
      <c r="M281">
        <v>0</v>
      </c>
      <c r="N281">
        <v>2400</v>
      </c>
    </row>
    <row r="282" spans="1:14" x14ac:dyDescent="0.25">
      <c r="A282">
        <v>90.960493</v>
      </c>
      <c r="B282" s="1">
        <f>DATE(2010,7,30) + TIME(23,3,6)</f>
        <v>40389.960486111115</v>
      </c>
      <c r="C282">
        <v>80</v>
      </c>
      <c r="D282">
        <v>79.911026000999996</v>
      </c>
      <c r="E282">
        <v>50</v>
      </c>
      <c r="F282">
        <v>14.997742653</v>
      </c>
      <c r="G282">
        <v>1388.7009277</v>
      </c>
      <c r="H282">
        <v>1374.8660889</v>
      </c>
      <c r="I282">
        <v>1251.255249</v>
      </c>
      <c r="J282">
        <v>1211.7713623</v>
      </c>
      <c r="K282">
        <v>2400</v>
      </c>
      <c r="L282">
        <v>0</v>
      </c>
      <c r="M282">
        <v>0</v>
      </c>
      <c r="N282">
        <v>2400</v>
      </c>
    </row>
    <row r="283" spans="1:14" x14ac:dyDescent="0.25">
      <c r="A283">
        <v>91.731168999999994</v>
      </c>
      <c r="B283" s="1">
        <f>DATE(2010,7,31) + TIME(17,32,52)</f>
        <v>40390.731157407405</v>
      </c>
      <c r="C283">
        <v>80</v>
      </c>
      <c r="D283">
        <v>79.911109924000002</v>
      </c>
      <c r="E283">
        <v>50</v>
      </c>
      <c r="F283">
        <v>14.997763634</v>
      </c>
      <c r="G283">
        <v>1388.6210937999999</v>
      </c>
      <c r="H283">
        <v>1374.7919922000001</v>
      </c>
      <c r="I283">
        <v>1251.2689209</v>
      </c>
      <c r="J283">
        <v>1211.7841797000001</v>
      </c>
      <c r="K283">
        <v>2400</v>
      </c>
      <c r="L283">
        <v>0</v>
      </c>
      <c r="M283">
        <v>0</v>
      </c>
      <c r="N283">
        <v>2400</v>
      </c>
    </row>
    <row r="284" spans="1:14" x14ac:dyDescent="0.25">
      <c r="A284">
        <v>92.509269000000003</v>
      </c>
      <c r="B284" s="1">
        <f>DATE(2010,8,1) + TIME(12,13,20)</f>
        <v>40391.509259259263</v>
      </c>
      <c r="C284">
        <v>80</v>
      </c>
      <c r="D284">
        <v>79.911186217999997</v>
      </c>
      <c r="E284">
        <v>50</v>
      </c>
      <c r="F284">
        <v>14.997785567999999</v>
      </c>
      <c r="G284">
        <v>1388.5415039</v>
      </c>
      <c r="H284">
        <v>1374.7182617000001</v>
      </c>
      <c r="I284">
        <v>1251.2828368999999</v>
      </c>
      <c r="J284">
        <v>1211.7973632999999</v>
      </c>
      <c r="K284">
        <v>2400</v>
      </c>
      <c r="L284">
        <v>0</v>
      </c>
      <c r="M284">
        <v>0</v>
      </c>
      <c r="N284">
        <v>2400</v>
      </c>
    </row>
    <row r="285" spans="1:14" x14ac:dyDescent="0.25">
      <c r="A285">
        <v>93.296064999999999</v>
      </c>
      <c r="B285" s="1">
        <f>DATE(2010,8,2) + TIME(7,6,19)</f>
        <v>40392.296053240738</v>
      </c>
      <c r="C285">
        <v>80</v>
      </c>
      <c r="D285">
        <v>79.911262511999993</v>
      </c>
      <c r="E285">
        <v>50</v>
      </c>
      <c r="F285">
        <v>14.997806549</v>
      </c>
      <c r="G285">
        <v>1388.4620361</v>
      </c>
      <c r="H285">
        <v>1374.6445312000001</v>
      </c>
      <c r="I285">
        <v>1251.2969971</v>
      </c>
      <c r="J285">
        <v>1211.8106689000001</v>
      </c>
      <c r="K285">
        <v>2400</v>
      </c>
      <c r="L285">
        <v>0</v>
      </c>
      <c r="M285">
        <v>0</v>
      </c>
      <c r="N285">
        <v>2400</v>
      </c>
    </row>
    <row r="286" spans="1:14" x14ac:dyDescent="0.25">
      <c r="A286">
        <v>94.093231000000003</v>
      </c>
      <c r="B286" s="1">
        <f>DATE(2010,8,3) + TIME(2,14,15)</f>
        <v>40393.093229166669</v>
      </c>
      <c r="C286">
        <v>80</v>
      </c>
      <c r="D286">
        <v>79.911346436000002</v>
      </c>
      <c r="E286">
        <v>50</v>
      </c>
      <c r="F286">
        <v>14.997828483999999</v>
      </c>
      <c r="G286">
        <v>1388.3825684000001</v>
      </c>
      <c r="H286">
        <v>1374.5708007999999</v>
      </c>
      <c r="I286">
        <v>1251.3115233999999</v>
      </c>
      <c r="J286">
        <v>1211.8242187999999</v>
      </c>
      <c r="K286">
        <v>2400</v>
      </c>
      <c r="L286">
        <v>0</v>
      </c>
      <c r="M286">
        <v>0</v>
      </c>
      <c r="N286">
        <v>2400</v>
      </c>
    </row>
    <row r="287" spans="1:14" x14ac:dyDescent="0.25">
      <c r="A287">
        <v>94.899932000000007</v>
      </c>
      <c r="B287" s="1">
        <f>DATE(2010,8,3) + TIME(21,35,54)</f>
        <v>40393.899930555555</v>
      </c>
      <c r="C287">
        <v>80</v>
      </c>
      <c r="D287">
        <v>79.911422728999995</v>
      </c>
      <c r="E287">
        <v>50</v>
      </c>
      <c r="F287">
        <v>14.997849464</v>
      </c>
      <c r="G287">
        <v>1388.3029785000001</v>
      </c>
      <c r="H287">
        <v>1374.4969481999999</v>
      </c>
      <c r="I287">
        <v>1251.3261719</v>
      </c>
      <c r="J287">
        <v>1211.8380127</v>
      </c>
      <c r="K287">
        <v>2400</v>
      </c>
      <c r="L287">
        <v>0</v>
      </c>
      <c r="M287">
        <v>0</v>
      </c>
      <c r="N287">
        <v>2400</v>
      </c>
    </row>
    <row r="288" spans="1:14" x14ac:dyDescent="0.25">
      <c r="A288">
        <v>95.715232999999998</v>
      </c>
      <c r="B288" s="1">
        <f>DATE(2010,8,4) + TIME(17,9,56)</f>
        <v>40394.715231481481</v>
      </c>
      <c r="C288">
        <v>80</v>
      </c>
      <c r="D288">
        <v>79.911506653000004</v>
      </c>
      <c r="E288">
        <v>50</v>
      </c>
      <c r="F288">
        <v>14.997870445</v>
      </c>
      <c r="G288">
        <v>1388.2232666</v>
      </c>
      <c r="H288">
        <v>1374.4230957</v>
      </c>
      <c r="I288">
        <v>1251.3411865</v>
      </c>
      <c r="J288">
        <v>1211.8521728999999</v>
      </c>
      <c r="K288">
        <v>2400</v>
      </c>
      <c r="L288">
        <v>0</v>
      </c>
      <c r="M288">
        <v>0</v>
      </c>
      <c r="N288">
        <v>2400</v>
      </c>
    </row>
    <row r="289" spans="1:14" x14ac:dyDescent="0.25">
      <c r="A289">
        <v>96.538413000000006</v>
      </c>
      <c r="B289" s="1">
        <f>DATE(2010,8,5) + TIME(12,55,18)</f>
        <v>40395.538402777776</v>
      </c>
      <c r="C289">
        <v>80</v>
      </c>
      <c r="D289">
        <v>79.911590575999995</v>
      </c>
      <c r="E289">
        <v>50</v>
      </c>
      <c r="F289">
        <v>14.997891426000001</v>
      </c>
      <c r="G289">
        <v>1388.1436768000001</v>
      </c>
      <c r="H289">
        <v>1374.3492432</v>
      </c>
      <c r="I289">
        <v>1251.3564452999999</v>
      </c>
      <c r="J289">
        <v>1211.8664550999999</v>
      </c>
      <c r="K289">
        <v>2400</v>
      </c>
      <c r="L289">
        <v>0</v>
      </c>
      <c r="M289">
        <v>0</v>
      </c>
      <c r="N289">
        <v>2400</v>
      </c>
    </row>
    <row r="290" spans="1:14" x14ac:dyDescent="0.25">
      <c r="A290">
        <v>97.366692</v>
      </c>
      <c r="B290" s="1">
        <f>DATE(2010,8,6) + TIME(8,48,2)</f>
        <v>40396.366689814815</v>
      </c>
      <c r="C290">
        <v>80</v>
      </c>
      <c r="D290">
        <v>79.911674500000004</v>
      </c>
      <c r="E290">
        <v>50</v>
      </c>
      <c r="F290">
        <v>14.997912406999999</v>
      </c>
      <c r="G290">
        <v>1388.0640868999999</v>
      </c>
      <c r="H290">
        <v>1374.2753906</v>
      </c>
      <c r="I290">
        <v>1251.3719481999999</v>
      </c>
      <c r="J290">
        <v>1211.8809814000001</v>
      </c>
      <c r="K290">
        <v>2400</v>
      </c>
      <c r="L290">
        <v>0</v>
      </c>
      <c r="M290">
        <v>0</v>
      </c>
      <c r="N290">
        <v>2400</v>
      </c>
    </row>
    <row r="291" spans="1:14" x14ac:dyDescent="0.25">
      <c r="A291">
        <v>98.199679000000003</v>
      </c>
      <c r="B291" s="1">
        <f>DATE(2010,8,7) + TIME(4,47,32)</f>
        <v>40397.199675925927</v>
      </c>
      <c r="C291">
        <v>80</v>
      </c>
      <c r="D291">
        <v>79.911758422999995</v>
      </c>
      <c r="E291">
        <v>50</v>
      </c>
      <c r="F291">
        <v>14.997932434000001</v>
      </c>
      <c r="G291">
        <v>1387.9849853999999</v>
      </c>
      <c r="H291">
        <v>1374.2020264</v>
      </c>
      <c r="I291">
        <v>1251.3876952999999</v>
      </c>
      <c r="J291">
        <v>1211.8957519999999</v>
      </c>
      <c r="K291">
        <v>2400</v>
      </c>
      <c r="L291">
        <v>0</v>
      </c>
      <c r="M291">
        <v>0</v>
      </c>
      <c r="N291">
        <v>2400</v>
      </c>
    </row>
    <row r="292" spans="1:14" x14ac:dyDescent="0.25">
      <c r="A292">
        <v>99.033103999999994</v>
      </c>
      <c r="B292" s="1">
        <f>DATE(2010,8,8) + TIME(0,47,40)</f>
        <v>40398.033101851855</v>
      </c>
      <c r="C292">
        <v>80</v>
      </c>
      <c r="D292">
        <v>79.911842346</v>
      </c>
      <c r="E292">
        <v>50</v>
      </c>
      <c r="F292">
        <v>14.997953415</v>
      </c>
      <c r="G292">
        <v>1387.9061279</v>
      </c>
      <c r="H292">
        <v>1374.1289062000001</v>
      </c>
      <c r="I292">
        <v>1251.4035644999999</v>
      </c>
      <c r="J292">
        <v>1211.9106445</v>
      </c>
      <c r="K292">
        <v>2400</v>
      </c>
      <c r="L292">
        <v>0</v>
      </c>
      <c r="M292">
        <v>0</v>
      </c>
      <c r="N292">
        <v>2400</v>
      </c>
    </row>
    <row r="293" spans="1:14" x14ac:dyDescent="0.25">
      <c r="A293">
        <v>99.868071999999998</v>
      </c>
      <c r="B293" s="1">
        <f>DATE(2010,8,8) + TIME(20,50,1)</f>
        <v>40398.868067129632</v>
      </c>
      <c r="C293">
        <v>80</v>
      </c>
      <c r="D293">
        <v>79.911926269999995</v>
      </c>
      <c r="E293">
        <v>50</v>
      </c>
      <c r="F293">
        <v>14.997973441999999</v>
      </c>
      <c r="G293">
        <v>1387.8282471</v>
      </c>
      <c r="H293">
        <v>1374.0566406</v>
      </c>
      <c r="I293">
        <v>1251.4195557</v>
      </c>
      <c r="J293">
        <v>1211.9256591999999</v>
      </c>
      <c r="K293">
        <v>2400</v>
      </c>
      <c r="L293">
        <v>0</v>
      </c>
      <c r="M293">
        <v>0</v>
      </c>
      <c r="N293">
        <v>2400</v>
      </c>
    </row>
    <row r="294" spans="1:14" x14ac:dyDescent="0.25">
      <c r="A294">
        <v>100.705945</v>
      </c>
      <c r="B294" s="1">
        <f>DATE(2010,8,9) + TIME(16,56,33)</f>
        <v>40399.705937500003</v>
      </c>
      <c r="C294">
        <v>80</v>
      </c>
      <c r="D294">
        <v>79.912017821999996</v>
      </c>
      <c r="E294">
        <v>50</v>
      </c>
      <c r="F294">
        <v>14.997993469000001</v>
      </c>
      <c r="G294">
        <v>1387.7509766000001</v>
      </c>
      <c r="H294">
        <v>1373.9849853999999</v>
      </c>
      <c r="I294">
        <v>1251.4357910000001</v>
      </c>
      <c r="J294">
        <v>1211.9407959</v>
      </c>
      <c r="K294">
        <v>2400</v>
      </c>
      <c r="L294">
        <v>0</v>
      </c>
      <c r="M294">
        <v>0</v>
      </c>
      <c r="N294">
        <v>2400</v>
      </c>
    </row>
    <row r="295" spans="1:14" x14ac:dyDescent="0.25">
      <c r="A295">
        <v>101.54807</v>
      </c>
      <c r="B295" s="1">
        <f>DATE(2010,8,10) + TIME(13,9,13)</f>
        <v>40400.548067129632</v>
      </c>
      <c r="C295">
        <v>80</v>
      </c>
      <c r="D295">
        <v>79.912101746000005</v>
      </c>
      <c r="E295">
        <v>50</v>
      </c>
      <c r="F295">
        <v>14.998012543</v>
      </c>
      <c r="G295">
        <v>1387.6741943</v>
      </c>
      <c r="H295">
        <v>1373.9138184000001</v>
      </c>
      <c r="I295">
        <v>1251.4521483999999</v>
      </c>
      <c r="J295">
        <v>1211.9561768000001</v>
      </c>
      <c r="K295">
        <v>2400</v>
      </c>
      <c r="L295">
        <v>0</v>
      </c>
      <c r="M295">
        <v>0</v>
      </c>
      <c r="N295">
        <v>2400</v>
      </c>
    </row>
    <row r="296" spans="1:14" x14ac:dyDescent="0.25">
      <c r="A296">
        <v>102.395793</v>
      </c>
      <c r="B296" s="1">
        <f>DATE(2010,8,11) + TIME(9,29,56)</f>
        <v>40401.395787037036</v>
      </c>
      <c r="C296">
        <v>80</v>
      </c>
      <c r="D296">
        <v>79.912185668999996</v>
      </c>
      <c r="E296">
        <v>50</v>
      </c>
      <c r="F296">
        <v>14.998032569999999</v>
      </c>
      <c r="G296">
        <v>1387.5979004000001</v>
      </c>
      <c r="H296">
        <v>1373.8430175999999</v>
      </c>
      <c r="I296">
        <v>1251.46875</v>
      </c>
      <c r="J296">
        <v>1211.9716797000001</v>
      </c>
      <c r="K296">
        <v>2400</v>
      </c>
      <c r="L296">
        <v>0</v>
      </c>
      <c r="M296">
        <v>0</v>
      </c>
      <c r="N296">
        <v>2400</v>
      </c>
    </row>
    <row r="297" spans="1:14" x14ac:dyDescent="0.25">
      <c r="A297">
        <v>103.25046399999999</v>
      </c>
      <c r="B297" s="1">
        <f>DATE(2010,8,12) + TIME(6,0,40)</f>
        <v>40402.250462962962</v>
      </c>
      <c r="C297">
        <v>80</v>
      </c>
      <c r="D297">
        <v>79.912277222</v>
      </c>
      <c r="E297">
        <v>50</v>
      </c>
      <c r="F297">
        <v>14.998052596999999</v>
      </c>
      <c r="G297">
        <v>1387.5219727000001</v>
      </c>
      <c r="H297">
        <v>1373.7724608999999</v>
      </c>
      <c r="I297">
        <v>1251.4855957</v>
      </c>
      <c r="J297">
        <v>1211.9874268000001</v>
      </c>
      <c r="K297">
        <v>2400</v>
      </c>
      <c r="L297">
        <v>0</v>
      </c>
      <c r="M297">
        <v>0</v>
      </c>
      <c r="N297">
        <v>2400</v>
      </c>
    </row>
    <row r="298" spans="1:14" x14ac:dyDescent="0.25">
      <c r="A298">
        <v>104.11344699999999</v>
      </c>
      <c r="B298" s="1">
        <f>DATE(2010,8,13) + TIME(2,43,21)</f>
        <v>40403.113437499997</v>
      </c>
      <c r="C298">
        <v>80</v>
      </c>
      <c r="D298">
        <v>79.912368774000001</v>
      </c>
      <c r="E298">
        <v>50</v>
      </c>
      <c r="F298">
        <v>14.998071671</v>
      </c>
      <c r="G298">
        <v>1387.4460449000001</v>
      </c>
      <c r="H298">
        <v>1373.7020264</v>
      </c>
      <c r="I298">
        <v>1251.5026855000001</v>
      </c>
      <c r="J298">
        <v>1212.003418</v>
      </c>
      <c r="K298">
        <v>2400</v>
      </c>
      <c r="L298">
        <v>0</v>
      </c>
      <c r="M298">
        <v>0</v>
      </c>
      <c r="N298">
        <v>2400</v>
      </c>
    </row>
    <row r="299" spans="1:14" x14ac:dyDescent="0.25">
      <c r="A299">
        <v>104.984774</v>
      </c>
      <c r="B299" s="1">
        <f>DATE(2010,8,13) + TIME(23,38,4)</f>
        <v>40403.984768518516</v>
      </c>
      <c r="C299">
        <v>80</v>
      </c>
      <c r="D299">
        <v>79.912452697999996</v>
      </c>
      <c r="E299">
        <v>50</v>
      </c>
      <c r="F299">
        <v>14.998090744000001</v>
      </c>
      <c r="G299">
        <v>1387.3702393000001</v>
      </c>
      <c r="H299">
        <v>1373.6317139</v>
      </c>
      <c r="I299">
        <v>1251.5201416</v>
      </c>
      <c r="J299">
        <v>1212.0196533000001</v>
      </c>
      <c r="K299">
        <v>2400</v>
      </c>
      <c r="L299">
        <v>0</v>
      </c>
      <c r="M299">
        <v>0</v>
      </c>
      <c r="N299">
        <v>2400</v>
      </c>
    </row>
    <row r="300" spans="1:14" x14ac:dyDescent="0.25">
      <c r="A300">
        <v>105.86211400000001</v>
      </c>
      <c r="B300" s="1">
        <f>DATE(2010,8,14) + TIME(20,41,26)</f>
        <v>40404.86210648148</v>
      </c>
      <c r="C300">
        <v>80</v>
      </c>
      <c r="D300">
        <v>79.912544249999996</v>
      </c>
      <c r="E300">
        <v>50</v>
      </c>
      <c r="F300">
        <v>14.998110771</v>
      </c>
      <c r="G300">
        <v>1387.2945557</v>
      </c>
      <c r="H300">
        <v>1373.5614014</v>
      </c>
      <c r="I300">
        <v>1251.5378418</v>
      </c>
      <c r="J300">
        <v>1212.0361327999999</v>
      </c>
      <c r="K300">
        <v>2400</v>
      </c>
      <c r="L300">
        <v>0</v>
      </c>
      <c r="M300">
        <v>0</v>
      </c>
      <c r="N300">
        <v>2400</v>
      </c>
    </row>
    <row r="301" spans="1:14" x14ac:dyDescent="0.25">
      <c r="A301">
        <v>106.743663</v>
      </c>
      <c r="B301" s="1">
        <f>DATE(2010,8,15) + TIME(17,50,52)</f>
        <v>40405.743657407409</v>
      </c>
      <c r="C301">
        <v>80</v>
      </c>
      <c r="D301">
        <v>79.912635803000001</v>
      </c>
      <c r="E301">
        <v>50</v>
      </c>
      <c r="F301">
        <v>14.998129844999999</v>
      </c>
      <c r="G301">
        <v>1387.2189940999999</v>
      </c>
      <c r="H301">
        <v>1373.4913329999999</v>
      </c>
      <c r="I301">
        <v>1251.5557861</v>
      </c>
      <c r="J301">
        <v>1212.0529785000001</v>
      </c>
      <c r="K301">
        <v>2400</v>
      </c>
      <c r="L301">
        <v>0</v>
      </c>
      <c r="M301">
        <v>0</v>
      </c>
      <c r="N301">
        <v>2400</v>
      </c>
    </row>
    <row r="302" spans="1:14" x14ac:dyDescent="0.25">
      <c r="A302">
        <v>107.62754099999999</v>
      </c>
      <c r="B302" s="1">
        <f>DATE(2010,8,16) + TIME(15,3,39)</f>
        <v>40406.627534722225</v>
      </c>
      <c r="C302">
        <v>80</v>
      </c>
      <c r="D302">
        <v>79.912727356000005</v>
      </c>
      <c r="E302">
        <v>50</v>
      </c>
      <c r="F302">
        <v>14.998148918</v>
      </c>
      <c r="G302">
        <v>1387.1439209</v>
      </c>
      <c r="H302">
        <v>1373.4216309000001</v>
      </c>
      <c r="I302">
        <v>1251.5740966999999</v>
      </c>
      <c r="J302">
        <v>1212.0699463000001</v>
      </c>
      <c r="K302">
        <v>2400</v>
      </c>
      <c r="L302">
        <v>0</v>
      </c>
      <c r="M302">
        <v>0</v>
      </c>
      <c r="N302">
        <v>2400</v>
      </c>
    </row>
    <row r="303" spans="1:14" x14ac:dyDescent="0.25">
      <c r="A303">
        <v>108.515241</v>
      </c>
      <c r="B303" s="1">
        <f>DATE(2010,8,17) + TIME(12,21,56)</f>
        <v>40407.515231481484</v>
      </c>
      <c r="C303">
        <v>80</v>
      </c>
      <c r="D303">
        <v>79.912818908999995</v>
      </c>
      <c r="E303">
        <v>50</v>
      </c>
      <c r="F303">
        <v>14.998167992000001</v>
      </c>
      <c r="G303">
        <v>1387.0694579999999</v>
      </c>
      <c r="H303">
        <v>1373.3524170000001</v>
      </c>
      <c r="I303">
        <v>1251.5925293</v>
      </c>
      <c r="J303">
        <v>1212.0871582</v>
      </c>
      <c r="K303">
        <v>2400</v>
      </c>
      <c r="L303">
        <v>0</v>
      </c>
      <c r="M303">
        <v>0</v>
      </c>
      <c r="N303">
        <v>2400</v>
      </c>
    </row>
    <row r="304" spans="1:14" x14ac:dyDescent="0.25">
      <c r="A304">
        <v>109.408232</v>
      </c>
      <c r="B304" s="1">
        <f>DATE(2010,8,18) + TIME(9,47,51)</f>
        <v>40408.408229166664</v>
      </c>
      <c r="C304">
        <v>80</v>
      </c>
      <c r="D304">
        <v>79.912910460999996</v>
      </c>
      <c r="E304">
        <v>50</v>
      </c>
      <c r="F304">
        <v>14.998187065</v>
      </c>
      <c r="G304">
        <v>1386.9952393000001</v>
      </c>
      <c r="H304">
        <v>1373.2836914</v>
      </c>
      <c r="I304">
        <v>1251.6110839999999</v>
      </c>
      <c r="J304">
        <v>1212.1044922000001</v>
      </c>
      <c r="K304">
        <v>2400</v>
      </c>
      <c r="L304">
        <v>0</v>
      </c>
      <c r="M304">
        <v>0</v>
      </c>
      <c r="N304">
        <v>2400</v>
      </c>
    </row>
    <row r="305" spans="1:14" x14ac:dyDescent="0.25">
      <c r="A305">
        <v>110.30798299999999</v>
      </c>
      <c r="B305" s="1">
        <f>DATE(2010,8,19) + TIME(7,23,29)</f>
        <v>40409.307974537034</v>
      </c>
      <c r="C305">
        <v>80</v>
      </c>
      <c r="D305">
        <v>79.913002014</v>
      </c>
      <c r="E305">
        <v>50</v>
      </c>
      <c r="F305">
        <v>14.998206139000001</v>
      </c>
      <c r="G305">
        <v>1386.9215088000001</v>
      </c>
      <c r="H305">
        <v>1373.2150879000001</v>
      </c>
      <c r="I305">
        <v>1251.6301269999999</v>
      </c>
      <c r="J305">
        <v>1212.1220702999999</v>
      </c>
      <c r="K305">
        <v>2400</v>
      </c>
      <c r="L305">
        <v>0</v>
      </c>
      <c r="M305">
        <v>0</v>
      </c>
      <c r="N305">
        <v>2400</v>
      </c>
    </row>
    <row r="306" spans="1:14" x14ac:dyDescent="0.25">
      <c r="A306">
        <v>111.215998</v>
      </c>
      <c r="B306" s="1">
        <f>DATE(2010,8,20) + TIME(5,11,2)</f>
        <v>40410.215995370374</v>
      </c>
      <c r="C306">
        <v>80</v>
      </c>
      <c r="D306">
        <v>79.913101196</v>
      </c>
      <c r="E306">
        <v>50</v>
      </c>
      <c r="F306">
        <v>14.998225211999999</v>
      </c>
      <c r="G306">
        <v>1386.8477783000001</v>
      </c>
      <c r="H306">
        <v>1373.1467285000001</v>
      </c>
      <c r="I306">
        <v>1251.6492920000001</v>
      </c>
      <c r="J306">
        <v>1212.1400146000001</v>
      </c>
      <c r="K306">
        <v>2400</v>
      </c>
      <c r="L306">
        <v>0</v>
      </c>
      <c r="M306">
        <v>0</v>
      </c>
      <c r="N306">
        <v>2400</v>
      </c>
    </row>
    <row r="307" spans="1:14" x14ac:dyDescent="0.25">
      <c r="A307">
        <v>112.131856</v>
      </c>
      <c r="B307" s="1">
        <f>DATE(2010,8,21) + TIME(3,9,52)</f>
        <v>40411.131851851853</v>
      </c>
      <c r="C307">
        <v>80</v>
      </c>
      <c r="D307">
        <v>79.913192749000004</v>
      </c>
      <c r="E307">
        <v>50</v>
      </c>
      <c r="F307">
        <v>14.998244286</v>
      </c>
      <c r="G307">
        <v>1386.7742920000001</v>
      </c>
      <c r="H307">
        <v>1373.0783690999999</v>
      </c>
      <c r="I307">
        <v>1251.6689452999999</v>
      </c>
      <c r="J307">
        <v>1212.1582031</v>
      </c>
      <c r="K307">
        <v>2400</v>
      </c>
      <c r="L307">
        <v>0</v>
      </c>
      <c r="M307">
        <v>0</v>
      </c>
      <c r="N307">
        <v>2400</v>
      </c>
    </row>
    <row r="308" spans="1:14" x14ac:dyDescent="0.25">
      <c r="A308">
        <v>113.051787</v>
      </c>
      <c r="B308" s="1">
        <f>DATE(2010,8,22) + TIME(1,14,34)</f>
        <v>40412.051782407405</v>
      </c>
      <c r="C308">
        <v>80</v>
      </c>
      <c r="D308">
        <v>79.913291931000003</v>
      </c>
      <c r="E308">
        <v>50</v>
      </c>
      <c r="F308">
        <v>14.998263358999999</v>
      </c>
      <c r="G308">
        <v>1386.7006836</v>
      </c>
      <c r="H308">
        <v>1373.0101318</v>
      </c>
      <c r="I308">
        <v>1251.6889647999999</v>
      </c>
      <c r="J308">
        <v>1212.1767577999999</v>
      </c>
      <c r="K308">
        <v>2400</v>
      </c>
      <c r="L308">
        <v>0</v>
      </c>
      <c r="M308">
        <v>0</v>
      </c>
      <c r="N308">
        <v>2400</v>
      </c>
    </row>
    <row r="309" spans="1:14" x14ac:dyDescent="0.25">
      <c r="A309">
        <v>113.97730199999999</v>
      </c>
      <c r="B309" s="1">
        <f>DATE(2010,8,22) + TIME(23,27,18)</f>
        <v>40412.97729166667</v>
      </c>
      <c r="C309">
        <v>80</v>
      </c>
      <c r="D309">
        <v>79.913383483999993</v>
      </c>
      <c r="E309">
        <v>50</v>
      </c>
      <c r="F309">
        <v>14.998282433</v>
      </c>
      <c r="G309">
        <v>1386.6275635</v>
      </c>
      <c r="H309">
        <v>1372.9421387</v>
      </c>
      <c r="I309">
        <v>1251.7091064000001</v>
      </c>
      <c r="J309">
        <v>1212.1955565999999</v>
      </c>
      <c r="K309">
        <v>2400</v>
      </c>
      <c r="L309">
        <v>0</v>
      </c>
      <c r="M309">
        <v>0</v>
      </c>
      <c r="N309">
        <v>2400</v>
      </c>
    </row>
    <row r="310" spans="1:14" x14ac:dyDescent="0.25">
      <c r="A310">
        <v>114.907415</v>
      </c>
      <c r="B310" s="1">
        <f>DATE(2010,8,23) + TIME(21,46,40)</f>
        <v>40413.907407407409</v>
      </c>
      <c r="C310">
        <v>80</v>
      </c>
      <c r="D310">
        <v>79.913482665999993</v>
      </c>
      <c r="E310">
        <v>50</v>
      </c>
      <c r="F310">
        <v>14.99830246</v>
      </c>
      <c r="G310">
        <v>1386.5546875</v>
      </c>
      <c r="H310">
        <v>1372.8745117000001</v>
      </c>
      <c r="I310">
        <v>1251.7297363</v>
      </c>
      <c r="J310">
        <v>1212.2145995999999</v>
      </c>
      <c r="K310">
        <v>2400</v>
      </c>
      <c r="L310">
        <v>0</v>
      </c>
      <c r="M310">
        <v>0</v>
      </c>
      <c r="N310">
        <v>2400</v>
      </c>
    </row>
    <row r="311" spans="1:14" x14ac:dyDescent="0.25">
      <c r="A311">
        <v>115.373245</v>
      </c>
      <c r="B311" s="1">
        <f>DATE(2010,8,24) + TIME(8,57,28)</f>
        <v>40414.373240740744</v>
      </c>
      <c r="C311">
        <v>80</v>
      </c>
      <c r="D311">
        <v>79.913520813000005</v>
      </c>
      <c r="E311">
        <v>50</v>
      </c>
      <c r="F311">
        <v>14.998315810999999</v>
      </c>
      <c r="G311">
        <v>1386.4819336</v>
      </c>
      <c r="H311">
        <v>1372.8067627</v>
      </c>
      <c r="I311">
        <v>1251.7501221</v>
      </c>
      <c r="J311">
        <v>1212.2333983999999</v>
      </c>
      <c r="K311">
        <v>2400</v>
      </c>
      <c r="L311">
        <v>0</v>
      </c>
      <c r="M311">
        <v>0</v>
      </c>
      <c r="N311">
        <v>2400</v>
      </c>
    </row>
    <row r="312" spans="1:14" x14ac:dyDescent="0.25">
      <c r="A312">
        <v>115.839074</v>
      </c>
      <c r="B312" s="1">
        <f>DATE(2010,8,24) + TIME(20,8,16)</f>
        <v>40414.839074074072</v>
      </c>
      <c r="C312">
        <v>80</v>
      </c>
      <c r="D312">
        <v>79.913566588999998</v>
      </c>
      <c r="E312">
        <v>50</v>
      </c>
      <c r="F312">
        <v>14.998328209</v>
      </c>
      <c r="G312">
        <v>1386.4451904</v>
      </c>
      <c r="H312">
        <v>1372.7725829999999</v>
      </c>
      <c r="I312">
        <v>1251.7608643000001</v>
      </c>
      <c r="J312">
        <v>1212.2432861</v>
      </c>
      <c r="K312">
        <v>2400</v>
      </c>
      <c r="L312">
        <v>0</v>
      </c>
      <c r="M312">
        <v>0</v>
      </c>
      <c r="N312">
        <v>2400</v>
      </c>
    </row>
    <row r="313" spans="1:14" x14ac:dyDescent="0.25">
      <c r="A313">
        <v>116.30490399999999</v>
      </c>
      <c r="B313" s="1">
        <f>DATE(2010,8,25) + TIME(7,19,3)</f>
        <v>40415.304895833331</v>
      </c>
      <c r="C313">
        <v>80</v>
      </c>
      <c r="D313">
        <v>79.913612365999995</v>
      </c>
      <c r="E313">
        <v>50</v>
      </c>
      <c r="F313">
        <v>14.998339653</v>
      </c>
      <c r="G313">
        <v>1386.4091797000001</v>
      </c>
      <c r="H313">
        <v>1372.7391356999999</v>
      </c>
      <c r="I313">
        <v>1251.7713623</v>
      </c>
      <c r="J313">
        <v>1212.2531738</v>
      </c>
      <c r="K313">
        <v>2400</v>
      </c>
      <c r="L313">
        <v>0</v>
      </c>
      <c r="M313">
        <v>0</v>
      </c>
      <c r="N313">
        <v>2400</v>
      </c>
    </row>
    <row r="314" spans="1:14" x14ac:dyDescent="0.25">
      <c r="A314">
        <v>116.77073300000001</v>
      </c>
      <c r="B314" s="1">
        <f>DATE(2010,8,25) + TIME(18,29,51)</f>
        <v>40415.770729166667</v>
      </c>
      <c r="C314">
        <v>80</v>
      </c>
      <c r="D314">
        <v>79.913658142000003</v>
      </c>
      <c r="E314">
        <v>50</v>
      </c>
      <c r="F314">
        <v>14.998351097</v>
      </c>
      <c r="G314">
        <v>1386.3734131000001</v>
      </c>
      <c r="H314">
        <v>1372.7059326000001</v>
      </c>
      <c r="I314">
        <v>1251.7821045000001</v>
      </c>
      <c r="J314">
        <v>1212.2630615</v>
      </c>
      <c r="K314">
        <v>2400</v>
      </c>
      <c r="L314">
        <v>0</v>
      </c>
      <c r="M314">
        <v>0</v>
      </c>
      <c r="N314">
        <v>2400</v>
      </c>
    </row>
    <row r="315" spans="1:14" x14ac:dyDescent="0.25">
      <c r="A315">
        <v>117.236563</v>
      </c>
      <c r="B315" s="1">
        <f>DATE(2010,8,26) + TIME(5,40,39)</f>
        <v>40416.236562500002</v>
      </c>
      <c r="C315">
        <v>80</v>
      </c>
      <c r="D315">
        <v>79.913711547999995</v>
      </c>
      <c r="E315">
        <v>50</v>
      </c>
      <c r="F315">
        <v>14.998361588</v>
      </c>
      <c r="G315">
        <v>1386.3378906</v>
      </c>
      <c r="H315">
        <v>1372.6727295000001</v>
      </c>
      <c r="I315">
        <v>1251.7928466999999</v>
      </c>
      <c r="J315">
        <v>1212.2729492000001</v>
      </c>
      <c r="K315">
        <v>2400</v>
      </c>
      <c r="L315">
        <v>0</v>
      </c>
      <c r="M315">
        <v>0</v>
      </c>
      <c r="N315">
        <v>2400</v>
      </c>
    </row>
    <row r="316" spans="1:14" x14ac:dyDescent="0.25">
      <c r="A316">
        <v>117.702392</v>
      </c>
      <c r="B316" s="1">
        <f>DATE(2010,8,26) + TIME(16,51,26)</f>
        <v>40416.702384259261</v>
      </c>
      <c r="C316">
        <v>80</v>
      </c>
      <c r="D316">
        <v>79.913757324000002</v>
      </c>
      <c r="E316">
        <v>50</v>
      </c>
      <c r="F316">
        <v>14.998372077999999</v>
      </c>
      <c r="G316">
        <v>1386.3023682</v>
      </c>
      <c r="H316">
        <v>1372.6397704999999</v>
      </c>
      <c r="I316">
        <v>1251.8035889</v>
      </c>
      <c r="J316">
        <v>1212.2828368999999</v>
      </c>
      <c r="K316">
        <v>2400</v>
      </c>
      <c r="L316">
        <v>0</v>
      </c>
      <c r="M316">
        <v>0</v>
      </c>
      <c r="N316">
        <v>2400</v>
      </c>
    </row>
    <row r="317" spans="1:14" x14ac:dyDescent="0.25">
      <c r="A317">
        <v>118.168221</v>
      </c>
      <c r="B317" s="1">
        <f>DATE(2010,8,27) + TIME(4,2,14)</f>
        <v>40417.168217592596</v>
      </c>
      <c r="C317">
        <v>80</v>
      </c>
      <c r="D317">
        <v>79.913803100999999</v>
      </c>
      <c r="E317">
        <v>50</v>
      </c>
      <c r="F317">
        <v>14.998383521999999</v>
      </c>
      <c r="G317">
        <v>1386.2670897999999</v>
      </c>
      <c r="H317">
        <v>1372.6069336</v>
      </c>
      <c r="I317">
        <v>1251.8144531</v>
      </c>
      <c r="J317">
        <v>1212.2928466999999</v>
      </c>
      <c r="K317">
        <v>2400</v>
      </c>
      <c r="L317">
        <v>0</v>
      </c>
      <c r="M317">
        <v>0</v>
      </c>
      <c r="N317">
        <v>2400</v>
      </c>
    </row>
    <row r="318" spans="1:14" x14ac:dyDescent="0.25">
      <c r="A318">
        <v>118.634051</v>
      </c>
      <c r="B318" s="1">
        <f>DATE(2010,8,27) + TIME(15,13,1)</f>
        <v>40417.634039351855</v>
      </c>
      <c r="C318">
        <v>80</v>
      </c>
      <c r="D318">
        <v>79.913856506000002</v>
      </c>
      <c r="E318">
        <v>50</v>
      </c>
      <c r="F318">
        <v>14.998394012</v>
      </c>
      <c r="G318">
        <v>1386.2320557</v>
      </c>
      <c r="H318">
        <v>1372.5743408000001</v>
      </c>
      <c r="I318">
        <v>1251.8253173999999</v>
      </c>
      <c r="J318">
        <v>1212.3029785000001</v>
      </c>
      <c r="K318">
        <v>2400</v>
      </c>
      <c r="L318">
        <v>0</v>
      </c>
      <c r="M318">
        <v>0</v>
      </c>
      <c r="N318">
        <v>2400</v>
      </c>
    </row>
    <row r="319" spans="1:14" x14ac:dyDescent="0.25">
      <c r="A319">
        <v>119.09988</v>
      </c>
      <c r="B319" s="1">
        <f>DATE(2010,8,28) + TIME(2,23,49)</f>
        <v>40418.099872685183</v>
      </c>
      <c r="C319">
        <v>80</v>
      </c>
      <c r="D319">
        <v>79.913902282999999</v>
      </c>
      <c r="E319">
        <v>50</v>
      </c>
      <c r="F319">
        <v>14.998404503</v>
      </c>
      <c r="G319">
        <v>1386.1970214999999</v>
      </c>
      <c r="H319">
        <v>1372.5417480000001</v>
      </c>
      <c r="I319">
        <v>1251.8361815999999</v>
      </c>
      <c r="J319">
        <v>1212.3129882999999</v>
      </c>
      <c r="K319">
        <v>2400</v>
      </c>
      <c r="L319">
        <v>0</v>
      </c>
      <c r="M319">
        <v>0</v>
      </c>
      <c r="N319">
        <v>2400</v>
      </c>
    </row>
    <row r="320" spans="1:14" x14ac:dyDescent="0.25">
      <c r="A320">
        <v>120</v>
      </c>
      <c r="B320" s="1">
        <f>DATE(2010,8,29) + TIME(0,0,0)</f>
        <v>40419</v>
      </c>
      <c r="C320">
        <v>80</v>
      </c>
      <c r="D320">
        <v>79.914009093999994</v>
      </c>
      <c r="E320">
        <v>50</v>
      </c>
      <c r="F320">
        <v>14.998419761999999</v>
      </c>
      <c r="G320">
        <v>1386.1628418</v>
      </c>
      <c r="H320">
        <v>1372.5100098</v>
      </c>
      <c r="I320">
        <v>1251.8475341999999</v>
      </c>
      <c r="J320">
        <v>1212.3234863</v>
      </c>
      <c r="K320">
        <v>2400</v>
      </c>
      <c r="L320">
        <v>0</v>
      </c>
      <c r="M320">
        <v>0</v>
      </c>
      <c r="N320">
        <v>2400</v>
      </c>
    </row>
    <row r="321" spans="1:14" x14ac:dyDescent="0.25">
      <c r="A321">
        <v>120.000001</v>
      </c>
      <c r="B321" s="1">
        <f>DATE(2010,8,29) + TIME(0,0,0)</f>
        <v>40419</v>
      </c>
      <c r="C321">
        <v>80</v>
      </c>
      <c r="D321">
        <v>79.913978576999995</v>
      </c>
      <c r="E321">
        <v>50</v>
      </c>
      <c r="F321">
        <v>14.998438835</v>
      </c>
      <c r="G321">
        <v>1380.5704346</v>
      </c>
      <c r="H321">
        <v>1372.3238524999999</v>
      </c>
      <c r="I321">
        <v>1252.0343018000001</v>
      </c>
      <c r="J321">
        <v>1229.3496094</v>
      </c>
      <c r="K321">
        <v>1375</v>
      </c>
      <c r="L321">
        <v>0</v>
      </c>
      <c r="M321">
        <v>0</v>
      </c>
      <c r="N321">
        <v>1375</v>
      </c>
    </row>
    <row r="322" spans="1:14" x14ac:dyDescent="0.25">
      <c r="A322">
        <v>120.000004</v>
      </c>
      <c r="B322" s="1">
        <f>DATE(2010,8,29) + TIME(0,0,0)</f>
        <v>40419</v>
      </c>
      <c r="C322">
        <v>80</v>
      </c>
      <c r="D322">
        <v>79.913909911999994</v>
      </c>
      <c r="E322">
        <v>50</v>
      </c>
      <c r="F322">
        <v>14.998493195</v>
      </c>
      <c r="G322">
        <v>1380.0999756000001</v>
      </c>
      <c r="H322">
        <v>1371.8536377</v>
      </c>
      <c r="I322">
        <v>1252.5623779</v>
      </c>
      <c r="J322">
        <v>1229.8778076000001</v>
      </c>
      <c r="K322">
        <v>1375</v>
      </c>
      <c r="L322">
        <v>0</v>
      </c>
      <c r="M322">
        <v>0</v>
      </c>
      <c r="N322">
        <v>1375</v>
      </c>
    </row>
    <row r="323" spans="1:14" x14ac:dyDescent="0.25">
      <c r="A323">
        <v>120.000013</v>
      </c>
      <c r="B323" s="1">
        <f>DATE(2010,8,29) + TIME(0,0,1)</f>
        <v>40419.000011574077</v>
      </c>
      <c r="C323">
        <v>80</v>
      </c>
      <c r="D323">
        <v>79.913780212000006</v>
      </c>
      <c r="E323">
        <v>50</v>
      </c>
      <c r="F323">
        <v>14.998632431000001</v>
      </c>
      <c r="G323">
        <v>1379.1503906</v>
      </c>
      <c r="H323">
        <v>1370.9042969</v>
      </c>
      <c r="I323">
        <v>1253.9129639</v>
      </c>
      <c r="J323">
        <v>1231.2285156</v>
      </c>
      <c r="K323">
        <v>1375</v>
      </c>
      <c r="L323">
        <v>0</v>
      </c>
      <c r="M323">
        <v>0</v>
      </c>
      <c r="N323">
        <v>1375</v>
      </c>
    </row>
    <row r="324" spans="1:14" x14ac:dyDescent="0.25">
      <c r="A324">
        <v>120.00004</v>
      </c>
      <c r="B324" s="1">
        <f>DATE(2010,8,29) + TIME(0,0,3)</f>
        <v>40419.000034722223</v>
      </c>
      <c r="C324">
        <v>80</v>
      </c>
      <c r="D324">
        <v>79.913581848000007</v>
      </c>
      <c r="E324">
        <v>50</v>
      </c>
      <c r="F324">
        <v>14.998918532999999</v>
      </c>
      <c r="G324">
        <v>1377.7636719</v>
      </c>
      <c r="H324">
        <v>1369.5172118999999</v>
      </c>
      <c r="I324">
        <v>1256.7023925999999</v>
      </c>
      <c r="J324">
        <v>1234.0181885</v>
      </c>
      <c r="K324">
        <v>1375</v>
      </c>
      <c r="L324">
        <v>0</v>
      </c>
      <c r="M324">
        <v>0</v>
      </c>
      <c r="N324">
        <v>1375</v>
      </c>
    </row>
    <row r="325" spans="1:14" x14ac:dyDescent="0.25">
      <c r="A325">
        <v>120.00012099999999</v>
      </c>
      <c r="B325" s="1">
        <f>DATE(2010,8,29) + TIME(0,0,10)</f>
        <v>40419.000115740739</v>
      </c>
      <c r="C325">
        <v>80</v>
      </c>
      <c r="D325">
        <v>79.913352966000005</v>
      </c>
      <c r="E325">
        <v>50</v>
      </c>
      <c r="F325">
        <v>14.999349594</v>
      </c>
      <c r="G325">
        <v>1376.2203368999999</v>
      </c>
      <c r="H325">
        <v>1367.9726562000001</v>
      </c>
      <c r="I325">
        <v>1260.8935547000001</v>
      </c>
      <c r="J325">
        <v>1238.2097168</v>
      </c>
      <c r="K325">
        <v>1375</v>
      </c>
      <c r="L325">
        <v>0</v>
      </c>
      <c r="M325">
        <v>0</v>
      </c>
      <c r="N325">
        <v>1375</v>
      </c>
    </row>
    <row r="326" spans="1:14" x14ac:dyDescent="0.25">
      <c r="A326">
        <v>120.000364</v>
      </c>
      <c r="B326" s="1">
        <f>DATE(2010,8,29) + TIME(0,0,31)</f>
        <v>40419.000358796293</v>
      </c>
      <c r="C326">
        <v>80</v>
      </c>
      <c r="D326">
        <v>79.913124084000003</v>
      </c>
      <c r="E326">
        <v>50</v>
      </c>
      <c r="F326">
        <v>14.999837875000001</v>
      </c>
      <c r="G326">
        <v>1374.6593018000001</v>
      </c>
      <c r="H326">
        <v>1366.4112548999999</v>
      </c>
      <c r="I326">
        <v>1265.6494141000001</v>
      </c>
      <c r="J326">
        <v>1242.9658202999999</v>
      </c>
      <c r="K326">
        <v>1375</v>
      </c>
      <c r="L326">
        <v>0</v>
      </c>
      <c r="M326">
        <v>0</v>
      </c>
      <c r="N326">
        <v>1375</v>
      </c>
    </row>
    <row r="327" spans="1:14" x14ac:dyDescent="0.25">
      <c r="A327">
        <v>120.001093</v>
      </c>
      <c r="B327" s="1">
        <f>DATE(2010,8,29) + TIME(0,1,34)</f>
        <v>40419.001087962963</v>
      </c>
      <c r="C327">
        <v>80</v>
      </c>
      <c r="D327">
        <v>79.912857056000007</v>
      </c>
      <c r="E327">
        <v>50</v>
      </c>
      <c r="F327">
        <v>15.000331879000001</v>
      </c>
      <c r="G327">
        <v>1373.0135498</v>
      </c>
      <c r="H327">
        <v>1364.7749022999999</v>
      </c>
      <c r="I327">
        <v>1270.4561768000001</v>
      </c>
      <c r="J327">
        <v>1247.7727050999999</v>
      </c>
      <c r="K327">
        <v>1375</v>
      </c>
      <c r="L327">
        <v>0</v>
      </c>
      <c r="M327">
        <v>0</v>
      </c>
      <c r="N327">
        <v>1375</v>
      </c>
    </row>
    <row r="328" spans="1:14" x14ac:dyDescent="0.25">
      <c r="A328">
        <v>120.00328</v>
      </c>
      <c r="B328" s="1">
        <f>DATE(2010,8,29) + TIME(0,4,43)</f>
        <v>40419.003275462965</v>
      </c>
      <c r="C328">
        <v>80</v>
      </c>
      <c r="D328">
        <v>79.912483214999995</v>
      </c>
      <c r="E328">
        <v>50</v>
      </c>
      <c r="F328">
        <v>15.00082016</v>
      </c>
      <c r="G328">
        <v>1371.0311279</v>
      </c>
      <c r="H328">
        <v>1362.8154297000001</v>
      </c>
      <c r="I328">
        <v>1275.230957</v>
      </c>
      <c r="J328">
        <v>1252.5483397999999</v>
      </c>
      <c r="K328">
        <v>1375</v>
      </c>
      <c r="L328">
        <v>0</v>
      </c>
      <c r="M328">
        <v>0</v>
      </c>
      <c r="N328">
        <v>1375</v>
      </c>
    </row>
    <row r="329" spans="1:14" x14ac:dyDescent="0.25">
      <c r="A329">
        <v>120.00984099999999</v>
      </c>
      <c r="B329" s="1">
        <f>DATE(2010,8,29) + TIME(0,14,10)</f>
        <v>40419.009837962964</v>
      </c>
      <c r="C329">
        <v>80</v>
      </c>
      <c r="D329">
        <v>79.911849975999999</v>
      </c>
      <c r="E329">
        <v>50</v>
      </c>
      <c r="F329">
        <v>15.001276969999999</v>
      </c>
      <c r="G329">
        <v>1368.5759277</v>
      </c>
      <c r="H329">
        <v>1360.3818358999999</v>
      </c>
      <c r="I329">
        <v>1279.7282714999999</v>
      </c>
      <c r="J329">
        <v>1257.050293</v>
      </c>
      <c r="K329">
        <v>1375</v>
      </c>
      <c r="L329">
        <v>0</v>
      </c>
      <c r="M329">
        <v>0</v>
      </c>
      <c r="N329">
        <v>1375</v>
      </c>
    </row>
    <row r="330" spans="1:14" x14ac:dyDescent="0.25">
      <c r="A330">
        <v>120.02952399999999</v>
      </c>
      <c r="B330" s="1">
        <f>DATE(2010,8,29) + TIME(0,42,30)</f>
        <v>40419.029513888891</v>
      </c>
      <c r="C330">
        <v>80</v>
      </c>
      <c r="D330">
        <v>79.910675049000005</v>
      </c>
      <c r="E330">
        <v>50</v>
      </c>
      <c r="F330">
        <v>15.001611710000001</v>
      </c>
      <c r="G330">
        <v>1366.2207031</v>
      </c>
      <c r="H330">
        <v>1358.0380858999999</v>
      </c>
      <c r="I330">
        <v>1283.1343993999999</v>
      </c>
      <c r="J330">
        <v>1260.4636230000001</v>
      </c>
      <c r="K330">
        <v>1375</v>
      </c>
      <c r="L330">
        <v>0</v>
      </c>
      <c r="M330">
        <v>0</v>
      </c>
      <c r="N330">
        <v>1375</v>
      </c>
    </row>
    <row r="331" spans="1:14" x14ac:dyDescent="0.25">
      <c r="A331">
        <v>120.088573</v>
      </c>
      <c r="B331" s="1">
        <f>DATE(2010,8,29) + TIME(2,7,32)</f>
        <v>40419.088564814818</v>
      </c>
      <c r="C331">
        <v>80</v>
      </c>
      <c r="D331">
        <v>79.908065796000002</v>
      </c>
      <c r="E331">
        <v>50</v>
      </c>
      <c r="F331">
        <v>15.001732826</v>
      </c>
      <c r="G331">
        <v>1364.8374022999999</v>
      </c>
      <c r="H331">
        <v>1356.6589355000001</v>
      </c>
      <c r="I331">
        <v>1284.6982422000001</v>
      </c>
      <c r="J331">
        <v>1262.0316161999999</v>
      </c>
      <c r="K331">
        <v>1375</v>
      </c>
      <c r="L331">
        <v>0</v>
      </c>
      <c r="M331">
        <v>0</v>
      </c>
      <c r="N331">
        <v>1375</v>
      </c>
    </row>
    <row r="332" spans="1:14" x14ac:dyDescent="0.25">
      <c r="A332">
        <v>120.26572</v>
      </c>
      <c r="B332" s="1">
        <f>DATE(2010,8,29) + TIME(6,22,38)</f>
        <v>40419.265717592592</v>
      </c>
      <c r="C332">
        <v>80</v>
      </c>
      <c r="D332">
        <v>79.901687621999997</v>
      </c>
      <c r="E332">
        <v>50</v>
      </c>
      <c r="F332">
        <v>15.001670837000001</v>
      </c>
      <c r="G332">
        <v>1364.4307861</v>
      </c>
      <c r="H332">
        <v>1356.2531738</v>
      </c>
      <c r="I332">
        <v>1284.9964600000001</v>
      </c>
      <c r="J332">
        <v>1262.3306885</v>
      </c>
      <c r="K332">
        <v>1375</v>
      </c>
      <c r="L332">
        <v>0</v>
      </c>
      <c r="M332">
        <v>0</v>
      </c>
      <c r="N332">
        <v>1375</v>
      </c>
    </row>
    <row r="333" spans="1:14" x14ac:dyDescent="0.25">
      <c r="A333">
        <v>120.797161</v>
      </c>
      <c r="B333" s="1">
        <f>DATE(2010,8,29) + TIME(19,7,54)</f>
        <v>40419.797152777777</v>
      </c>
      <c r="C333">
        <v>80</v>
      </c>
      <c r="D333">
        <v>79.888381957999997</v>
      </c>
      <c r="E333">
        <v>50</v>
      </c>
      <c r="F333">
        <v>15.001470566</v>
      </c>
      <c r="G333">
        <v>1364.3748779</v>
      </c>
      <c r="H333">
        <v>1356.1973877</v>
      </c>
      <c r="I333">
        <v>1285.0104980000001</v>
      </c>
      <c r="J333">
        <v>1262.3446045000001</v>
      </c>
      <c r="K333">
        <v>1375</v>
      </c>
      <c r="L333">
        <v>0</v>
      </c>
      <c r="M333">
        <v>0</v>
      </c>
      <c r="N333">
        <v>1375</v>
      </c>
    </row>
    <row r="334" spans="1:14" x14ac:dyDescent="0.25">
      <c r="A334">
        <v>122.35987299999999</v>
      </c>
      <c r="B334" s="1">
        <f>DATE(2010,8,31) + TIME(8,38,13)</f>
        <v>40421.359872685185</v>
      </c>
      <c r="C334">
        <v>80</v>
      </c>
      <c r="D334">
        <v>79.871078491000006</v>
      </c>
      <c r="E334">
        <v>50</v>
      </c>
      <c r="F334">
        <v>15.001155853</v>
      </c>
      <c r="G334">
        <v>1364.3603516000001</v>
      </c>
      <c r="H334">
        <v>1356.1839600000001</v>
      </c>
      <c r="I334">
        <v>1285.0144043</v>
      </c>
      <c r="J334">
        <v>1262.3477783000001</v>
      </c>
      <c r="K334">
        <v>1375</v>
      </c>
      <c r="L334">
        <v>0</v>
      </c>
      <c r="M334">
        <v>0</v>
      </c>
      <c r="N334">
        <v>1375</v>
      </c>
    </row>
    <row r="335" spans="1:14" x14ac:dyDescent="0.25">
      <c r="A335">
        <v>123.92879600000001</v>
      </c>
      <c r="B335" s="1">
        <f>DATE(2010,9,1) + TIME(22,17,27)</f>
        <v>40422.928784722222</v>
      </c>
      <c r="C335">
        <v>80</v>
      </c>
      <c r="D335">
        <v>79.863456725999995</v>
      </c>
      <c r="E335">
        <v>50</v>
      </c>
      <c r="F335">
        <v>15.00094223</v>
      </c>
      <c r="G335">
        <v>1364.3233643000001</v>
      </c>
      <c r="H335">
        <v>1356.1513672000001</v>
      </c>
      <c r="I335">
        <v>1285.0269774999999</v>
      </c>
      <c r="J335">
        <v>1262.3587646000001</v>
      </c>
      <c r="K335">
        <v>1375</v>
      </c>
      <c r="L335">
        <v>0</v>
      </c>
      <c r="M335">
        <v>0</v>
      </c>
      <c r="N335">
        <v>1375</v>
      </c>
    </row>
    <row r="336" spans="1:14" x14ac:dyDescent="0.25">
      <c r="A336">
        <v>125.515576</v>
      </c>
      <c r="B336" s="1">
        <f>DATE(2010,9,3) + TIME(12,22,25)</f>
        <v>40424.515567129631</v>
      </c>
      <c r="C336">
        <v>80</v>
      </c>
      <c r="D336">
        <v>79.860160828000005</v>
      </c>
      <c r="E336">
        <v>50</v>
      </c>
      <c r="F336">
        <v>15.000790596</v>
      </c>
      <c r="G336">
        <v>1364.2863769999999</v>
      </c>
      <c r="H336">
        <v>1356.1186522999999</v>
      </c>
      <c r="I336">
        <v>1285.0397949000001</v>
      </c>
      <c r="J336">
        <v>1262.3699951000001</v>
      </c>
      <c r="K336">
        <v>1375</v>
      </c>
      <c r="L336">
        <v>0</v>
      </c>
      <c r="M336">
        <v>0</v>
      </c>
      <c r="N336">
        <v>1375</v>
      </c>
    </row>
    <row r="337" spans="1:14" x14ac:dyDescent="0.25">
      <c r="A337">
        <v>127.112641</v>
      </c>
      <c r="B337" s="1">
        <f>DATE(2010,9,5) + TIME(2,42,12)</f>
        <v>40426.112638888888</v>
      </c>
      <c r="C337">
        <v>80</v>
      </c>
      <c r="D337">
        <v>79.858840942</v>
      </c>
      <c r="E337">
        <v>50</v>
      </c>
      <c r="F337">
        <v>15.00067997</v>
      </c>
      <c r="G337">
        <v>1364.2492675999999</v>
      </c>
      <c r="H337">
        <v>1356.0856934000001</v>
      </c>
      <c r="I337">
        <v>1285.0528564000001</v>
      </c>
      <c r="J337">
        <v>1262.3815918</v>
      </c>
      <c r="K337">
        <v>1375</v>
      </c>
      <c r="L337">
        <v>0</v>
      </c>
      <c r="M337">
        <v>0</v>
      </c>
      <c r="N337">
        <v>1375</v>
      </c>
    </row>
    <row r="338" spans="1:14" x14ac:dyDescent="0.25">
      <c r="A338">
        <v>128.717714</v>
      </c>
      <c r="B338" s="1">
        <f>DATE(2010,9,6) + TIME(17,13,30)</f>
        <v>40427.71770833333</v>
      </c>
      <c r="C338">
        <v>80</v>
      </c>
      <c r="D338">
        <v>79.858398437999995</v>
      </c>
      <c r="E338">
        <v>50</v>
      </c>
      <c r="F338">
        <v>15.000598907000001</v>
      </c>
      <c r="G338">
        <v>1364.2120361</v>
      </c>
      <c r="H338">
        <v>1356.0526123</v>
      </c>
      <c r="I338">
        <v>1285.0661620999999</v>
      </c>
      <c r="J338">
        <v>1262.3933105000001</v>
      </c>
      <c r="K338">
        <v>1375</v>
      </c>
      <c r="L338">
        <v>0</v>
      </c>
      <c r="M338">
        <v>0</v>
      </c>
      <c r="N338">
        <v>1375</v>
      </c>
    </row>
    <row r="339" spans="1:14" x14ac:dyDescent="0.25">
      <c r="A339">
        <v>130.33371700000001</v>
      </c>
      <c r="B339" s="1">
        <f>DATE(2010,9,8) + TIME(8,0,33)</f>
        <v>40429.333715277775</v>
      </c>
      <c r="C339">
        <v>80</v>
      </c>
      <c r="D339">
        <v>79.858352660999998</v>
      </c>
      <c r="E339">
        <v>50</v>
      </c>
      <c r="F339">
        <v>15.000537872000001</v>
      </c>
      <c r="G339">
        <v>1364.1749268000001</v>
      </c>
      <c r="H339">
        <v>1356.0195312000001</v>
      </c>
      <c r="I339">
        <v>1285.0795897999999</v>
      </c>
      <c r="J339">
        <v>1262.4052733999999</v>
      </c>
      <c r="K339">
        <v>1375</v>
      </c>
      <c r="L339">
        <v>0</v>
      </c>
      <c r="M339">
        <v>0</v>
      </c>
      <c r="N339">
        <v>1375</v>
      </c>
    </row>
    <row r="340" spans="1:14" x14ac:dyDescent="0.25">
      <c r="A340">
        <v>131.95586399999999</v>
      </c>
      <c r="B340" s="1">
        <f>DATE(2010,9,9) + TIME(22,56,26)</f>
        <v>40430.95585648148</v>
      </c>
      <c r="C340">
        <v>80</v>
      </c>
      <c r="D340">
        <v>79.858489989999995</v>
      </c>
      <c r="E340">
        <v>50</v>
      </c>
      <c r="F340">
        <v>15.000492096</v>
      </c>
      <c r="G340">
        <v>1364.1378173999999</v>
      </c>
      <c r="H340">
        <v>1355.9864502</v>
      </c>
      <c r="I340">
        <v>1285.0933838000001</v>
      </c>
      <c r="J340">
        <v>1262.4173584</v>
      </c>
      <c r="K340">
        <v>1375</v>
      </c>
      <c r="L340">
        <v>0</v>
      </c>
      <c r="M340">
        <v>0</v>
      </c>
      <c r="N340">
        <v>1375</v>
      </c>
    </row>
    <row r="341" spans="1:14" x14ac:dyDescent="0.25">
      <c r="A341">
        <v>132.76988800000001</v>
      </c>
      <c r="B341" s="1">
        <f>DATE(2010,9,10) + TIME(18,28,38)</f>
        <v>40431.769884259258</v>
      </c>
      <c r="C341">
        <v>80</v>
      </c>
      <c r="D341">
        <v>79.858573914000004</v>
      </c>
      <c r="E341">
        <v>50</v>
      </c>
      <c r="F341">
        <v>15.000471115</v>
      </c>
      <c r="G341">
        <v>1364.1004639</v>
      </c>
      <c r="H341">
        <v>1355.9530029</v>
      </c>
      <c r="I341">
        <v>1285.1071777</v>
      </c>
      <c r="J341">
        <v>1262.4294434000001</v>
      </c>
      <c r="K341">
        <v>1375</v>
      </c>
      <c r="L341">
        <v>0</v>
      </c>
      <c r="M341">
        <v>0</v>
      </c>
      <c r="N341">
        <v>1375</v>
      </c>
    </row>
    <row r="342" spans="1:14" x14ac:dyDescent="0.25">
      <c r="A342">
        <v>133.583913</v>
      </c>
      <c r="B342" s="1">
        <f>DATE(2010,9,11) + TIME(14,0,50)</f>
        <v>40432.583912037036</v>
      </c>
      <c r="C342">
        <v>80</v>
      </c>
      <c r="D342">
        <v>79.858680724999999</v>
      </c>
      <c r="E342">
        <v>50</v>
      </c>
      <c r="F342">
        <v>15.000454903</v>
      </c>
      <c r="G342">
        <v>1364.0817870999999</v>
      </c>
      <c r="H342">
        <v>1355.9362793</v>
      </c>
      <c r="I342">
        <v>1285.1143798999999</v>
      </c>
      <c r="J342">
        <v>1262.4357910000001</v>
      </c>
      <c r="K342">
        <v>1375</v>
      </c>
      <c r="L342">
        <v>0</v>
      </c>
      <c r="M342">
        <v>0</v>
      </c>
      <c r="N342">
        <v>1375</v>
      </c>
    </row>
    <row r="343" spans="1:14" x14ac:dyDescent="0.25">
      <c r="A343">
        <v>134.39793700000001</v>
      </c>
      <c r="B343" s="1">
        <f>DATE(2010,9,12) + TIME(9,33,1)</f>
        <v>40433.397928240738</v>
      </c>
      <c r="C343">
        <v>80</v>
      </c>
      <c r="D343">
        <v>79.858802795000003</v>
      </c>
      <c r="E343">
        <v>50</v>
      </c>
      <c r="F343">
        <v>15.000442505000001</v>
      </c>
      <c r="G343">
        <v>1364.0633545000001</v>
      </c>
      <c r="H343">
        <v>1355.9196777</v>
      </c>
      <c r="I343">
        <v>1285.1214600000001</v>
      </c>
      <c r="J343">
        <v>1262.4421387</v>
      </c>
      <c r="K343">
        <v>1375</v>
      </c>
      <c r="L343">
        <v>0</v>
      </c>
      <c r="M343">
        <v>0</v>
      </c>
      <c r="N343">
        <v>1375</v>
      </c>
    </row>
    <row r="344" spans="1:14" x14ac:dyDescent="0.25">
      <c r="A344">
        <v>135.211961</v>
      </c>
      <c r="B344" s="1">
        <f>DATE(2010,9,13) + TIME(5,5,13)</f>
        <v>40434.211956018517</v>
      </c>
      <c r="C344">
        <v>80</v>
      </c>
      <c r="D344">
        <v>79.858932495000005</v>
      </c>
      <c r="E344">
        <v>50</v>
      </c>
      <c r="F344">
        <v>15.000433921999999</v>
      </c>
      <c r="G344">
        <v>1364.0449219</v>
      </c>
      <c r="H344">
        <v>1355.9031981999999</v>
      </c>
      <c r="I344">
        <v>1285.1286620999999</v>
      </c>
      <c r="J344">
        <v>1262.4484863</v>
      </c>
      <c r="K344">
        <v>1375</v>
      </c>
      <c r="L344">
        <v>0</v>
      </c>
      <c r="M344">
        <v>0</v>
      </c>
      <c r="N344">
        <v>1375</v>
      </c>
    </row>
    <row r="345" spans="1:14" x14ac:dyDescent="0.25">
      <c r="A345">
        <v>136.02598499999999</v>
      </c>
      <c r="B345" s="1">
        <f>DATE(2010,9,14) + TIME(0,37,25)</f>
        <v>40435.025983796295</v>
      </c>
      <c r="C345">
        <v>80</v>
      </c>
      <c r="D345">
        <v>79.859062195000007</v>
      </c>
      <c r="E345">
        <v>50</v>
      </c>
      <c r="F345">
        <v>15.000429153000001</v>
      </c>
      <c r="G345">
        <v>1364.0266113</v>
      </c>
      <c r="H345">
        <v>1355.8867187999999</v>
      </c>
      <c r="I345">
        <v>1285.1358643000001</v>
      </c>
      <c r="J345">
        <v>1262.4548339999999</v>
      </c>
      <c r="K345">
        <v>1375</v>
      </c>
      <c r="L345">
        <v>0</v>
      </c>
      <c r="M345">
        <v>0</v>
      </c>
      <c r="N345">
        <v>1375</v>
      </c>
    </row>
    <row r="346" spans="1:14" x14ac:dyDescent="0.25">
      <c r="A346">
        <v>136.84001000000001</v>
      </c>
      <c r="B346" s="1">
        <f>DATE(2010,9,14) + TIME(20,9,36)</f>
        <v>40435.839999999997</v>
      </c>
      <c r="C346">
        <v>80</v>
      </c>
      <c r="D346">
        <v>79.859199524000005</v>
      </c>
      <c r="E346">
        <v>50</v>
      </c>
      <c r="F346">
        <v>15.000426292</v>
      </c>
      <c r="G346">
        <v>1364.0083007999999</v>
      </c>
      <c r="H346">
        <v>1355.8703613</v>
      </c>
      <c r="I346">
        <v>1285.1431885</v>
      </c>
      <c r="J346">
        <v>1262.4611815999999</v>
      </c>
      <c r="K346">
        <v>1375</v>
      </c>
      <c r="L346">
        <v>0</v>
      </c>
      <c r="M346">
        <v>0</v>
      </c>
      <c r="N346">
        <v>1375</v>
      </c>
    </row>
    <row r="347" spans="1:14" x14ac:dyDescent="0.25">
      <c r="A347">
        <v>137.654034</v>
      </c>
      <c r="B347" s="1">
        <f>DATE(2010,9,15) + TIME(15,41,48)</f>
        <v>40436.654027777775</v>
      </c>
      <c r="C347">
        <v>80</v>
      </c>
      <c r="D347">
        <v>79.859344481999997</v>
      </c>
      <c r="E347">
        <v>50</v>
      </c>
      <c r="F347">
        <v>15.000425339</v>
      </c>
      <c r="G347">
        <v>1363.9901123</v>
      </c>
      <c r="H347">
        <v>1355.8540039</v>
      </c>
      <c r="I347">
        <v>1285.1505127</v>
      </c>
      <c r="J347">
        <v>1262.4676514</v>
      </c>
      <c r="K347">
        <v>1375</v>
      </c>
      <c r="L347">
        <v>0</v>
      </c>
      <c r="M347">
        <v>0</v>
      </c>
      <c r="N347">
        <v>1375</v>
      </c>
    </row>
    <row r="348" spans="1:14" x14ac:dyDescent="0.25">
      <c r="A348">
        <v>139.282082</v>
      </c>
      <c r="B348" s="1">
        <f>DATE(2010,9,17) + TIME(6,46,11)</f>
        <v>40438.282071759262</v>
      </c>
      <c r="C348">
        <v>80</v>
      </c>
      <c r="D348">
        <v>79.859642029</v>
      </c>
      <c r="E348">
        <v>50</v>
      </c>
      <c r="F348">
        <v>15.0004282</v>
      </c>
      <c r="G348">
        <v>1363.9724120999999</v>
      </c>
      <c r="H348">
        <v>1355.8381348</v>
      </c>
      <c r="I348">
        <v>1285.1579589999999</v>
      </c>
      <c r="J348">
        <v>1262.4742432</v>
      </c>
      <c r="K348">
        <v>1375</v>
      </c>
      <c r="L348">
        <v>0</v>
      </c>
      <c r="M348">
        <v>0</v>
      </c>
      <c r="N348">
        <v>1375</v>
      </c>
    </row>
    <row r="349" spans="1:14" x14ac:dyDescent="0.25">
      <c r="A349">
        <v>140.91314700000001</v>
      </c>
      <c r="B349" s="1">
        <f>DATE(2010,9,18) + TIME(21,54,55)</f>
        <v>40439.913136574076</v>
      </c>
      <c r="C349">
        <v>80</v>
      </c>
      <c r="D349">
        <v>79.859939574999999</v>
      </c>
      <c r="E349">
        <v>50</v>
      </c>
      <c r="F349">
        <v>15.000438689999999</v>
      </c>
      <c r="G349">
        <v>1363.9365233999999</v>
      </c>
      <c r="H349">
        <v>1355.8059082</v>
      </c>
      <c r="I349">
        <v>1285.1727295000001</v>
      </c>
      <c r="J349">
        <v>1262.4871826000001</v>
      </c>
      <c r="K349">
        <v>1375</v>
      </c>
      <c r="L349">
        <v>0</v>
      </c>
      <c r="M349">
        <v>0</v>
      </c>
      <c r="N349">
        <v>1375</v>
      </c>
    </row>
    <row r="350" spans="1:14" x14ac:dyDescent="0.25">
      <c r="A350">
        <v>142.55979600000001</v>
      </c>
      <c r="B350" s="1">
        <f>DATE(2010,9,20) + TIME(13,26,6)</f>
        <v>40441.559791666667</v>
      </c>
      <c r="C350">
        <v>80</v>
      </c>
      <c r="D350">
        <v>79.860229492000002</v>
      </c>
      <c r="E350">
        <v>50</v>
      </c>
      <c r="F350">
        <v>15.000457764</v>
      </c>
      <c r="G350">
        <v>1363.9006348</v>
      </c>
      <c r="H350">
        <v>1355.7736815999999</v>
      </c>
      <c r="I350">
        <v>1285.1877440999999</v>
      </c>
      <c r="J350">
        <v>1262.5003661999999</v>
      </c>
      <c r="K350">
        <v>1375</v>
      </c>
      <c r="L350">
        <v>0</v>
      </c>
      <c r="M350">
        <v>0</v>
      </c>
      <c r="N350">
        <v>1375</v>
      </c>
    </row>
    <row r="351" spans="1:14" x14ac:dyDescent="0.25">
      <c r="A351">
        <v>144.225099</v>
      </c>
      <c r="B351" s="1">
        <f>DATE(2010,9,22) + TIME(5,24,8)</f>
        <v>40443.225092592591</v>
      </c>
      <c r="C351">
        <v>80</v>
      </c>
      <c r="D351">
        <v>79.860519409000005</v>
      </c>
      <c r="E351">
        <v>50</v>
      </c>
      <c r="F351">
        <v>15.000487328</v>
      </c>
      <c r="G351">
        <v>1363.8647461</v>
      </c>
      <c r="H351">
        <v>1355.7413329999999</v>
      </c>
      <c r="I351">
        <v>1285.2030029</v>
      </c>
      <c r="J351">
        <v>1262.5137939000001</v>
      </c>
      <c r="K351">
        <v>1375</v>
      </c>
      <c r="L351">
        <v>0</v>
      </c>
      <c r="M351">
        <v>0</v>
      </c>
      <c r="N351">
        <v>1375</v>
      </c>
    </row>
    <row r="352" spans="1:14" x14ac:dyDescent="0.25">
      <c r="A352">
        <v>145.91236499999999</v>
      </c>
      <c r="B352" s="1">
        <f>DATE(2010,9,23) + TIME(21,53,48)</f>
        <v>40444.912361111114</v>
      </c>
      <c r="C352">
        <v>80</v>
      </c>
      <c r="D352">
        <v>79.860816955999994</v>
      </c>
      <c r="E352">
        <v>50</v>
      </c>
      <c r="F352">
        <v>15.000526428000001</v>
      </c>
      <c r="G352">
        <v>1363.8287353999999</v>
      </c>
      <c r="H352">
        <v>1355.7089844</v>
      </c>
      <c r="I352">
        <v>1285.21875</v>
      </c>
      <c r="J352">
        <v>1262.5275879000001</v>
      </c>
      <c r="K352">
        <v>1375</v>
      </c>
      <c r="L352">
        <v>0</v>
      </c>
      <c r="M352">
        <v>0</v>
      </c>
      <c r="N352">
        <v>1375</v>
      </c>
    </row>
    <row r="353" spans="1:14" x14ac:dyDescent="0.25">
      <c r="A353">
        <v>146.76139800000001</v>
      </c>
      <c r="B353" s="1">
        <f>DATE(2010,9,24) + TIME(18,16,24)</f>
        <v>40445.761388888888</v>
      </c>
      <c r="C353">
        <v>80</v>
      </c>
      <c r="D353">
        <v>79.860954285000005</v>
      </c>
      <c r="E353">
        <v>50</v>
      </c>
      <c r="F353">
        <v>15.000561714</v>
      </c>
      <c r="G353">
        <v>1363.7921143000001</v>
      </c>
      <c r="H353">
        <v>1355.6760254000001</v>
      </c>
      <c r="I353">
        <v>1285.2346190999999</v>
      </c>
      <c r="J353">
        <v>1262.5413818</v>
      </c>
      <c r="K353">
        <v>1375</v>
      </c>
      <c r="L353">
        <v>0</v>
      </c>
      <c r="M353">
        <v>0</v>
      </c>
      <c r="N353">
        <v>1375</v>
      </c>
    </row>
    <row r="354" spans="1:14" x14ac:dyDescent="0.25">
      <c r="A354">
        <v>147.61043000000001</v>
      </c>
      <c r="B354" s="1">
        <f>DATE(2010,9,25) + TIME(14,39,1)</f>
        <v>40446.61042824074</v>
      </c>
      <c r="C354">
        <v>80</v>
      </c>
      <c r="D354">
        <v>79.861091614000003</v>
      </c>
      <c r="E354">
        <v>50</v>
      </c>
      <c r="F354">
        <v>15.000597954</v>
      </c>
      <c r="G354">
        <v>1363.7738036999999</v>
      </c>
      <c r="H354">
        <v>1355.6594238</v>
      </c>
      <c r="I354">
        <v>1285.2429199000001</v>
      </c>
      <c r="J354">
        <v>1262.5487060999999</v>
      </c>
      <c r="K354">
        <v>1375</v>
      </c>
      <c r="L354">
        <v>0</v>
      </c>
      <c r="M354">
        <v>0</v>
      </c>
      <c r="N354">
        <v>1375</v>
      </c>
    </row>
    <row r="355" spans="1:14" x14ac:dyDescent="0.25">
      <c r="A355">
        <v>148.459462</v>
      </c>
      <c r="B355" s="1">
        <f>DATE(2010,9,26) + TIME(11,1,37)</f>
        <v>40447.459456018521</v>
      </c>
      <c r="C355">
        <v>80</v>
      </c>
      <c r="D355">
        <v>79.861236571999996</v>
      </c>
      <c r="E355">
        <v>50</v>
      </c>
      <c r="F355">
        <v>15.000637054</v>
      </c>
      <c r="G355">
        <v>1363.7556152</v>
      </c>
      <c r="H355">
        <v>1355.6430664</v>
      </c>
      <c r="I355">
        <v>1285.2512207</v>
      </c>
      <c r="J355">
        <v>1262.5559082</v>
      </c>
      <c r="K355">
        <v>1375</v>
      </c>
      <c r="L355">
        <v>0</v>
      </c>
      <c r="M355">
        <v>0</v>
      </c>
      <c r="N355">
        <v>1375</v>
      </c>
    </row>
    <row r="356" spans="1:14" x14ac:dyDescent="0.25">
      <c r="A356">
        <v>149.30849499999999</v>
      </c>
      <c r="B356" s="1">
        <f>DATE(2010,9,27) + TIME(7,24,13)</f>
        <v>40448.308483796296</v>
      </c>
      <c r="C356">
        <v>80</v>
      </c>
      <c r="D356">
        <v>79.861381531000006</v>
      </c>
      <c r="E356">
        <v>50</v>
      </c>
      <c r="F356">
        <v>15.000678062</v>
      </c>
      <c r="G356">
        <v>1363.7375488</v>
      </c>
      <c r="H356">
        <v>1355.6267089999999</v>
      </c>
      <c r="I356">
        <v>1285.2595214999999</v>
      </c>
      <c r="J356">
        <v>1262.5632324000001</v>
      </c>
      <c r="K356">
        <v>1375</v>
      </c>
      <c r="L356">
        <v>0</v>
      </c>
      <c r="M356">
        <v>0</v>
      </c>
      <c r="N356">
        <v>1375</v>
      </c>
    </row>
    <row r="357" spans="1:14" x14ac:dyDescent="0.25">
      <c r="A357">
        <v>150.15752699999999</v>
      </c>
      <c r="B357" s="1">
        <f>DATE(2010,9,28) + TIME(3,46,50)</f>
        <v>40449.157523148147</v>
      </c>
      <c r="C357">
        <v>80</v>
      </c>
      <c r="D357">
        <v>79.861526488999999</v>
      </c>
      <c r="E357">
        <v>50</v>
      </c>
      <c r="F357">
        <v>15.000722885</v>
      </c>
      <c r="G357">
        <v>1363.7196045000001</v>
      </c>
      <c r="H357">
        <v>1355.6104736</v>
      </c>
      <c r="I357">
        <v>1285.2679443</v>
      </c>
      <c r="J357">
        <v>1262.5705565999999</v>
      </c>
      <c r="K357">
        <v>1375</v>
      </c>
      <c r="L357">
        <v>0</v>
      </c>
      <c r="M357">
        <v>0</v>
      </c>
      <c r="N357">
        <v>1375</v>
      </c>
    </row>
    <row r="358" spans="1:14" x14ac:dyDescent="0.25">
      <c r="A358">
        <v>151.00655900000001</v>
      </c>
      <c r="B358" s="1">
        <f>DATE(2010,9,29) + TIME(0,9,26)</f>
        <v>40450.006550925929</v>
      </c>
      <c r="C358">
        <v>80</v>
      </c>
      <c r="D358">
        <v>79.861671447999996</v>
      </c>
      <c r="E358">
        <v>50</v>
      </c>
      <c r="F358">
        <v>15.000772476</v>
      </c>
      <c r="G358">
        <v>1363.7016602000001</v>
      </c>
      <c r="H358">
        <v>1355.5943603999999</v>
      </c>
      <c r="I358">
        <v>1285.2763672000001</v>
      </c>
      <c r="J358">
        <v>1262.5778809000001</v>
      </c>
      <c r="K358">
        <v>1375</v>
      </c>
      <c r="L358">
        <v>0</v>
      </c>
      <c r="M358">
        <v>0</v>
      </c>
      <c r="N358">
        <v>1375</v>
      </c>
    </row>
    <row r="359" spans="1:14" x14ac:dyDescent="0.25">
      <c r="A359">
        <v>151.855592</v>
      </c>
      <c r="B359" s="1">
        <f>DATE(2010,9,29) + TIME(20,32,3)</f>
        <v>40450.855590277781</v>
      </c>
      <c r="C359">
        <v>80</v>
      </c>
      <c r="D359">
        <v>79.861816406000003</v>
      </c>
      <c r="E359">
        <v>50</v>
      </c>
      <c r="F359">
        <v>15.000825882000001</v>
      </c>
      <c r="G359">
        <v>1363.6837158000001</v>
      </c>
      <c r="H359">
        <v>1355.578125</v>
      </c>
      <c r="I359">
        <v>1285.2849120999999</v>
      </c>
      <c r="J359">
        <v>1262.5853271000001</v>
      </c>
      <c r="K359">
        <v>1375</v>
      </c>
      <c r="L359">
        <v>0</v>
      </c>
      <c r="M359">
        <v>0</v>
      </c>
      <c r="N359">
        <v>1375</v>
      </c>
    </row>
    <row r="360" spans="1:14" x14ac:dyDescent="0.25">
      <c r="A360">
        <v>152.704624</v>
      </c>
      <c r="B360" s="1">
        <f>DATE(2010,9,30) + TIME(16,54,39)</f>
        <v>40451.704618055555</v>
      </c>
      <c r="C360">
        <v>80</v>
      </c>
      <c r="D360">
        <v>79.861961364999999</v>
      </c>
      <c r="E360">
        <v>50</v>
      </c>
      <c r="F360">
        <v>15.000884056</v>
      </c>
      <c r="G360">
        <v>1363.6658935999999</v>
      </c>
      <c r="H360">
        <v>1355.5621338000001</v>
      </c>
      <c r="I360">
        <v>1285.293457</v>
      </c>
      <c r="J360">
        <v>1262.5927733999999</v>
      </c>
      <c r="K360">
        <v>1375</v>
      </c>
      <c r="L360">
        <v>0</v>
      </c>
      <c r="M360">
        <v>0</v>
      </c>
      <c r="N360">
        <v>1375</v>
      </c>
    </row>
    <row r="361" spans="1:14" x14ac:dyDescent="0.25">
      <c r="A361">
        <v>153.55365599999999</v>
      </c>
      <c r="B361" s="1">
        <f>DATE(2010,10,1) + TIME(13,17,15)</f>
        <v>40452.55364583333</v>
      </c>
      <c r="C361">
        <v>80</v>
      </c>
      <c r="D361">
        <v>79.862106323000006</v>
      </c>
      <c r="E361">
        <v>50</v>
      </c>
      <c r="F361">
        <v>15.000947952000001</v>
      </c>
      <c r="G361">
        <v>1363.6481934000001</v>
      </c>
      <c r="H361">
        <v>1355.5460204999999</v>
      </c>
      <c r="I361">
        <v>1285.302124</v>
      </c>
      <c r="J361">
        <v>1262.6002197</v>
      </c>
      <c r="K361">
        <v>1375</v>
      </c>
      <c r="L361">
        <v>0</v>
      </c>
      <c r="M361">
        <v>0</v>
      </c>
      <c r="N361">
        <v>1375</v>
      </c>
    </row>
    <row r="362" spans="1:14" x14ac:dyDescent="0.25">
      <c r="A362">
        <v>155</v>
      </c>
      <c r="B362" s="1">
        <f>DATE(2010,10,3) + TIME(0,0,0)</f>
        <v>40454</v>
      </c>
      <c r="C362">
        <v>80</v>
      </c>
      <c r="D362">
        <v>79.862365722999996</v>
      </c>
      <c r="E362">
        <v>50</v>
      </c>
      <c r="F362">
        <v>15.001042366</v>
      </c>
      <c r="G362">
        <v>1363.6307373</v>
      </c>
      <c r="H362">
        <v>1355.5302733999999</v>
      </c>
      <c r="I362">
        <v>1285.3107910000001</v>
      </c>
      <c r="J362">
        <v>1262.6079102000001</v>
      </c>
      <c r="K362">
        <v>1375</v>
      </c>
      <c r="L362">
        <v>0</v>
      </c>
      <c r="M362">
        <v>0</v>
      </c>
      <c r="N362">
        <v>1375</v>
      </c>
    </row>
    <row r="363" spans="1:14" x14ac:dyDescent="0.25">
      <c r="A363">
        <v>155.000001</v>
      </c>
      <c r="B363" s="1">
        <f>DATE(2010,10,3) + TIME(0,0,0)</f>
        <v>40454</v>
      </c>
      <c r="C363">
        <v>80</v>
      </c>
      <c r="D363">
        <v>79.862304687999995</v>
      </c>
      <c r="E363">
        <v>50</v>
      </c>
      <c r="F363">
        <v>15.001111031000001</v>
      </c>
      <c r="G363">
        <v>1355.0603027</v>
      </c>
      <c r="H363">
        <v>1349.4980469</v>
      </c>
      <c r="I363">
        <v>1305.6270752</v>
      </c>
      <c r="J363">
        <v>1285.7833252</v>
      </c>
      <c r="K363">
        <v>0</v>
      </c>
      <c r="L363">
        <v>1215</v>
      </c>
      <c r="M363">
        <v>1215</v>
      </c>
      <c r="N363">
        <v>0</v>
      </c>
    </row>
    <row r="364" spans="1:14" x14ac:dyDescent="0.25">
      <c r="A364">
        <v>155.00000399999999</v>
      </c>
      <c r="B364" s="1">
        <f>DATE(2010,10,3) + TIME(0,0,0)</f>
        <v>40454</v>
      </c>
      <c r="C364">
        <v>80</v>
      </c>
      <c r="D364">
        <v>79.862136840999995</v>
      </c>
      <c r="E364">
        <v>50</v>
      </c>
      <c r="F364">
        <v>15.001307487</v>
      </c>
      <c r="G364">
        <v>1353.8724365</v>
      </c>
      <c r="H364">
        <v>1348.3092041</v>
      </c>
      <c r="I364">
        <v>1306.9628906</v>
      </c>
      <c r="J364">
        <v>1287.1192627</v>
      </c>
      <c r="K364">
        <v>0</v>
      </c>
      <c r="L364">
        <v>1215</v>
      </c>
      <c r="M364">
        <v>1215</v>
      </c>
      <c r="N364">
        <v>0</v>
      </c>
    </row>
    <row r="365" spans="1:14" x14ac:dyDescent="0.25">
      <c r="A365">
        <v>155.000013</v>
      </c>
      <c r="B365" s="1">
        <f>DATE(2010,10,3) + TIME(0,0,1)</f>
        <v>40454.000011574077</v>
      </c>
      <c r="C365">
        <v>80</v>
      </c>
      <c r="D365">
        <v>79.861793517999999</v>
      </c>
      <c r="E365">
        <v>50</v>
      </c>
      <c r="F365">
        <v>15.00183773</v>
      </c>
      <c r="G365">
        <v>1351.4736327999999</v>
      </c>
      <c r="H365">
        <v>1345.9095459</v>
      </c>
      <c r="I365">
        <v>1310.3789062000001</v>
      </c>
      <c r="J365">
        <v>1290.5355225000001</v>
      </c>
      <c r="K365">
        <v>0</v>
      </c>
      <c r="L365">
        <v>1215</v>
      </c>
      <c r="M365">
        <v>1215</v>
      </c>
      <c r="N365">
        <v>0</v>
      </c>
    </row>
    <row r="366" spans="1:14" x14ac:dyDescent="0.25">
      <c r="A366">
        <v>155.00004000000001</v>
      </c>
      <c r="B366" s="1">
        <f>DATE(2010,10,3) + TIME(0,0,3)</f>
        <v>40454.000034722223</v>
      </c>
      <c r="C366">
        <v>80</v>
      </c>
      <c r="D366">
        <v>79.861289978000002</v>
      </c>
      <c r="E366">
        <v>50</v>
      </c>
      <c r="F366">
        <v>15.003099442</v>
      </c>
      <c r="G366">
        <v>1347.9677733999999</v>
      </c>
      <c r="H366">
        <v>1342.4045410000001</v>
      </c>
      <c r="I366">
        <v>1317.4343262</v>
      </c>
      <c r="J366">
        <v>1297.5914307</v>
      </c>
      <c r="K366">
        <v>0</v>
      </c>
      <c r="L366">
        <v>1215</v>
      </c>
      <c r="M366">
        <v>1215</v>
      </c>
      <c r="N366">
        <v>0</v>
      </c>
    </row>
    <row r="367" spans="1:14" x14ac:dyDescent="0.25">
      <c r="A367">
        <v>155.00012100000001</v>
      </c>
      <c r="B367" s="1">
        <f>DATE(2010,10,3) + TIME(0,0,10)</f>
        <v>40454.000115740739</v>
      </c>
      <c r="C367">
        <v>80</v>
      </c>
      <c r="D367">
        <v>79.860710143999995</v>
      </c>
      <c r="E367">
        <v>50</v>
      </c>
      <c r="F367">
        <v>15.00579834</v>
      </c>
      <c r="G367">
        <v>1344.0557861</v>
      </c>
      <c r="H367">
        <v>1338.5015868999999</v>
      </c>
      <c r="I367">
        <v>1328.0344238</v>
      </c>
      <c r="J367">
        <v>1308.1928711</v>
      </c>
      <c r="K367">
        <v>0</v>
      </c>
      <c r="L367">
        <v>1215</v>
      </c>
      <c r="M367">
        <v>1215</v>
      </c>
      <c r="N367">
        <v>0</v>
      </c>
    </row>
    <row r="368" spans="1:14" x14ac:dyDescent="0.25">
      <c r="A368">
        <v>155.00036399999999</v>
      </c>
      <c r="B368" s="1">
        <f>DATE(2010,10,3) + TIME(0,0,31)</f>
        <v>40454.000358796293</v>
      </c>
      <c r="C368">
        <v>80</v>
      </c>
      <c r="D368">
        <v>79.860076903999996</v>
      </c>
      <c r="E368">
        <v>50</v>
      </c>
      <c r="F368">
        <v>15.011861801</v>
      </c>
      <c r="G368">
        <v>1340.1069336</v>
      </c>
      <c r="H368">
        <v>1334.5615233999999</v>
      </c>
      <c r="I368">
        <v>1340.0588379000001</v>
      </c>
      <c r="J368">
        <v>1320.2205810999999</v>
      </c>
      <c r="K368">
        <v>0</v>
      </c>
      <c r="L368">
        <v>1215</v>
      </c>
      <c r="M368">
        <v>1215</v>
      </c>
      <c r="N368">
        <v>0</v>
      </c>
    </row>
    <row r="369" spans="1:14" x14ac:dyDescent="0.25">
      <c r="A369">
        <v>155.001093</v>
      </c>
      <c r="B369" s="1">
        <f>DATE(2010,10,3) + TIME(0,1,34)</f>
        <v>40454.001087962963</v>
      </c>
      <c r="C369">
        <v>80</v>
      </c>
      <c r="D369">
        <v>79.859260559000006</v>
      </c>
      <c r="E369">
        <v>50</v>
      </c>
      <c r="F369">
        <v>15.027583121999999</v>
      </c>
      <c r="G369">
        <v>1336.0223389</v>
      </c>
      <c r="H369">
        <v>1330.4571533000001</v>
      </c>
      <c r="I369">
        <v>1352.2023925999999</v>
      </c>
      <c r="J369">
        <v>1332.3721923999999</v>
      </c>
      <c r="K369">
        <v>0</v>
      </c>
      <c r="L369">
        <v>1215</v>
      </c>
      <c r="M369">
        <v>1215</v>
      </c>
      <c r="N369">
        <v>0</v>
      </c>
    </row>
    <row r="370" spans="1:14" x14ac:dyDescent="0.25">
      <c r="A370">
        <v>155.00327999999999</v>
      </c>
      <c r="B370" s="1">
        <f>DATE(2010,10,3) + TIME(0,4,43)</f>
        <v>40454.003275462965</v>
      </c>
      <c r="C370">
        <v>80</v>
      </c>
      <c r="D370">
        <v>79.857872009000005</v>
      </c>
      <c r="E370">
        <v>50</v>
      </c>
      <c r="F370">
        <v>15.072194099000001</v>
      </c>
      <c r="G370">
        <v>1331.2429199000001</v>
      </c>
      <c r="H370">
        <v>1325.6053466999999</v>
      </c>
      <c r="I370">
        <v>1364.2236327999999</v>
      </c>
      <c r="J370">
        <v>1344.411499</v>
      </c>
      <c r="K370">
        <v>0</v>
      </c>
      <c r="L370">
        <v>1215</v>
      </c>
      <c r="M370">
        <v>1215</v>
      </c>
      <c r="N370">
        <v>0</v>
      </c>
    </row>
    <row r="371" spans="1:14" x14ac:dyDescent="0.25">
      <c r="A371">
        <v>155.00984099999999</v>
      </c>
      <c r="B371" s="1">
        <f>DATE(2010,10,3) + TIME(0,14,10)</f>
        <v>40454.009837962964</v>
      </c>
      <c r="C371">
        <v>80</v>
      </c>
      <c r="D371">
        <v>79.854873656999999</v>
      </c>
      <c r="E371">
        <v>50</v>
      </c>
      <c r="F371">
        <v>15.203158379</v>
      </c>
      <c r="G371">
        <v>1325.3660889</v>
      </c>
      <c r="H371">
        <v>1319.6547852000001</v>
      </c>
      <c r="I371">
        <v>1375.3937988</v>
      </c>
      <c r="J371">
        <v>1355.625</v>
      </c>
      <c r="K371">
        <v>0</v>
      </c>
      <c r="L371">
        <v>1215</v>
      </c>
      <c r="M371">
        <v>1215</v>
      </c>
      <c r="N371">
        <v>0</v>
      </c>
    </row>
    <row r="372" spans="1:14" x14ac:dyDescent="0.25">
      <c r="A372">
        <v>155.02952400000001</v>
      </c>
      <c r="B372" s="1">
        <f>DATE(2010,10,3) + TIME(0,42,30)</f>
        <v>40454.029513888891</v>
      </c>
      <c r="C372">
        <v>80</v>
      </c>
      <c r="D372">
        <v>79.847610474000007</v>
      </c>
      <c r="E372">
        <v>50</v>
      </c>
      <c r="F372">
        <v>15.589912415000001</v>
      </c>
      <c r="G372">
        <v>1319.6750488</v>
      </c>
      <c r="H372">
        <v>1313.9281006000001</v>
      </c>
      <c r="I372">
        <v>1383.5506591999999</v>
      </c>
      <c r="J372">
        <v>1363.9499512</v>
      </c>
      <c r="K372">
        <v>0</v>
      </c>
      <c r="L372">
        <v>1215</v>
      </c>
      <c r="M372">
        <v>1215</v>
      </c>
      <c r="N372">
        <v>0</v>
      </c>
    </row>
    <row r="373" spans="1:14" x14ac:dyDescent="0.25">
      <c r="A373">
        <v>155.08018899999999</v>
      </c>
      <c r="B373" s="1">
        <f>DATE(2010,10,3) + TIME(1,55,28)</f>
        <v>40454.080185185187</v>
      </c>
      <c r="C373">
        <v>80</v>
      </c>
      <c r="D373">
        <v>79.830833435000002</v>
      </c>
      <c r="E373">
        <v>50</v>
      </c>
      <c r="F373">
        <v>16.557762146000002</v>
      </c>
      <c r="G373">
        <v>1316.4488524999999</v>
      </c>
      <c r="H373">
        <v>1310.6900635</v>
      </c>
      <c r="I373">
        <v>1386.5640868999999</v>
      </c>
      <c r="J373">
        <v>1367.4311522999999</v>
      </c>
      <c r="K373">
        <v>0</v>
      </c>
      <c r="L373">
        <v>1215</v>
      </c>
      <c r="M373">
        <v>1215</v>
      </c>
      <c r="N373">
        <v>0</v>
      </c>
    </row>
    <row r="374" spans="1:14" x14ac:dyDescent="0.25">
      <c r="A374">
        <v>155.13239999999999</v>
      </c>
      <c r="B374" s="1">
        <f>DATE(2010,10,3) + TIME(3,10,39)</f>
        <v>40454.132395833331</v>
      </c>
      <c r="C374">
        <v>80</v>
      </c>
      <c r="D374">
        <v>79.814033507999994</v>
      </c>
      <c r="E374">
        <v>50</v>
      </c>
      <c r="F374">
        <v>17.528543471999999</v>
      </c>
      <c r="G374">
        <v>1315.5859375</v>
      </c>
      <c r="H374">
        <v>1309.8243408000001</v>
      </c>
      <c r="I374">
        <v>1386.6136475000001</v>
      </c>
      <c r="J374">
        <v>1367.9327393000001</v>
      </c>
      <c r="K374">
        <v>0</v>
      </c>
      <c r="L374">
        <v>1215</v>
      </c>
      <c r="M374">
        <v>1215</v>
      </c>
      <c r="N374">
        <v>0</v>
      </c>
    </row>
    <row r="375" spans="1:14" x14ac:dyDescent="0.25">
      <c r="A375">
        <v>155.18611899999999</v>
      </c>
      <c r="B375" s="1">
        <f>DATE(2010,10,3) + TIME(4,28,0)</f>
        <v>40454.186111111114</v>
      </c>
      <c r="C375">
        <v>80</v>
      </c>
      <c r="D375">
        <v>79.797004700000002</v>
      </c>
      <c r="E375">
        <v>50</v>
      </c>
      <c r="F375">
        <v>18.5</v>
      </c>
      <c r="G375">
        <v>1315.3310547000001</v>
      </c>
      <c r="H375">
        <v>1309.5683594</v>
      </c>
      <c r="I375">
        <v>1386.0867920000001</v>
      </c>
      <c r="J375">
        <v>1367.8413086</v>
      </c>
      <c r="K375">
        <v>0</v>
      </c>
      <c r="L375">
        <v>1215</v>
      </c>
      <c r="M375">
        <v>1215</v>
      </c>
      <c r="N375">
        <v>0</v>
      </c>
    </row>
    <row r="376" spans="1:14" x14ac:dyDescent="0.25">
      <c r="A376">
        <v>155.241411</v>
      </c>
      <c r="B376" s="1">
        <f>DATE(2010,10,3) + TIME(5,47,37)</f>
        <v>40454.241400462961</v>
      </c>
      <c r="C376">
        <v>80</v>
      </c>
      <c r="D376">
        <v>79.779670714999995</v>
      </c>
      <c r="E376">
        <v>50</v>
      </c>
      <c r="F376">
        <v>19.471618652</v>
      </c>
      <c r="G376">
        <v>1315.2495117000001</v>
      </c>
      <c r="H376">
        <v>1309.4862060999999</v>
      </c>
      <c r="I376">
        <v>1385.4703368999999</v>
      </c>
      <c r="J376">
        <v>1367.6424560999999</v>
      </c>
      <c r="K376">
        <v>0</v>
      </c>
      <c r="L376">
        <v>1215</v>
      </c>
      <c r="M376">
        <v>1215</v>
      </c>
      <c r="N376">
        <v>0</v>
      </c>
    </row>
    <row r="377" spans="1:14" x14ac:dyDescent="0.25">
      <c r="A377">
        <v>155.29831799999999</v>
      </c>
      <c r="B377" s="1">
        <f>DATE(2010,10,3) + TIME(7,9,34)</f>
        <v>40454.298310185186</v>
      </c>
      <c r="C377">
        <v>80</v>
      </c>
      <c r="D377">
        <v>79.762008667000003</v>
      </c>
      <c r="E377">
        <v>50</v>
      </c>
      <c r="F377">
        <v>20.442796706999999</v>
      </c>
      <c r="G377">
        <v>1315.2214355000001</v>
      </c>
      <c r="H377">
        <v>1309.4575195</v>
      </c>
      <c r="I377">
        <v>1384.8635254000001</v>
      </c>
      <c r="J377">
        <v>1367.4356689000001</v>
      </c>
      <c r="K377">
        <v>0</v>
      </c>
      <c r="L377">
        <v>1215</v>
      </c>
      <c r="M377">
        <v>1215</v>
      </c>
      <c r="N377">
        <v>0</v>
      </c>
    </row>
    <row r="378" spans="1:14" x14ac:dyDescent="0.25">
      <c r="A378">
        <v>155.35691299999999</v>
      </c>
      <c r="B378" s="1">
        <f>DATE(2010,10,3) + TIME(8,33,57)</f>
        <v>40454.356909722221</v>
      </c>
      <c r="C378">
        <v>80</v>
      </c>
      <c r="D378">
        <v>79.744010924999998</v>
      </c>
      <c r="E378">
        <v>50</v>
      </c>
      <c r="F378">
        <v>21.413082122999999</v>
      </c>
      <c r="G378">
        <v>1315.2109375</v>
      </c>
      <c r="H378">
        <v>1309.4466553</v>
      </c>
      <c r="I378">
        <v>1384.2827147999999</v>
      </c>
      <c r="J378">
        <v>1367.2381591999999</v>
      </c>
      <c r="K378">
        <v>0</v>
      </c>
      <c r="L378">
        <v>1215</v>
      </c>
      <c r="M378">
        <v>1215</v>
      </c>
      <c r="N378">
        <v>0</v>
      </c>
    </row>
    <row r="379" spans="1:14" x14ac:dyDescent="0.25">
      <c r="A379">
        <v>155.417303</v>
      </c>
      <c r="B379" s="1">
        <f>DATE(2010,10,3) + TIME(10,0,55)</f>
        <v>40454.417303240742</v>
      </c>
      <c r="C379">
        <v>80</v>
      </c>
      <c r="D379">
        <v>79.725646972999996</v>
      </c>
      <c r="E379">
        <v>50</v>
      </c>
      <c r="F379">
        <v>22.381858825999998</v>
      </c>
      <c r="G379">
        <v>1315.2066649999999</v>
      </c>
      <c r="H379">
        <v>1309.4417725000001</v>
      </c>
      <c r="I379">
        <v>1383.7285156</v>
      </c>
      <c r="J379">
        <v>1367.0509033000001</v>
      </c>
      <c r="K379">
        <v>0</v>
      </c>
      <c r="L379">
        <v>1215</v>
      </c>
      <c r="M379">
        <v>1215</v>
      </c>
      <c r="N379">
        <v>0</v>
      </c>
    </row>
    <row r="380" spans="1:14" x14ac:dyDescent="0.25">
      <c r="A380">
        <v>155.47963999999999</v>
      </c>
      <c r="B380" s="1">
        <f>DATE(2010,10,3) + TIME(11,30,40)</f>
        <v>40454.479629629626</v>
      </c>
      <c r="C380">
        <v>80</v>
      </c>
      <c r="D380">
        <v>79.706878661999994</v>
      </c>
      <c r="E380">
        <v>50</v>
      </c>
      <c r="F380">
        <v>23.349494933999999</v>
      </c>
      <c r="G380">
        <v>1315.2045897999999</v>
      </c>
      <c r="H380">
        <v>1309.4392089999999</v>
      </c>
      <c r="I380">
        <v>1383.1983643000001</v>
      </c>
      <c r="J380">
        <v>1366.8726807</v>
      </c>
      <c r="K380">
        <v>0</v>
      </c>
      <c r="L380">
        <v>1215</v>
      </c>
      <c r="M380">
        <v>1215</v>
      </c>
      <c r="N380">
        <v>0</v>
      </c>
    </row>
    <row r="381" spans="1:14" x14ac:dyDescent="0.25">
      <c r="A381">
        <v>155.544061</v>
      </c>
      <c r="B381" s="1">
        <f>DATE(2010,10,3) + TIME(13,3,26)</f>
        <v>40454.544050925928</v>
      </c>
      <c r="C381">
        <v>80</v>
      </c>
      <c r="D381">
        <v>79.687690735000004</v>
      </c>
      <c r="E381">
        <v>50</v>
      </c>
      <c r="F381">
        <v>24.315916060999999</v>
      </c>
      <c r="G381">
        <v>1315.2032471</v>
      </c>
      <c r="H381">
        <v>1309.4373779</v>
      </c>
      <c r="I381">
        <v>1382.6905518000001</v>
      </c>
      <c r="J381">
        <v>1366.7022704999999</v>
      </c>
      <c r="K381">
        <v>0</v>
      </c>
      <c r="L381">
        <v>1215</v>
      </c>
      <c r="M381">
        <v>1215</v>
      </c>
      <c r="N381">
        <v>0</v>
      </c>
    </row>
    <row r="382" spans="1:14" x14ac:dyDescent="0.25">
      <c r="A382">
        <v>155.61072100000001</v>
      </c>
      <c r="B382" s="1">
        <f>DATE(2010,10,3) + TIME(14,39,26)</f>
        <v>40454.610717592594</v>
      </c>
      <c r="C382">
        <v>80</v>
      </c>
      <c r="D382">
        <v>79.668045043999996</v>
      </c>
      <c r="E382">
        <v>50</v>
      </c>
      <c r="F382">
        <v>25.281221389999999</v>
      </c>
      <c r="G382">
        <v>1315.2021483999999</v>
      </c>
      <c r="H382">
        <v>1309.4356689000001</v>
      </c>
      <c r="I382">
        <v>1382.2033690999999</v>
      </c>
      <c r="J382">
        <v>1366.5388184000001</v>
      </c>
      <c r="K382">
        <v>0</v>
      </c>
      <c r="L382">
        <v>1215</v>
      </c>
      <c r="M382">
        <v>1215</v>
      </c>
      <c r="N382">
        <v>0</v>
      </c>
    </row>
    <row r="383" spans="1:14" x14ac:dyDescent="0.25">
      <c r="A383">
        <v>155.679777</v>
      </c>
      <c r="B383" s="1">
        <f>DATE(2010,10,3) + TIME(16,18,52)</f>
        <v>40454.679768518516</v>
      </c>
      <c r="C383">
        <v>80</v>
      </c>
      <c r="D383">
        <v>79.647903442</v>
      </c>
      <c r="E383">
        <v>50</v>
      </c>
      <c r="F383">
        <v>26.245418549</v>
      </c>
      <c r="G383">
        <v>1315.2010498</v>
      </c>
      <c r="H383">
        <v>1309.434082</v>
      </c>
      <c r="I383">
        <v>1381.7355957</v>
      </c>
      <c r="J383">
        <v>1366.3817139</v>
      </c>
      <c r="K383">
        <v>0</v>
      </c>
      <c r="L383">
        <v>1215</v>
      </c>
      <c r="M383">
        <v>1215</v>
      </c>
      <c r="N383">
        <v>0</v>
      </c>
    </row>
    <row r="384" spans="1:14" x14ac:dyDescent="0.25">
      <c r="A384">
        <v>155.751397</v>
      </c>
      <c r="B384" s="1">
        <f>DATE(2010,10,3) + TIME(18,2,0)</f>
        <v>40454.751388888886</v>
      </c>
      <c r="C384">
        <v>80</v>
      </c>
      <c r="D384">
        <v>79.627250670999999</v>
      </c>
      <c r="E384">
        <v>50</v>
      </c>
      <c r="F384">
        <v>27.207666397000001</v>
      </c>
      <c r="G384">
        <v>1315.1999512</v>
      </c>
      <c r="H384">
        <v>1309.4323730000001</v>
      </c>
      <c r="I384">
        <v>1381.2862548999999</v>
      </c>
      <c r="J384">
        <v>1366.2305908000001</v>
      </c>
      <c r="K384">
        <v>0</v>
      </c>
      <c r="L384">
        <v>1215</v>
      </c>
      <c r="M384">
        <v>1215</v>
      </c>
      <c r="N384">
        <v>0</v>
      </c>
    </row>
    <row r="385" spans="1:14" x14ac:dyDescent="0.25">
      <c r="A385">
        <v>155.825827</v>
      </c>
      <c r="B385" s="1">
        <f>DATE(2010,10,3) + TIME(19,49,11)</f>
        <v>40454.825821759259</v>
      </c>
      <c r="C385">
        <v>80</v>
      </c>
      <c r="D385">
        <v>79.606018066000004</v>
      </c>
      <c r="E385">
        <v>50</v>
      </c>
      <c r="F385">
        <v>28.168275832999999</v>
      </c>
      <c r="G385">
        <v>1315.1987305</v>
      </c>
      <c r="H385">
        <v>1309.4305420000001</v>
      </c>
      <c r="I385">
        <v>1380.8542480000001</v>
      </c>
      <c r="J385">
        <v>1366.0848389</v>
      </c>
      <c r="K385">
        <v>0</v>
      </c>
      <c r="L385">
        <v>1215</v>
      </c>
      <c r="M385">
        <v>1215</v>
      </c>
      <c r="N385">
        <v>0</v>
      </c>
    </row>
    <row r="386" spans="1:14" x14ac:dyDescent="0.25">
      <c r="A386">
        <v>155.90330900000001</v>
      </c>
      <c r="B386" s="1">
        <f>DATE(2010,10,3) + TIME(21,40,45)</f>
        <v>40454.903298611112</v>
      </c>
      <c r="C386">
        <v>80</v>
      </c>
      <c r="D386">
        <v>79.584167480000005</v>
      </c>
      <c r="E386">
        <v>50</v>
      </c>
      <c r="F386">
        <v>29.12710762</v>
      </c>
      <c r="G386">
        <v>1315.1973877</v>
      </c>
      <c r="H386">
        <v>1309.4285889</v>
      </c>
      <c r="I386">
        <v>1380.4385986</v>
      </c>
      <c r="J386">
        <v>1365.9442139</v>
      </c>
      <c r="K386">
        <v>0</v>
      </c>
      <c r="L386">
        <v>1215</v>
      </c>
      <c r="M386">
        <v>1215</v>
      </c>
      <c r="N386">
        <v>0</v>
      </c>
    </row>
    <row r="387" spans="1:14" x14ac:dyDescent="0.25">
      <c r="A387">
        <v>155.984117</v>
      </c>
      <c r="B387" s="1">
        <f>DATE(2010,10,3) + TIME(23,37,7)</f>
        <v>40454.9841087963</v>
      </c>
      <c r="C387">
        <v>80</v>
      </c>
      <c r="D387">
        <v>79.561637877999999</v>
      </c>
      <c r="E387">
        <v>50</v>
      </c>
      <c r="F387">
        <v>30.084026337000001</v>
      </c>
      <c r="G387">
        <v>1315.1959228999999</v>
      </c>
      <c r="H387">
        <v>1309.4266356999999</v>
      </c>
      <c r="I387">
        <v>1380.0383300999999</v>
      </c>
      <c r="J387">
        <v>1365.8081055</v>
      </c>
      <c r="K387">
        <v>0</v>
      </c>
      <c r="L387">
        <v>1215</v>
      </c>
      <c r="M387">
        <v>1215</v>
      </c>
      <c r="N387">
        <v>0</v>
      </c>
    </row>
    <row r="388" spans="1:14" x14ac:dyDescent="0.25">
      <c r="A388">
        <v>156.06856400000001</v>
      </c>
      <c r="B388" s="1">
        <f>DATE(2010,10,4) + TIME(1,38,43)</f>
        <v>40455.068553240744</v>
      </c>
      <c r="C388">
        <v>80</v>
      </c>
      <c r="D388">
        <v>79.538375853999995</v>
      </c>
      <c r="E388">
        <v>50</v>
      </c>
      <c r="F388">
        <v>31.039018631000001</v>
      </c>
      <c r="G388">
        <v>1315.1944579999999</v>
      </c>
      <c r="H388">
        <v>1309.4244385</v>
      </c>
      <c r="I388">
        <v>1379.6523437999999</v>
      </c>
      <c r="J388">
        <v>1365.6761475000001</v>
      </c>
      <c r="K388">
        <v>0</v>
      </c>
      <c r="L388">
        <v>1215</v>
      </c>
      <c r="M388">
        <v>1215</v>
      </c>
      <c r="N388">
        <v>0</v>
      </c>
    </row>
    <row r="389" spans="1:14" x14ac:dyDescent="0.25">
      <c r="A389">
        <v>156.15699000000001</v>
      </c>
      <c r="B389" s="1">
        <f>DATE(2010,10,4) + TIME(3,46,3)</f>
        <v>40455.15697916667</v>
      </c>
      <c r="C389">
        <v>80</v>
      </c>
      <c r="D389">
        <v>79.514305114999999</v>
      </c>
      <c r="E389">
        <v>50</v>
      </c>
      <c r="F389">
        <v>31.991514206000002</v>
      </c>
      <c r="G389">
        <v>1315.192749</v>
      </c>
      <c r="H389">
        <v>1309.4221190999999</v>
      </c>
      <c r="I389">
        <v>1379.2801514</v>
      </c>
      <c r="J389">
        <v>1365.5478516000001</v>
      </c>
      <c r="K389">
        <v>0</v>
      </c>
      <c r="L389">
        <v>1215</v>
      </c>
      <c r="M389">
        <v>1215</v>
      </c>
      <c r="N389">
        <v>0</v>
      </c>
    </row>
    <row r="390" spans="1:14" x14ac:dyDescent="0.25">
      <c r="A390">
        <v>156.24982700000001</v>
      </c>
      <c r="B390" s="1">
        <f>DATE(2010,10,4) + TIME(5,59,45)</f>
        <v>40455.249826388892</v>
      </c>
      <c r="C390">
        <v>80</v>
      </c>
      <c r="D390">
        <v>79.489349364999995</v>
      </c>
      <c r="E390">
        <v>50</v>
      </c>
      <c r="F390">
        <v>32.941463470000002</v>
      </c>
      <c r="G390">
        <v>1315.190918</v>
      </c>
      <c r="H390">
        <v>1309.4196777</v>
      </c>
      <c r="I390">
        <v>1378.9205322</v>
      </c>
      <c r="J390">
        <v>1365.4229736</v>
      </c>
      <c r="K390">
        <v>0</v>
      </c>
      <c r="L390">
        <v>1215</v>
      </c>
      <c r="M390">
        <v>1215</v>
      </c>
      <c r="N390">
        <v>0</v>
      </c>
    </row>
    <row r="391" spans="1:14" x14ac:dyDescent="0.25">
      <c r="A391">
        <v>156.347555</v>
      </c>
      <c r="B391" s="1">
        <f>DATE(2010,10,4) + TIME(8,20,28)</f>
        <v>40455.347546296296</v>
      </c>
      <c r="C391">
        <v>80</v>
      </c>
      <c r="D391">
        <v>79.463417053000001</v>
      </c>
      <c r="E391">
        <v>50</v>
      </c>
      <c r="F391">
        <v>33.888595580999997</v>
      </c>
      <c r="G391">
        <v>1315.1889647999999</v>
      </c>
      <c r="H391">
        <v>1309.4171143000001</v>
      </c>
      <c r="I391">
        <v>1378.5729980000001</v>
      </c>
      <c r="J391">
        <v>1365.3010254000001</v>
      </c>
      <c r="K391">
        <v>0</v>
      </c>
      <c r="L391">
        <v>1215</v>
      </c>
      <c r="M391">
        <v>1215</v>
      </c>
      <c r="N391">
        <v>0</v>
      </c>
    </row>
    <row r="392" spans="1:14" x14ac:dyDescent="0.25">
      <c r="A392">
        <v>156.450738</v>
      </c>
      <c r="B392" s="1">
        <f>DATE(2010,10,4) + TIME(10,49,3)</f>
        <v>40455.450729166667</v>
      </c>
      <c r="C392">
        <v>80</v>
      </c>
      <c r="D392">
        <v>79.436386107999994</v>
      </c>
      <c r="E392">
        <v>50</v>
      </c>
      <c r="F392">
        <v>34.832607269</v>
      </c>
      <c r="G392">
        <v>1315.1868896000001</v>
      </c>
      <c r="H392">
        <v>1309.4143065999999</v>
      </c>
      <c r="I392">
        <v>1378.2364502</v>
      </c>
      <c r="J392">
        <v>1365.1813964999999</v>
      </c>
      <c r="K392">
        <v>0</v>
      </c>
      <c r="L392">
        <v>1215</v>
      </c>
      <c r="M392">
        <v>1215</v>
      </c>
      <c r="N392">
        <v>0</v>
      </c>
    </row>
    <row r="393" spans="1:14" x14ac:dyDescent="0.25">
      <c r="A393">
        <v>156.56004100000001</v>
      </c>
      <c r="B393" s="1">
        <f>DATE(2010,10,4) + TIME(13,26,27)</f>
        <v>40455.560034722221</v>
      </c>
      <c r="C393">
        <v>80</v>
      </c>
      <c r="D393">
        <v>79.408142089999998</v>
      </c>
      <c r="E393">
        <v>50</v>
      </c>
      <c r="F393">
        <v>35.773128509999999</v>
      </c>
      <c r="G393">
        <v>1315.1846923999999</v>
      </c>
      <c r="H393">
        <v>1309.4113769999999</v>
      </c>
      <c r="I393">
        <v>1377.9101562000001</v>
      </c>
      <c r="J393">
        <v>1365.0637207</v>
      </c>
      <c r="K393">
        <v>0</v>
      </c>
      <c r="L393">
        <v>1215</v>
      </c>
      <c r="M393">
        <v>1215</v>
      </c>
      <c r="N393">
        <v>0</v>
      </c>
    </row>
    <row r="394" spans="1:14" x14ac:dyDescent="0.25">
      <c r="A394">
        <v>156.676256</v>
      </c>
      <c r="B394" s="1">
        <f>DATE(2010,10,4) + TIME(16,13,48)</f>
        <v>40455.676249999997</v>
      </c>
      <c r="C394">
        <v>80</v>
      </c>
      <c r="D394">
        <v>79.378540039000001</v>
      </c>
      <c r="E394">
        <v>50</v>
      </c>
      <c r="F394">
        <v>36.709735870000003</v>
      </c>
      <c r="G394">
        <v>1315.1823730000001</v>
      </c>
      <c r="H394">
        <v>1309.4082031</v>
      </c>
      <c r="I394">
        <v>1377.5933838000001</v>
      </c>
      <c r="J394">
        <v>1364.9475098</v>
      </c>
      <c r="K394">
        <v>0</v>
      </c>
      <c r="L394">
        <v>1215</v>
      </c>
      <c r="M394">
        <v>1215</v>
      </c>
      <c r="N394">
        <v>0</v>
      </c>
    </row>
    <row r="395" spans="1:14" x14ac:dyDescent="0.25">
      <c r="A395">
        <v>156.80033700000001</v>
      </c>
      <c r="B395" s="1">
        <f>DATE(2010,10,4) + TIME(19,12,29)</f>
        <v>40455.800335648149</v>
      </c>
      <c r="C395">
        <v>80</v>
      </c>
      <c r="D395">
        <v>79.347381592000005</v>
      </c>
      <c r="E395">
        <v>50</v>
      </c>
      <c r="F395">
        <v>37.641921996999997</v>
      </c>
      <c r="G395">
        <v>1315.1798096</v>
      </c>
      <c r="H395">
        <v>1309.4049072</v>
      </c>
      <c r="I395">
        <v>1377.2852783000001</v>
      </c>
      <c r="J395">
        <v>1364.8321533000001</v>
      </c>
      <c r="K395">
        <v>0</v>
      </c>
      <c r="L395">
        <v>1215</v>
      </c>
      <c r="M395">
        <v>1215</v>
      </c>
      <c r="N395">
        <v>0</v>
      </c>
    </row>
    <row r="396" spans="1:14" x14ac:dyDescent="0.25">
      <c r="A396">
        <v>156.93344500000001</v>
      </c>
      <c r="B396" s="1">
        <f>DATE(2010,10,4) + TIME(22,24,9)</f>
        <v>40455.933437500003</v>
      </c>
      <c r="C396">
        <v>80</v>
      </c>
      <c r="D396">
        <v>79.314468383999994</v>
      </c>
      <c r="E396">
        <v>50</v>
      </c>
      <c r="F396">
        <v>38.569072722999998</v>
      </c>
      <c r="G396">
        <v>1315.177124</v>
      </c>
      <c r="H396">
        <v>1309.4013672000001</v>
      </c>
      <c r="I396">
        <v>1376.9849853999999</v>
      </c>
      <c r="J396">
        <v>1364.7171631000001</v>
      </c>
      <c r="K396">
        <v>0</v>
      </c>
      <c r="L396">
        <v>1215</v>
      </c>
      <c r="M396">
        <v>1215</v>
      </c>
      <c r="N396">
        <v>0</v>
      </c>
    </row>
    <row r="397" spans="1:14" x14ac:dyDescent="0.25">
      <c r="A397">
        <v>157.077011</v>
      </c>
      <c r="B397" s="1">
        <f>DATE(2010,10,5) + TIME(1,50,53)</f>
        <v>40456.077002314814</v>
      </c>
      <c r="C397">
        <v>80</v>
      </c>
      <c r="D397">
        <v>79.279541015999996</v>
      </c>
      <c r="E397">
        <v>50</v>
      </c>
      <c r="F397">
        <v>39.490459442000002</v>
      </c>
      <c r="G397">
        <v>1315.1740723</v>
      </c>
      <c r="H397">
        <v>1309.3974608999999</v>
      </c>
      <c r="I397">
        <v>1376.6916504000001</v>
      </c>
      <c r="J397">
        <v>1364.6018065999999</v>
      </c>
      <c r="K397">
        <v>0</v>
      </c>
      <c r="L397">
        <v>1215</v>
      </c>
      <c r="M397">
        <v>1215</v>
      </c>
      <c r="N397">
        <v>0</v>
      </c>
    </row>
    <row r="398" spans="1:14" x14ac:dyDescent="0.25">
      <c r="A398">
        <v>157.23282699999999</v>
      </c>
      <c r="B398" s="1">
        <f>DATE(2010,10,5) + TIME(5,35,16)</f>
        <v>40456.232824074075</v>
      </c>
      <c r="C398">
        <v>80</v>
      </c>
      <c r="D398">
        <v>79.242263793999996</v>
      </c>
      <c r="E398">
        <v>50</v>
      </c>
      <c r="F398">
        <v>40.405273438000002</v>
      </c>
      <c r="G398">
        <v>1315.1708983999999</v>
      </c>
      <c r="H398">
        <v>1309.3934326000001</v>
      </c>
      <c r="I398">
        <v>1376.4042969</v>
      </c>
      <c r="J398">
        <v>1364.4853516000001</v>
      </c>
      <c r="K398">
        <v>0</v>
      </c>
      <c r="L398">
        <v>1215</v>
      </c>
      <c r="M398">
        <v>1215</v>
      </c>
      <c r="N398">
        <v>0</v>
      </c>
    </row>
    <row r="399" spans="1:14" x14ac:dyDescent="0.25">
      <c r="A399">
        <v>157.40306000000001</v>
      </c>
      <c r="B399" s="1">
        <f>DATE(2010,10,5) + TIME(9,40,24)</f>
        <v>40456.403055555558</v>
      </c>
      <c r="C399">
        <v>80</v>
      </c>
      <c r="D399">
        <v>79.202270507999998</v>
      </c>
      <c r="E399">
        <v>50</v>
      </c>
      <c r="F399">
        <v>41.311901093000003</v>
      </c>
      <c r="G399">
        <v>1315.1674805</v>
      </c>
      <c r="H399">
        <v>1309.3889160000001</v>
      </c>
      <c r="I399">
        <v>1376.1219481999999</v>
      </c>
      <c r="J399">
        <v>1364.3669434000001</v>
      </c>
      <c r="K399">
        <v>0</v>
      </c>
      <c r="L399">
        <v>1215</v>
      </c>
      <c r="M399">
        <v>1215</v>
      </c>
      <c r="N399">
        <v>0</v>
      </c>
    </row>
    <row r="400" spans="1:14" x14ac:dyDescent="0.25">
      <c r="A400">
        <v>157.59059500000001</v>
      </c>
      <c r="B400" s="1">
        <f>DATE(2010,10,5) + TIME(14,10,27)</f>
        <v>40456.590590277781</v>
      </c>
      <c r="C400">
        <v>80</v>
      </c>
      <c r="D400">
        <v>79.159042357999994</v>
      </c>
      <c r="E400">
        <v>50</v>
      </c>
      <c r="F400">
        <v>42.208667755</v>
      </c>
      <c r="G400">
        <v>1315.1635742000001</v>
      </c>
      <c r="H400">
        <v>1309.3841553</v>
      </c>
      <c r="I400">
        <v>1375.8438721</v>
      </c>
      <c r="J400">
        <v>1364.2457274999999</v>
      </c>
      <c r="K400">
        <v>0</v>
      </c>
      <c r="L400">
        <v>1215</v>
      </c>
      <c r="M400">
        <v>1215</v>
      </c>
      <c r="N400">
        <v>0</v>
      </c>
    </row>
    <row r="401" spans="1:14" x14ac:dyDescent="0.25">
      <c r="A401">
        <v>157.79927599999999</v>
      </c>
      <c r="B401" s="1">
        <f>DATE(2010,10,5) + TIME(19,10,57)</f>
        <v>40456.799270833333</v>
      </c>
      <c r="C401">
        <v>80</v>
      </c>
      <c r="D401">
        <v>79.111946106000005</v>
      </c>
      <c r="E401">
        <v>50</v>
      </c>
      <c r="F401">
        <v>43.093765259000001</v>
      </c>
      <c r="G401">
        <v>1315.1594238</v>
      </c>
      <c r="H401">
        <v>1309.3787841999999</v>
      </c>
      <c r="I401">
        <v>1375.5684814000001</v>
      </c>
      <c r="J401">
        <v>1364.1204834</v>
      </c>
      <c r="K401">
        <v>0</v>
      </c>
      <c r="L401">
        <v>1215</v>
      </c>
      <c r="M401">
        <v>1215</v>
      </c>
      <c r="N401">
        <v>0</v>
      </c>
    </row>
    <row r="402" spans="1:14" x14ac:dyDescent="0.25">
      <c r="A402">
        <v>158.019497</v>
      </c>
      <c r="B402" s="1">
        <f>DATE(2010,10,6) + TIME(0,28,4)</f>
        <v>40457.019490740742</v>
      </c>
      <c r="C402">
        <v>80</v>
      </c>
      <c r="D402">
        <v>79.063003539999997</v>
      </c>
      <c r="E402">
        <v>50</v>
      </c>
      <c r="F402">
        <v>43.916576384999999</v>
      </c>
      <c r="G402">
        <v>1315.1546631000001</v>
      </c>
      <c r="H402">
        <v>1309.3729248</v>
      </c>
      <c r="I402">
        <v>1375.3088379000001</v>
      </c>
      <c r="J402">
        <v>1363.9945068</v>
      </c>
      <c r="K402">
        <v>0</v>
      </c>
      <c r="L402">
        <v>1215</v>
      </c>
      <c r="M402">
        <v>1215</v>
      </c>
      <c r="N402">
        <v>0</v>
      </c>
    </row>
    <row r="403" spans="1:14" x14ac:dyDescent="0.25">
      <c r="A403">
        <v>158.240253</v>
      </c>
      <c r="B403" s="1">
        <f>DATE(2010,10,6) + TIME(5,45,57)</f>
        <v>40457.240243055552</v>
      </c>
      <c r="C403">
        <v>80</v>
      </c>
      <c r="D403">
        <v>79.014419556000007</v>
      </c>
      <c r="E403">
        <v>50</v>
      </c>
      <c r="F403">
        <v>44.642498015999998</v>
      </c>
      <c r="G403">
        <v>1315.1495361</v>
      </c>
      <c r="H403">
        <v>1309.3668213000001</v>
      </c>
      <c r="I403">
        <v>1375.0736084</v>
      </c>
      <c r="J403">
        <v>1363.8725586</v>
      </c>
      <c r="K403">
        <v>0</v>
      </c>
      <c r="L403">
        <v>1215</v>
      </c>
      <c r="M403">
        <v>1215</v>
      </c>
      <c r="N403">
        <v>0</v>
      </c>
    </row>
    <row r="404" spans="1:14" x14ac:dyDescent="0.25">
      <c r="A404">
        <v>158.46319299999999</v>
      </c>
      <c r="B404" s="1">
        <f>DATE(2010,10,6) + TIME(11,6,59)</f>
        <v>40457.463182870371</v>
      </c>
      <c r="C404">
        <v>80</v>
      </c>
      <c r="D404">
        <v>78.965843200999998</v>
      </c>
      <c r="E404">
        <v>50</v>
      </c>
      <c r="F404">
        <v>45.286487579000003</v>
      </c>
      <c r="G404">
        <v>1315.1444091999999</v>
      </c>
      <c r="H404">
        <v>1309.3605957</v>
      </c>
      <c r="I404">
        <v>1374.8588867000001</v>
      </c>
      <c r="J404">
        <v>1363.7558594</v>
      </c>
      <c r="K404">
        <v>0</v>
      </c>
      <c r="L404">
        <v>1215</v>
      </c>
      <c r="M404">
        <v>1215</v>
      </c>
      <c r="N404">
        <v>0</v>
      </c>
    </row>
    <row r="405" spans="1:14" x14ac:dyDescent="0.25">
      <c r="A405">
        <v>158.68948</v>
      </c>
      <c r="B405" s="1">
        <f>DATE(2010,10,6) + TIME(16,32,51)</f>
        <v>40457.689479166664</v>
      </c>
      <c r="C405">
        <v>80</v>
      </c>
      <c r="D405">
        <v>78.917045592999997</v>
      </c>
      <c r="E405">
        <v>50</v>
      </c>
      <c r="F405">
        <v>45.859272003000001</v>
      </c>
      <c r="G405">
        <v>1315.1391602000001</v>
      </c>
      <c r="H405">
        <v>1309.3543701000001</v>
      </c>
      <c r="I405">
        <v>1374.6607666</v>
      </c>
      <c r="J405">
        <v>1363.6431885</v>
      </c>
      <c r="K405">
        <v>0</v>
      </c>
      <c r="L405">
        <v>1215</v>
      </c>
      <c r="M405">
        <v>1215</v>
      </c>
      <c r="N405">
        <v>0</v>
      </c>
    </row>
    <row r="406" spans="1:14" x14ac:dyDescent="0.25">
      <c r="A406">
        <v>158.920153</v>
      </c>
      <c r="B406" s="1">
        <f>DATE(2010,10,6) + TIME(22,5,1)</f>
        <v>40457.92015046296</v>
      </c>
      <c r="C406">
        <v>80</v>
      </c>
      <c r="D406">
        <v>78.867835998999993</v>
      </c>
      <c r="E406">
        <v>50</v>
      </c>
      <c r="F406">
        <v>46.369407654</v>
      </c>
      <c r="G406">
        <v>1315.1339111</v>
      </c>
      <c r="H406">
        <v>1309.3480225000001</v>
      </c>
      <c r="I406">
        <v>1374.4764404</v>
      </c>
      <c r="J406">
        <v>1363.5334473</v>
      </c>
      <c r="K406">
        <v>0</v>
      </c>
      <c r="L406">
        <v>1215</v>
      </c>
      <c r="M406">
        <v>1215</v>
      </c>
      <c r="N406">
        <v>0</v>
      </c>
    </row>
    <row r="407" spans="1:14" x14ac:dyDescent="0.25">
      <c r="A407">
        <v>159.15626</v>
      </c>
      <c r="B407" s="1">
        <f>DATE(2010,10,7) + TIME(3,45,0)</f>
        <v>40458.15625</v>
      </c>
      <c r="C407">
        <v>80</v>
      </c>
      <c r="D407">
        <v>78.818000792999996</v>
      </c>
      <c r="E407">
        <v>50</v>
      </c>
      <c r="F407">
        <v>46.824028015000003</v>
      </c>
      <c r="G407">
        <v>1315.1285399999999</v>
      </c>
      <c r="H407">
        <v>1309.3415527</v>
      </c>
      <c r="I407">
        <v>1374.3037108999999</v>
      </c>
      <c r="J407">
        <v>1363.4260254000001</v>
      </c>
      <c r="K407">
        <v>0</v>
      </c>
      <c r="L407">
        <v>1215</v>
      </c>
      <c r="M407">
        <v>1215</v>
      </c>
      <c r="N407">
        <v>0</v>
      </c>
    </row>
    <row r="408" spans="1:14" x14ac:dyDescent="0.25">
      <c r="A408">
        <v>159.398887</v>
      </c>
      <c r="B408" s="1">
        <f>DATE(2010,10,7) + TIME(9,34,23)</f>
        <v>40458.398877314816</v>
      </c>
      <c r="C408">
        <v>80</v>
      </c>
      <c r="D408">
        <v>78.767364502000007</v>
      </c>
      <c r="E408">
        <v>50</v>
      </c>
      <c r="F408">
        <v>47.229156494000001</v>
      </c>
      <c r="G408">
        <v>1315.1229248</v>
      </c>
      <c r="H408">
        <v>1309.3349608999999</v>
      </c>
      <c r="I408">
        <v>1374.140625</v>
      </c>
      <c r="J408">
        <v>1363.3204346</v>
      </c>
      <c r="K408">
        <v>0</v>
      </c>
      <c r="L408">
        <v>1215</v>
      </c>
      <c r="M408">
        <v>1215</v>
      </c>
      <c r="N408">
        <v>0</v>
      </c>
    </row>
    <row r="409" spans="1:14" x14ac:dyDescent="0.25">
      <c r="A409">
        <v>159.649137</v>
      </c>
      <c r="B409" s="1">
        <f>DATE(2010,10,7) + TIME(15,34,45)</f>
        <v>40458.649131944447</v>
      </c>
      <c r="C409">
        <v>80</v>
      </c>
      <c r="D409">
        <v>78.715713500999996</v>
      </c>
      <c r="E409">
        <v>50</v>
      </c>
      <c r="F409">
        <v>47.589885711999997</v>
      </c>
      <c r="G409">
        <v>1315.1171875</v>
      </c>
      <c r="H409">
        <v>1309.3282471</v>
      </c>
      <c r="I409">
        <v>1373.9855957</v>
      </c>
      <c r="J409">
        <v>1363.2158202999999</v>
      </c>
      <c r="K409">
        <v>0</v>
      </c>
      <c r="L409">
        <v>1215</v>
      </c>
      <c r="M409">
        <v>1215</v>
      </c>
      <c r="N409">
        <v>0</v>
      </c>
    </row>
    <row r="410" spans="1:14" x14ac:dyDescent="0.25">
      <c r="A410">
        <v>159.90831600000001</v>
      </c>
      <c r="B410" s="1">
        <f>DATE(2010,10,7) + TIME(21,47,58)</f>
        <v>40458.908310185187</v>
      </c>
      <c r="C410">
        <v>80</v>
      </c>
      <c r="D410">
        <v>78.662841796999999</v>
      </c>
      <c r="E410">
        <v>50</v>
      </c>
      <c r="F410">
        <v>47.910743713000002</v>
      </c>
      <c r="G410">
        <v>1315.1113281</v>
      </c>
      <c r="H410">
        <v>1309.3211670000001</v>
      </c>
      <c r="I410">
        <v>1373.8375243999999</v>
      </c>
      <c r="J410">
        <v>1363.1120605000001</v>
      </c>
      <c r="K410">
        <v>0</v>
      </c>
      <c r="L410">
        <v>1215</v>
      </c>
      <c r="M410">
        <v>1215</v>
      </c>
      <c r="N410">
        <v>0</v>
      </c>
    </row>
    <row r="411" spans="1:14" x14ac:dyDescent="0.25">
      <c r="A411">
        <v>160.17767900000001</v>
      </c>
      <c r="B411" s="1">
        <f>DATE(2010,10,8) + TIME(4,15,51)</f>
        <v>40459.177673611113</v>
      </c>
      <c r="C411">
        <v>80</v>
      </c>
      <c r="D411">
        <v>78.608535767000006</v>
      </c>
      <c r="E411">
        <v>50</v>
      </c>
      <c r="F411">
        <v>48.195484161000003</v>
      </c>
      <c r="G411">
        <v>1315.1051024999999</v>
      </c>
      <c r="H411">
        <v>1309.3139647999999</v>
      </c>
      <c r="I411">
        <v>1373.6949463000001</v>
      </c>
      <c r="J411">
        <v>1363.0085449000001</v>
      </c>
      <c r="K411">
        <v>0</v>
      </c>
      <c r="L411">
        <v>1215</v>
      </c>
      <c r="M411">
        <v>1215</v>
      </c>
      <c r="N411">
        <v>0</v>
      </c>
    </row>
    <row r="412" spans="1:14" x14ac:dyDescent="0.25">
      <c r="A412">
        <v>160.45848799999999</v>
      </c>
      <c r="B412" s="1">
        <f>DATE(2010,10,8) + TIME(11,0,13)</f>
        <v>40459.458483796298</v>
      </c>
      <c r="C412">
        <v>80</v>
      </c>
      <c r="D412">
        <v>78.552597046000002</v>
      </c>
      <c r="E412">
        <v>50</v>
      </c>
      <c r="F412">
        <v>48.447349547999998</v>
      </c>
      <c r="G412">
        <v>1315.0987548999999</v>
      </c>
      <c r="H412">
        <v>1309.3063964999999</v>
      </c>
      <c r="I412">
        <v>1373.5571289</v>
      </c>
      <c r="J412">
        <v>1362.9047852000001</v>
      </c>
      <c r="K412">
        <v>0</v>
      </c>
      <c r="L412">
        <v>1215</v>
      </c>
      <c r="M412">
        <v>1215</v>
      </c>
      <c r="N412">
        <v>0</v>
      </c>
    </row>
    <row r="413" spans="1:14" x14ac:dyDescent="0.25">
      <c r="A413">
        <v>160.75245899999999</v>
      </c>
      <c r="B413" s="1">
        <f>DATE(2010,10,8) + TIME(18,3,32)</f>
        <v>40459.752453703702</v>
      </c>
      <c r="C413">
        <v>80</v>
      </c>
      <c r="D413">
        <v>78.494766235</v>
      </c>
      <c r="E413">
        <v>50</v>
      </c>
      <c r="F413">
        <v>48.669479369999998</v>
      </c>
      <c r="G413">
        <v>1315.0920410000001</v>
      </c>
      <c r="H413">
        <v>1309.2984618999999</v>
      </c>
      <c r="I413">
        <v>1373.4232178</v>
      </c>
      <c r="J413">
        <v>1362.8007812000001</v>
      </c>
      <c r="K413">
        <v>0</v>
      </c>
      <c r="L413">
        <v>1215</v>
      </c>
      <c r="M413">
        <v>1215</v>
      </c>
      <c r="N413">
        <v>0</v>
      </c>
    </row>
    <row r="414" spans="1:14" x14ac:dyDescent="0.25">
      <c r="A414">
        <v>161.061555</v>
      </c>
      <c r="B414" s="1">
        <f>DATE(2010,10,9) + TIME(1,28,38)</f>
        <v>40460.061550925922</v>
      </c>
      <c r="C414">
        <v>80</v>
      </c>
      <c r="D414">
        <v>78.434745789000004</v>
      </c>
      <c r="E414">
        <v>50</v>
      </c>
      <c r="F414">
        <v>48.864665985000002</v>
      </c>
      <c r="G414">
        <v>1315.0849608999999</v>
      </c>
      <c r="H414">
        <v>1309.2902832</v>
      </c>
      <c r="I414">
        <v>1373.2921143000001</v>
      </c>
      <c r="J414">
        <v>1362.6959228999999</v>
      </c>
      <c r="K414">
        <v>0</v>
      </c>
      <c r="L414">
        <v>1215</v>
      </c>
      <c r="M414">
        <v>1215</v>
      </c>
      <c r="N414">
        <v>0</v>
      </c>
    </row>
    <row r="415" spans="1:14" x14ac:dyDescent="0.25">
      <c r="A415">
        <v>161.38808700000001</v>
      </c>
      <c r="B415" s="1">
        <f>DATE(2010,10,9) + TIME(9,18,50)</f>
        <v>40460.388078703705</v>
      </c>
      <c r="C415">
        <v>80</v>
      </c>
      <c r="D415">
        <v>78.372177124000004</v>
      </c>
      <c r="E415">
        <v>50</v>
      </c>
      <c r="F415">
        <v>49.035423279</v>
      </c>
      <c r="G415">
        <v>1315.0775146000001</v>
      </c>
      <c r="H415">
        <v>1309.2814940999999</v>
      </c>
      <c r="I415">
        <v>1373.1632079999999</v>
      </c>
      <c r="J415">
        <v>1362.5898437999999</v>
      </c>
      <c r="K415">
        <v>0</v>
      </c>
      <c r="L415">
        <v>1215</v>
      </c>
      <c r="M415">
        <v>1215</v>
      </c>
      <c r="N415">
        <v>0</v>
      </c>
    </row>
    <row r="416" spans="1:14" x14ac:dyDescent="0.25">
      <c r="A416">
        <v>161.734802</v>
      </c>
      <c r="B416" s="1">
        <f>DATE(2010,10,9) + TIME(17,38,6)</f>
        <v>40460.734791666669</v>
      </c>
      <c r="C416">
        <v>80</v>
      </c>
      <c r="D416">
        <v>78.306678771999998</v>
      </c>
      <c r="E416">
        <v>50</v>
      </c>
      <c r="F416">
        <v>49.184040070000002</v>
      </c>
      <c r="G416">
        <v>1315.0697021000001</v>
      </c>
      <c r="H416">
        <v>1309.2723389</v>
      </c>
      <c r="I416">
        <v>1373.0356445</v>
      </c>
      <c r="J416">
        <v>1362.4820557</v>
      </c>
      <c r="K416">
        <v>0</v>
      </c>
      <c r="L416">
        <v>1215</v>
      </c>
      <c r="M416">
        <v>1215</v>
      </c>
      <c r="N416">
        <v>0</v>
      </c>
    </row>
    <row r="417" spans="1:14" x14ac:dyDescent="0.25">
      <c r="A417">
        <v>162.102351</v>
      </c>
      <c r="B417" s="1">
        <f>DATE(2010,10,10) + TIME(2,27,23)</f>
        <v>40461.102349537039</v>
      </c>
      <c r="C417">
        <v>80</v>
      </c>
      <c r="D417">
        <v>78.238189696999996</v>
      </c>
      <c r="E417">
        <v>50</v>
      </c>
      <c r="F417">
        <v>49.311855315999999</v>
      </c>
      <c r="G417">
        <v>1315.0612793</v>
      </c>
      <c r="H417">
        <v>1309.2625731999999</v>
      </c>
      <c r="I417">
        <v>1372.9088135</v>
      </c>
      <c r="J417">
        <v>1362.3723144999999</v>
      </c>
      <c r="K417">
        <v>0</v>
      </c>
      <c r="L417">
        <v>1215</v>
      </c>
      <c r="M417">
        <v>1215</v>
      </c>
      <c r="N417">
        <v>0</v>
      </c>
    </row>
    <row r="418" spans="1:14" x14ac:dyDescent="0.25">
      <c r="A418">
        <v>162.49304599999999</v>
      </c>
      <c r="B418" s="1">
        <f>DATE(2010,10,10) + TIME(11,49,59)</f>
        <v>40461.493043981478</v>
      </c>
      <c r="C418">
        <v>80</v>
      </c>
      <c r="D418">
        <v>78.166397094999994</v>
      </c>
      <c r="E418">
        <v>50</v>
      </c>
      <c r="F418">
        <v>49.420856475999997</v>
      </c>
      <c r="G418">
        <v>1315.0523682</v>
      </c>
      <c r="H418">
        <v>1309.2521973</v>
      </c>
      <c r="I418">
        <v>1372.7825928</v>
      </c>
      <c r="J418">
        <v>1362.2606201000001</v>
      </c>
      <c r="K418">
        <v>0</v>
      </c>
      <c r="L418">
        <v>1215</v>
      </c>
      <c r="M418">
        <v>1215</v>
      </c>
      <c r="N418">
        <v>0</v>
      </c>
    </row>
    <row r="419" spans="1:14" x14ac:dyDescent="0.25">
      <c r="A419">
        <v>162.91075599999999</v>
      </c>
      <c r="B419" s="1">
        <f>DATE(2010,10,10) + TIME(21,51,29)</f>
        <v>40461.910752314812</v>
      </c>
      <c r="C419">
        <v>80</v>
      </c>
      <c r="D419">
        <v>78.090782165999997</v>
      </c>
      <c r="E419">
        <v>50</v>
      </c>
      <c r="F419">
        <v>49.513183593999997</v>
      </c>
      <c r="G419">
        <v>1315.0428466999999</v>
      </c>
      <c r="H419">
        <v>1309.2412108999999</v>
      </c>
      <c r="I419">
        <v>1372.6564940999999</v>
      </c>
      <c r="J419">
        <v>1362.1469727000001</v>
      </c>
      <c r="K419">
        <v>0</v>
      </c>
      <c r="L419">
        <v>1215</v>
      </c>
      <c r="M419">
        <v>1215</v>
      </c>
      <c r="N419">
        <v>0</v>
      </c>
    </row>
    <row r="420" spans="1:14" x14ac:dyDescent="0.25">
      <c r="A420">
        <v>163.35849300000001</v>
      </c>
      <c r="B420" s="1">
        <f>DATE(2010,10,11) + TIME(8,36,13)</f>
        <v>40462.358483796299</v>
      </c>
      <c r="C420">
        <v>80</v>
      </c>
      <c r="D420">
        <v>78.010971068999993</v>
      </c>
      <c r="E420">
        <v>50</v>
      </c>
      <c r="F420">
        <v>49.590538025000001</v>
      </c>
      <c r="G420">
        <v>1315.0327147999999</v>
      </c>
      <c r="H420">
        <v>1309.2293701000001</v>
      </c>
      <c r="I420">
        <v>1372.5296631000001</v>
      </c>
      <c r="J420">
        <v>1362.0307617000001</v>
      </c>
      <c r="K420">
        <v>0</v>
      </c>
      <c r="L420">
        <v>1215</v>
      </c>
      <c r="M420">
        <v>1215</v>
      </c>
      <c r="N420">
        <v>0</v>
      </c>
    </row>
    <row r="421" spans="1:14" x14ac:dyDescent="0.25">
      <c r="A421">
        <v>163.82054299999999</v>
      </c>
      <c r="B421" s="1">
        <f>DATE(2010,10,11) + TIME(19,41,34)</f>
        <v>40462.820532407408</v>
      </c>
      <c r="C421">
        <v>80</v>
      </c>
      <c r="D421">
        <v>77.929206848000007</v>
      </c>
      <c r="E421">
        <v>50</v>
      </c>
      <c r="F421">
        <v>49.652603149000001</v>
      </c>
      <c r="G421">
        <v>1315.0216064000001</v>
      </c>
      <c r="H421">
        <v>1309.2167969</v>
      </c>
      <c r="I421">
        <v>1372.4023437999999</v>
      </c>
      <c r="J421">
        <v>1361.9119873</v>
      </c>
      <c r="K421">
        <v>0</v>
      </c>
      <c r="L421">
        <v>1215</v>
      </c>
      <c r="M421">
        <v>1215</v>
      </c>
      <c r="N421">
        <v>0</v>
      </c>
    </row>
    <row r="422" spans="1:14" x14ac:dyDescent="0.25">
      <c r="A422">
        <v>164.284659</v>
      </c>
      <c r="B422" s="1">
        <f>DATE(2010,10,12) + TIME(6,49,54)</f>
        <v>40463.28465277778</v>
      </c>
      <c r="C422">
        <v>80</v>
      </c>
      <c r="D422">
        <v>77.847290039000001</v>
      </c>
      <c r="E422">
        <v>50</v>
      </c>
      <c r="F422">
        <v>49.701126099</v>
      </c>
      <c r="G422">
        <v>1315.0101318</v>
      </c>
      <c r="H422">
        <v>1309.2036132999999</v>
      </c>
      <c r="I422">
        <v>1372.2784423999999</v>
      </c>
      <c r="J422">
        <v>1361.7950439000001</v>
      </c>
      <c r="K422">
        <v>0</v>
      </c>
      <c r="L422">
        <v>1215</v>
      </c>
      <c r="M422">
        <v>1215</v>
      </c>
      <c r="N422">
        <v>0</v>
      </c>
    </row>
    <row r="423" spans="1:14" x14ac:dyDescent="0.25">
      <c r="A423">
        <v>164.75294199999999</v>
      </c>
      <c r="B423" s="1">
        <f>DATE(2010,10,12) + TIME(18,4,14)</f>
        <v>40463.752939814818</v>
      </c>
      <c r="C423">
        <v>80</v>
      </c>
      <c r="D423">
        <v>77.765075683999996</v>
      </c>
      <c r="E423">
        <v>50</v>
      </c>
      <c r="F423">
        <v>49.739238739000001</v>
      </c>
      <c r="G423">
        <v>1314.9984131000001</v>
      </c>
      <c r="H423">
        <v>1309.1904297000001</v>
      </c>
      <c r="I423">
        <v>1372.1605225000001</v>
      </c>
      <c r="J423">
        <v>1361.6828613</v>
      </c>
      <c r="K423">
        <v>0</v>
      </c>
      <c r="L423">
        <v>1215</v>
      </c>
      <c r="M423">
        <v>1215</v>
      </c>
      <c r="N423">
        <v>0</v>
      </c>
    </row>
    <row r="424" spans="1:14" x14ac:dyDescent="0.25">
      <c r="A424">
        <v>165.22717700000001</v>
      </c>
      <c r="B424" s="1">
        <f>DATE(2010,10,13) + TIME(5,27,8)</f>
        <v>40464.227175925924</v>
      </c>
      <c r="C424">
        <v>80</v>
      </c>
      <c r="D424">
        <v>77.682411193999997</v>
      </c>
      <c r="E424">
        <v>50</v>
      </c>
      <c r="F424">
        <v>49.769283295000001</v>
      </c>
      <c r="G424">
        <v>1314.9866943</v>
      </c>
      <c r="H424">
        <v>1309.177124</v>
      </c>
      <c r="I424">
        <v>1372.0473632999999</v>
      </c>
      <c r="J424">
        <v>1361.5744629000001</v>
      </c>
      <c r="K424">
        <v>0</v>
      </c>
      <c r="L424">
        <v>1215</v>
      </c>
      <c r="M424">
        <v>1215</v>
      </c>
      <c r="N424">
        <v>0</v>
      </c>
    </row>
    <row r="425" spans="1:14" x14ac:dyDescent="0.25">
      <c r="A425">
        <v>165.70962499999999</v>
      </c>
      <c r="B425" s="1">
        <f>DATE(2010,10,13) + TIME(17,1,51)</f>
        <v>40464.709618055553</v>
      </c>
      <c r="C425">
        <v>80</v>
      </c>
      <c r="D425">
        <v>77.599052428999997</v>
      </c>
      <c r="E425">
        <v>50</v>
      </c>
      <c r="F425">
        <v>49.793067932</v>
      </c>
      <c r="G425">
        <v>1314.9748535000001</v>
      </c>
      <c r="H425">
        <v>1309.1634521000001</v>
      </c>
      <c r="I425">
        <v>1371.9381103999999</v>
      </c>
      <c r="J425">
        <v>1361.4693603999999</v>
      </c>
      <c r="K425">
        <v>0</v>
      </c>
      <c r="L425">
        <v>1215</v>
      </c>
      <c r="M425">
        <v>1215</v>
      </c>
      <c r="N425">
        <v>0</v>
      </c>
    </row>
    <row r="426" spans="1:14" x14ac:dyDescent="0.25">
      <c r="A426">
        <v>166.20245800000001</v>
      </c>
      <c r="B426" s="1">
        <f>DATE(2010,10,14) + TIME(4,51,32)</f>
        <v>40465.202453703707</v>
      </c>
      <c r="C426">
        <v>80</v>
      </c>
      <c r="D426">
        <v>77.514778136999993</v>
      </c>
      <c r="E426">
        <v>50</v>
      </c>
      <c r="F426">
        <v>49.811954497999999</v>
      </c>
      <c r="G426">
        <v>1314.9626464999999</v>
      </c>
      <c r="H426">
        <v>1309.1495361</v>
      </c>
      <c r="I426">
        <v>1371.8321533000001</v>
      </c>
      <c r="J426">
        <v>1361.3669434000001</v>
      </c>
      <c r="K426">
        <v>0</v>
      </c>
      <c r="L426">
        <v>1215</v>
      </c>
      <c r="M426">
        <v>1215</v>
      </c>
      <c r="N426">
        <v>0</v>
      </c>
    </row>
    <row r="427" spans="1:14" x14ac:dyDescent="0.25">
      <c r="A427">
        <v>166.70809</v>
      </c>
      <c r="B427" s="1">
        <f>DATE(2010,10,14) + TIME(16,59,38)</f>
        <v>40465.708078703705</v>
      </c>
      <c r="C427">
        <v>80</v>
      </c>
      <c r="D427">
        <v>77.429290770999998</v>
      </c>
      <c r="E427">
        <v>50</v>
      </c>
      <c r="F427">
        <v>49.826999663999999</v>
      </c>
      <c r="G427">
        <v>1314.9501952999999</v>
      </c>
      <c r="H427">
        <v>1309.135376</v>
      </c>
      <c r="I427">
        <v>1371.7287598</v>
      </c>
      <c r="J427">
        <v>1361.2667236</v>
      </c>
      <c r="K427">
        <v>0</v>
      </c>
      <c r="L427">
        <v>1215</v>
      </c>
      <c r="M427">
        <v>1215</v>
      </c>
      <c r="N427">
        <v>0</v>
      </c>
    </row>
    <row r="428" spans="1:14" x14ac:dyDescent="0.25">
      <c r="A428">
        <v>167.22899799999999</v>
      </c>
      <c r="B428" s="1">
        <f>DATE(2010,10,15) + TIME(5,29,45)</f>
        <v>40466.228993055556</v>
      </c>
      <c r="C428">
        <v>80</v>
      </c>
      <c r="D428">
        <v>77.342315674000005</v>
      </c>
      <c r="E428">
        <v>50</v>
      </c>
      <c r="F428">
        <v>49.839019774999997</v>
      </c>
      <c r="G428">
        <v>1314.9373779</v>
      </c>
      <c r="H428">
        <v>1309.1206055</v>
      </c>
      <c r="I428">
        <v>1371.6271973</v>
      </c>
      <c r="J428">
        <v>1361.1680908000001</v>
      </c>
      <c r="K428">
        <v>0</v>
      </c>
      <c r="L428">
        <v>1215</v>
      </c>
      <c r="M428">
        <v>1215</v>
      </c>
      <c r="N428">
        <v>0</v>
      </c>
    </row>
    <row r="429" spans="1:14" x14ac:dyDescent="0.25">
      <c r="A429">
        <v>167.767888</v>
      </c>
      <c r="B429" s="1">
        <f>DATE(2010,10,15) + TIME(18,25,45)</f>
        <v>40466.767881944441</v>
      </c>
      <c r="C429">
        <v>80</v>
      </c>
      <c r="D429">
        <v>77.253524780000006</v>
      </c>
      <c r="E429">
        <v>50</v>
      </c>
      <c r="F429">
        <v>49.848651885999999</v>
      </c>
      <c r="G429">
        <v>1314.9240723</v>
      </c>
      <c r="H429">
        <v>1309.1054687999999</v>
      </c>
      <c r="I429">
        <v>1371.5269774999999</v>
      </c>
      <c r="J429">
        <v>1361.0705565999999</v>
      </c>
      <c r="K429">
        <v>0</v>
      </c>
      <c r="L429">
        <v>1215</v>
      </c>
      <c r="M429">
        <v>1215</v>
      </c>
      <c r="N429">
        <v>0</v>
      </c>
    </row>
    <row r="430" spans="1:14" x14ac:dyDescent="0.25">
      <c r="A430">
        <v>168.327788</v>
      </c>
      <c r="B430" s="1">
        <f>DATE(2010,10,16) + TIME(7,52,0)</f>
        <v>40467.327777777777</v>
      </c>
      <c r="C430">
        <v>80</v>
      </c>
      <c r="D430">
        <v>77.162574767999999</v>
      </c>
      <c r="E430">
        <v>50</v>
      </c>
      <c r="F430">
        <v>49.856391907000003</v>
      </c>
      <c r="G430">
        <v>1314.9102783000001</v>
      </c>
      <c r="H430">
        <v>1309.0897216999999</v>
      </c>
      <c r="I430">
        <v>1371.4276123</v>
      </c>
      <c r="J430">
        <v>1360.9737548999999</v>
      </c>
      <c r="K430">
        <v>0</v>
      </c>
      <c r="L430">
        <v>1215</v>
      </c>
      <c r="M430">
        <v>1215</v>
      </c>
      <c r="N430">
        <v>0</v>
      </c>
    </row>
    <row r="431" spans="1:14" x14ac:dyDescent="0.25">
      <c r="A431">
        <v>168.91215199999999</v>
      </c>
      <c r="B431" s="1">
        <f>DATE(2010,10,16) + TIME(21,53,29)</f>
        <v>40467.912141203706</v>
      </c>
      <c r="C431">
        <v>80</v>
      </c>
      <c r="D431">
        <v>77.069068908999995</v>
      </c>
      <c r="E431">
        <v>50</v>
      </c>
      <c r="F431">
        <v>49.862636565999999</v>
      </c>
      <c r="G431">
        <v>1314.895874</v>
      </c>
      <c r="H431">
        <v>1309.0733643000001</v>
      </c>
      <c r="I431">
        <v>1371.3286132999999</v>
      </c>
      <c r="J431">
        <v>1360.8771973</v>
      </c>
      <c r="K431">
        <v>0</v>
      </c>
      <c r="L431">
        <v>1215</v>
      </c>
      <c r="M431">
        <v>1215</v>
      </c>
      <c r="N431">
        <v>0</v>
      </c>
    </row>
    <row r="432" spans="1:14" x14ac:dyDescent="0.25">
      <c r="A432">
        <v>169.52500499999999</v>
      </c>
      <c r="B432" s="1">
        <f>DATE(2010,10,17) + TIME(12,36,0)</f>
        <v>40468.525000000001</v>
      </c>
      <c r="C432">
        <v>80</v>
      </c>
      <c r="D432">
        <v>76.972549438000001</v>
      </c>
      <c r="E432">
        <v>50</v>
      </c>
      <c r="F432">
        <v>49.867698668999999</v>
      </c>
      <c r="G432">
        <v>1314.8808594</v>
      </c>
      <c r="H432">
        <v>1309.0560303</v>
      </c>
      <c r="I432">
        <v>1371.2296143000001</v>
      </c>
      <c r="J432">
        <v>1360.7806396000001</v>
      </c>
      <c r="K432">
        <v>0</v>
      </c>
      <c r="L432">
        <v>1215</v>
      </c>
      <c r="M432">
        <v>1215</v>
      </c>
      <c r="N432">
        <v>0</v>
      </c>
    </row>
    <row r="433" spans="1:14" x14ac:dyDescent="0.25">
      <c r="A433">
        <v>170.17059399999999</v>
      </c>
      <c r="B433" s="1">
        <f>DATE(2010,10,18) + TIME(4,5,39)</f>
        <v>40469.170590277776</v>
      </c>
      <c r="C433">
        <v>80</v>
      </c>
      <c r="D433">
        <v>76.872543335000003</v>
      </c>
      <c r="E433">
        <v>50</v>
      </c>
      <c r="F433">
        <v>49.871814727999997</v>
      </c>
      <c r="G433">
        <v>1314.8649902</v>
      </c>
      <c r="H433">
        <v>1309.0379639</v>
      </c>
      <c r="I433">
        <v>1371.1300048999999</v>
      </c>
      <c r="J433">
        <v>1360.6834716999999</v>
      </c>
      <c r="K433">
        <v>0</v>
      </c>
      <c r="L433">
        <v>1215</v>
      </c>
      <c r="M433">
        <v>1215</v>
      </c>
      <c r="N433">
        <v>0</v>
      </c>
    </row>
    <row r="434" spans="1:14" x14ac:dyDescent="0.25">
      <c r="A434">
        <v>170.85223500000001</v>
      </c>
      <c r="B434" s="1">
        <f>DATE(2010,10,18) + TIME(20,27,13)</f>
        <v>40469.852233796293</v>
      </c>
      <c r="C434">
        <v>80</v>
      </c>
      <c r="D434">
        <v>76.768714904999996</v>
      </c>
      <c r="E434">
        <v>50</v>
      </c>
      <c r="F434">
        <v>49.875179291000002</v>
      </c>
      <c r="G434">
        <v>1314.8481445</v>
      </c>
      <c r="H434">
        <v>1309.0186768000001</v>
      </c>
      <c r="I434">
        <v>1371.0294189000001</v>
      </c>
      <c r="J434">
        <v>1360.5854492000001</v>
      </c>
      <c r="K434">
        <v>0</v>
      </c>
      <c r="L434">
        <v>1215</v>
      </c>
      <c r="M434">
        <v>1215</v>
      </c>
      <c r="N434">
        <v>0</v>
      </c>
    </row>
    <row r="435" spans="1:14" x14ac:dyDescent="0.25">
      <c r="A435">
        <v>171.571619</v>
      </c>
      <c r="B435" s="1">
        <f>DATE(2010,10,19) + TIME(13,43,7)</f>
        <v>40470.571608796294</v>
      </c>
      <c r="C435">
        <v>80</v>
      </c>
      <c r="D435">
        <v>76.660896300999994</v>
      </c>
      <c r="E435">
        <v>50</v>
      </c>
      <c r="F435">
        <v>49.877933501999998</v>
      </c>
      <c r="G435">
        <v>1314.8302002</v>
      </c>
      <c r="H435">
        <v>1308.9982910000001</v>
      </c>
      <c r="I435">
        <v>1370.9277344</v>
      </c>
      <c r="J435">
        <v>1360.4863281</v>
      </c>
      <c r="K435">
        <v>0</v>
      </c>
      <c r="L435">
        <v>1215</v>
      </c>
      <c r="M435">
        <v>1215</v>
      </c>
      <c r="N435">
        <v>0</v>
      </c>
    </row>
    <row r="436" spans="1:14" x14ac:dyDescent="0.25">
      <c r="A436">
        <v>172.30786699999999</v>
      </c>
      <c r="B436" s="1">
        <f>DATE(2010,10,20) + TIME(7,23,19)</f>
        <v>40471.307858796295</v>
      </c>
      <c r="C436">
        <v>80</v>
      </c>
      <c r="D436">
        <v>76.551345824999999</v>
      </c>
      <c r="E436">
        <v>50</v>
      </c>
      <c r="F436">
        <v>49.880142212000003</v>
      </c>
      <c r="G436">
        <v>1314.8110352000001</v>
      </c>
      <c r="H436">
        <v>1308.9765625</v>
      </c>
      <c r="I436">
        <v>1370.8249512</v>
      </c>
      <c r="J436">
        <v>1360.3862305</v>
      </c>
      <c r="K436">
        <v>0</v>
      </c>
      <c r="L436">
        <v>1215</v>
      </c>
      <c r="M436">
        <v>1215</v>
      </c>
      <c r="N436">
        <v>0</v>
      </c>
    </row>
    <row r="437" spans="1:14" x14ac:dyDescent="0.25">
      <c r="A437">
        <v>173.04554200000001</v>
      </c>
      <c r="B437" s="1">
        <f>DATE(2010,10,21) + TIME(1,5,34)</f>
        <v>40472.045532407406</v>
      </c>
      <c r="C437">
        <v>80</v>
      </c>
      <c r="D437">
        <v>76.441902161000002</v>
      </c>
      <c r="E437">
        <v>50</v>
      </c>
      <c r="F437">
        <v>49.881900786999999</v>
      </c>
      <c r="G437">
        <v>1314.7913818</v>
      </c>
      <c r="H437">
        <v>1308.9542236</v>
      </c>
      <c r="I437">
        <v>1370.7242432</v>
      </c>
      <c r="J437">
        <v>1360.2882079999999</v>
      </c>
      <c r="K437">
        <v>0</v>
      </c>
      <c r="L437">
        <v>1215</v>
      </c>
      <c r="M437">
        <v>1215</v>
      </c>
      <c r="N437">
        <v>0</v>
      </c>
    </row>
    <row r="438" spans="1:14" x14ac:dyDescent="0.25">
      <c r="A438">
        <v>173.78860299999999</v>
      </c>
      <c r="B438" s="1">
        <f>DATE(2010,10,21) + TIME(18,55,35)</f>
        <v>40472.788599537038</v>
      </c>
      <c r="C438">
        <v>80</v>
      </c>
      <c r="D438">
        <v>76.332504271999994</v>
      </c>
      <c r="E438">
        <v>50</v>
      </c>
      <c r="F438">
        <v>49.883327483999999</v>
      </c>
      <c r="G438">
        <v>1314.7714844</v>
      </c>
      <c r="H438">
        <v>1308.9316406</v>
      </c>
      <c r="I438">
        <v>1370.6274414</v>
      </c>
      <c r="J438">
        <v>1360.1940918</v>
      </c>
      <c r="K438">
        <v>0</v>
      </c>
      <c r="L438">
        <v>1215</v>
      </c>
      <c r="M438">
        <v>1215</v>
      </c>
      <c r="N438">
        <v>0</v>
      </c>
    </row>
    <row r="439" spans="1:14" x14ac:dyDescent="0.25">
      <c r="A439">
        <v>174.54076800000001</v>
      </c>
      <c r="B439" s="1">
        <f>DATE(2010,10,22) + TIME(12,58,42)</f>
        <v>40473.540763888886</v>
      </c>
      <c r="C439">
        <v>80</v>
      </c>
      <c r="D439">
        <v>76.222946167000003</v>
      </c>
      <c r="E439">
        <v>50</v>
      </c>
      <c r="F439">
        <v>49.884506225999999</v>
      </c>
      <c r="G439">
        <v>1314.7512207</v>
      </c>
      <c r="H439">
        <v>1308.9085693</v>
      </c>
      <c r="I439">
        <v>1370.5338135</v>
      </c>
      <c r="J439">
        <v>1360.1032714999999</v>
      </c>
      <c r="K439">
        <v>0</v>
      </c>
      <c r="L439">
        <v>1215</v>
      </c>
      <c r="M439">
        <v>1215</v>
      </c>
      <c r="N439">
        <v>0</v>
      </c>
    </row>
    <row r="440" spans="1:14" x14ac:dyDescent="0.25">
      <c r="A440">
        <v>175.30564699999999</v>
      </c>
      <c r="B440" s="1">
        <f>DATE(2010,10,23) + TIME(7,20,7)</f>
        <v>40474.305636574078</v>
      </c>
      <c r="C440">
        <v>80</v>
      </c>
      <c r="D440">
        <v>76.112968445000007</v>
      </c>
      <c r="E440">
        <v>50</v>
      </c>
      <c r="F440">
        <v>49.885490417</v>
      </c>
      <c r="G440">
        <v>1314.7305908000001</v>
      </c>
      <c r="H440">
        <v>1308.8850098</v>
      </c>
      <c r="I440">
        <v>1370.4428711</v>
      </c>
      <c r="J440">
        <v>1360.0150146000001</v>
      </c>
      <c r="K440">
        <v>0</v>
      </c>
      <c r="L440">
        <v>1215</v>
      </c>
      <c r="M440">
        <v>1215</v>
      </c>
      <c r="N440">
        <v>0</v>
      </c>
    </row>
    <row r="441" spans="1:14" x14ac:dyDescent="0.25">
      <c r="A441">
        <v>176.08707200000001</v>
      </c>
      <c r="B441" s="1">
        <f>DATE(2010,10,24) + TIME(2,5,23)</f>
        <v>40475.087071759262</v>
      </c>
      <c r="C441">
        <v>80</v>
      </c>
      <c r="D441">
        <v>76.002250670999999</v>
      </c>
      <c r="E441">
        <v>50</v>
      </c>
      <c r="F441">
        <v>49.886329650999997</v>
      </c>
      <c r="G441">
        <v>1314.7094727000001</v>
      </c>
      <c r="H441">
        <v>1308.8609618999999</v>
      </c>
      <c r="I441">
        <v>1370.3538818</v>
      </c>
      <c r="J441">
        <v>1359.9287108999999</v>
      </c>
      <c r="K441">
        <v>0</v>
      </c>
      <c r="L441">
        <v>1215</v>
      </c>
      <c r="M441">
        <v>1215</v>
      </c>
      <c r="N441">
        <v>0</v>
      </c>
    </row>
    <row r="442" spans="1:14" x14ac:dyDescent="0.25">
      <c r="A442">
        <v>176.88895400000001</v>
      </c>
      <c r="B442" s="1">
        <f>DATE(2010,10,24) + TIME(21,20,5)</f>
        <v>40475.88894675926</v>
      </c>
      <c r="C442">
        <v>80</v>
      </c>
      <c r="D442">
        <v>75.890411377000007</v>
      </c>
      <c r="E442">
        <v>50</v>
      </c>
      <c r="F442">
        <v>49.887050629000001</v>
      </c>
      <c r="G442">
        <v>1314.6877440999999</v>
      </c>
      <c r="H442">
        <v>1308.8359375</v>
      </c>
      <c r="I442">
        <v>1370.2663574000001</v>
      </c>
      <c r="J442">
        <v>1359.8439940999999</v>
      </c>
      <c r="K442">
        <v>0</v>
      </c>
      <c r="L442">
        <v>1215</v>
      </c>
      <c r="M442">
        <v>1215</v>
      </c>
      <c r="N442">
        <v>0</v>
      </c>
    </row>
    <row r="443" spans="1:14" x14ac:dyDescent="0.25">
      <c r="A443">
        <v>177.71550999999999</v>
      </c>
      <c r="B443" s="1">
        <f>DATE(2010,10,25) + TIME(17,10,20)</f>
        <v>40476.715509259258</v>
      </c>
      <c r="C443">
        <v>80</v>
      </c>
      <c r="D443">
        <v>75.777053832999997</v>
      </c>
      <c r="E443">
        <v>50</v>
      </c>
      <c r="F443">
        <v>49.887680054</v>
      </c>
      <c r="G443">
        <v>1314.6651611</v>
      </c>
      <c r="H443">
        <v>1308.8101807</v>
      </c>
      <c r="I443">
        <v>1370.1798096</v>
      </c>
      <c r="J443">
        <v>1359.760376</v>
      </c>
      <c r="K443">
        <v>0</v>
      </c>
      <c r="L443">
        <v>1215</v>
      </c>
      <c r="M443">
        <v>1215</v>
      </c>
      <c r="N443">
        <v>0</v>
      </c>
    </row>
    <row r="444" spans="1:14" x14ac:dyDescent="0.25">
      <c r="A444">
        <v>178.57142899999999</v>
      </c>
      <c r="B444" s="1">
        <f>DATE(2010,10,26) + TIME(13,42,51)</f>
        <v>40477.571423611109</v>
      </c>
      <c r="C444">
        <v>80</v>
      </c>
      <c r="D444">
        <v>75.661720275999997</v>
      </c>
      <c r="E444">
        <v>50</v>
      </c>
      <c r="F444">
        <v>49.888236999999997</v>
      </c>
      <c r="G444">
        <v>1314.6417236</v>
      </c>
      <c r="H444">
        <v>1308.7832031</v>
      </c>
      <c r="I444">
        <v>1370.0938721</v>
      </c>
      <c r="J444">
        <v>1359.6774902</v>
      </c>
      <c r="K444">
        <v>0</v>
      </c>
      <c r="L444">
        <v>1215</v>
      </c>
      <c r="M444">
        <v>1215</v>
      </c>
      <c r="N444">
        <v>0</v>
      </c>
    </row>
    <row r="445" spans="1:14" x14ac:dyDescent="0.25">
      <c r="A445">
        <v>179.46202700000001</v>
      </c>
      <c r="B445" s="1">
        <f>DATE(2010,10,27) + TIME(11,5,19)</f>
        <v>40478.462025462963</v>
      </c>
      <c r="C445">
        <v>80</v>
      </c>
      <c r="D445">
        <v>75.543914795000006</v>
      </c>
      <c r="E445">
        <v>50</v>
      </c>
      <c r="F445">
        <v>49.888732910000002</v>
      </c>
      <c r="G445">
        <v>1314.6173096</v>
      </c>
      <c r="H445">
        <v>1308.7550048999999</v>
      </c>
      <c r="I445">
        <v>1370.0081786999999</v>
      </c>
      <c r="J445">
        <v>1359.5948486</v>
      </c>
      <c r="K445">
        <v>0</v>
      </c>
      <c r="L445">
        <v>1215</v>
      </c>
      <c r="M445">
        <v>1215</v>
      </c>
      <c r="N445">
        <v>0</v>
      </c>
    </row>
    <row r="446" spans="1:14" x14ac:dyDescent="0.25">
      <c r="A446">
        <v>180.391592</v>
      </c>
      <c r="B446" s="1">
        <f>DATE(2010,10,28) + TIME(9,23,53)</f>
        <v>40479.391585648147</v>
      </c>
      <c r="C446">
        <v>80</v>
      </c>
      <c r="D446">
        <v>75.423217773000005</v>
      </c>
      <c r="E446">
        <v>50</v>
      </c>
      <c r="F446">
        <v>49.889183043999999</v>
      </c>
      <c r="G446">
        <v>1314.5915527</v>
      </c>
      <c r="H446">
        <v>1308.7253418</v>
      </c>
      <c r="I446">
        <v>1369.9223632999999</v>
      </c>
      <c r="J446">
        <v>1359.5120850000001</v>
      </c>
      <c r="K446">
        <v>0</v>
      </c>
      <c r="L446">
        <v>1215</v>
      </c>
      <c r="M446">
        <v>1215</v>
      </c>
      <c r="N446">
        <v>0</v>
      </c>
    </row>
    <row r="447" spans="1:14" x14ac:dyDescent="0.25">
      <c r="A447">
        <v>181.362844</v>
      </c>
      <c r="B447" s="1">
        <f>DATE(2010,10,29) + TIME(8,42,29)</f>
        <v>40480.362835648149</v>
      </c>
      <c r="C447">
        <v>80</v>
      </c>
      <c r="D447">
        <v>75.299385071000003</v>
      </c>
      <c r="E447">
        <v>50</v>
      </c>
      <c r="F447">
        <v>49.889591217000003</v>
      </c>
      <c r="G447">
        <v>1314.5643310999999</v>
      </c>
      <c r="H447">
        <v>1308.6939697</v>
      </c>
      <c r="I447">
        <v>1369.8360596</v>
      </c>
      <c r="J447">
        <v>1359.4289550999999</v>
      </c>
      <c r="K447">
        <v>0</v>
      </c>
      <c r="L447">
        <v>1215</v>
      </c>
      <c r="M447">
        <v>1215</v>
      </c>
      <c r="N447">
        <v>0</v>
      </c>
    </row>
    <row r="448" spans="1:14" x14ac:dyDescent="0.25">
      <c r="A448">
        <v>182.37806900000001</v>
      </c>
      <c r="B448" s="1">
        <f>DATE(2010,10,30) + TIME(9,4,25)</f>
        <v>40481.378067129626</v>
      </c>
      <c r="C448">
        <v>80</v>
      </c>
      <c r="D448">
        <v>75.172233582000004</v>
      </c>
      <c r="E448">
        <v>50</v>
      </c>
      <c r="F448">
        <v>49.889968871999997</v>
      </c>
      <c r="G448">
        <v>1314.5356445</v>
      </c>
      <c r="H448">
        <v>1308.6607666</v>
      </c>
      <c r="I448">
        <v>1369.7491454999999</v>
      </c>
      <c r="J448">
        <v>1359.3454589999999</v>
      </c>
      <c r="K448">
        <v>0</v>
      </c>
      <c r="L448">
        <v>1215</v>
      </c>
      <c r="M448">
        <v>1215</v>
      </c>
      <c r="N448">
        <v>0</v>
      </c>
    </row>
    <row r="449" spans="1:14" x14ac:dyDescent="0.25">
      <c r="A449">
        <v>183.39970299999999</v>
      </c>
      <c r="B449" s="1">
        <f>DATE(2010,10,31) + TIME(9,35,34)</f>
        <v>40482.399699074071</v>
      </c>
      <c r="C449">
        <v>80</v>
      </c>
      <c r="D449">
        <v>75.044776916999993</v>
      </c>
      <c r="E449">
        <v>50</v>
      </c>
      <c r="F449">
        <v>49.890304565000001</v>
      </c>
      <c r="G449">
        <v>1314.5051269999999</v>
      </c>
      <c r="H449">
        <v>1308.6256103999999</v>
      </c>
      <c r="I449">
        <v>1369.6617432</v>
      </c>
      <c r="J449">
        <v>1359.2615966999999</v>
      </c>
      <c r="K449">
        <v>0</v>
      </c>
      <c r="L449">
        <v>1215</v>
      </c>
      <c r="M449">
        <v>1215</v>
      </c>
      <c r="N449">
        <v>0</v>
      </c>
    </row>
    <row r="450" spans="1:14" x14ac:dyDescent="0.25">
      <c r="A450">
        <v>184.42597900000001</v>
      </c>
      <c r="B450" s="1">
        <f>DATE(2010,11,1) + TIME(10,13,24)</f>
        <v>40483.42597222222</v>
      </c>
      <c r="C450">
        <v>80</v>
      </c>
      <c r="D450">
        <v>74.917633057000003</v>
      </c>
      <c r="E450">
        <v>50</v>
      </c>
      <c r="F450">
        <v>49.890605927000003</v>
      </c>
      <c r="G450">
        <v>1314.473999</v>
      </c>
      <c r="H450">
        <v>1308.5895995999999</v>
      </c>
      <c r="I450">
        <v>1369.5770264</v>
      </c>
      <c r="J450">
        <v>1359.1802978999999</v>
      </c>
      <c r="K450">
        <v>0</v>
      </c>
      <c r="L450">
        <v>1215</v>
      </c>
      <c r="M450">
        <v>1215</v>
      </c>
      <c r="N450">
        <v>0</v>
      </c>
    </row>
    <row r="451" spans="1:14" x14ac:dyDescent="0.25">
      <c r="A451">
        <v>185.46213399999999</v>
      </c>
      <c r="B451" s="1">
        <f>DATE(2010,11,2) + TIME(11,5,28)</f>
        <v>40484.462129629632</v>
      </c>
      <c r="C451">
        <v>80</v>
      </c>
      <c r="D451">
        <v>74.790771484000004</v>
      </c>
      <c r="E451">
        <v>50</v>
      </c>
      <c r="F451">
        <v>49.890884399000001</v>
      </c>
      <c r="G451">
        <v>1314.4422606999999</v>
      </c>
      <c r="H451">
        <v>1308.5528564000001</v>
      </c>
      <c r="I451">
        <v>1369.4951172000001</v>
      </c>
      <c r="J451">
        <v>1359.1018065999999</v>
      </c>
      <c r="K451">
        <v>0</v>
      </c>
      <c r="L451">
        <v>1215</v>
      </c>
      <c r="M451">
        <v>1215</v>
      </c>
      <c r="N451">
        <v>0</v>
      </c>
    </row>
    <row r="452" spans="1:14" x14ac:dyDescent="0.25">
      <c r="A452">
        <v>186.51337899999999</v>
      </c>
      <c r="B452" s="1">
        <f>DATE(2010,11,3) + TIME(12,19,15)</f>
        <v>40485.513368055559</v>
      </c>
      <c r="C452">
        <v>80</v>
      </c>
      <c r="D452">
        <v>74.663955688000001</v>
      </c>
      <c r="E452">
        <v>50</v>
      </c>
      <c r="F452">
        <v>49.891143798999998</v>
      </c>
      <c r="G452">
        <v>1314.4099120999999</v>
      </c>
      <c r="H452">
        <v>1308.5150146000001</v>
      </c>
      <c r="I452">
        <v>1369.4152832</v>
      </c>
      <c r="J452">
        <v>1359.0253906</v>
      </c>
      <c r="K452">
        <v>0</v>
      </c>
      <c r="L452">
        <v>1215</v>
      </c>
      <c r="M452">
        <v>1215</v>
      </c>
      <c r="N452">
        <v>0</v>
      </c>
    </row>
    <row r="453" spans="1:14" x14ac:dyDescent="0.25">
      <c r="A453">
        <v>187.585035</v>
      </c>
      <c r="B453" s="1">
        <f>DATE(2010,11,4) + TIME(14,2,27)</f>
        <v>40486.585034722222</v>
      </c>
      <c r="C453">
        <v>80</v>
      </c>
      <c r="D453">
        <v>74.536842346</v>
      </c>
      <c r="E453">
        <v>50</v>
      </c>
      <c r="F453">
        <v>49.891391753999997</v>
      </c>
      <c r="G453">
        <v>1314.3765868999999</v>
      </c>
      <c r="H453">
        <v>1308.4759521000001</v>
      </c>
      <c r="I453">
        <v>1369.3370361</v>
      </c>
      <c r="J453">
        <v>1358.9506836</v>
      </c>
      <c r="K453">
        <v>0</v>
      </c>
      <c r="L453">
        <v>1215</v>
      </c>
      <c r="M453">
        <v>1215</v>
      </c>
      <c r="N453">
        <v>0</v>
      </c>
    </row>
    <row r="454" spans="1:14" x14ac:dyDescent="0.25">
      <c r="A454">
        <v>188.68255400000001</v>
      </c>
      <c r="B454" s="1">
        <f>DATE(2010,11,5) + TIME(16,22,52)</f>
        <v>40487.682546296295</v>
      </c>
      <c r="C454">
        <v>80</v>
      </c>
      <c r="D454">
        <v>74.408988953000005</v>
      </c>
      <c r="E454">
        <v>50</v>
      </c>
      <c r="F454">
        <v>49.891632080000001</v>
      </c>
      <c r="G454">
        <v>1314.3420410000001</v>
      </c>
      <c r="H454">
        <v>1308.4355469</v>
      </c>
      <c r="I454">
        <v>1369.2600098</v>
      </c>
      <c r="J454">
        <v>1358.8771973</v>
      </c>
      <c r="K454">
        <v>0</v>
      </c>
      <c r="L454">
        <v>1215</v>
      </c>
      <c r="M454">
        <v>1215</v>
      </c>
      <c r="N454">
        <v>0</v>
      </c>
    </row>
    <row r="455" spans="1:14" x14ac:dyDescent="0.25">
      <c r="A455">
        <v>189.81180800000001</v>
      </c>
      <c r="B455" s="1">
        <f>DATE(2010,11,6) + TIME(19,29,0)</f>
        <v>40488.811805555553</v>
      </c>
      <c r="C455">
        <v>80</v>
      </c>
      <c r="D455">
        <v>74.279899596999996</v>
      </c>
      <c r="E455">
        <v>50</v>
      </c>
      <c r="F455">
        <v>49.891864777000002</v>
      </c>
      <c r="G455">
        <v>1314.3062743999999</v>
      </c>
      <c r="H455">
        <v>1308.3933105000001</v>
      </c>
      <c r="I455">
        <v>1369.1838379000001</v>
      </c>
      <c r="J455">
        <v>1358.8045654</v>
      </c>
      <c r="K455">
        <v>0</v>
      </c>
      <c r="L455">
        <v>1215</v>
      </c>
      <c r="M455">
        <v>1215</v>
      </c>
      <c r="N455">
        <v>0</v>
      </c>
    </row>
    <row r="456" spans="1:14" x14ac:dyDescent="0.25">
      <c r="A456">
        <v>190.979342</v>
      </c>
      <c r="B456" s="1">
        <f>DATE(2010,11,7) + TIME(23,30,15)</f>
        <v>40489.97934027778</v>
      </c>
      <c r="C456">
        <v>80</v>
      </c>
      <c r="D456">
        <v>74.149040221999996</v>
      </c>
      <c r="E456">
        <v>50</v>
      </c>
      <c r="F456">
        <v>49.892097473</v>
      </c>
      <c r="G456">
        <v>1314.2687988</v>
      </c>
      <c r="H456">
        <v>1308.3491211</v>
      </c>
      <c r="I456">
        <v>1369.1080322</v>
      </c>
      <c r="J456">
        <v>1358.7324219</v>
      </c>
      <c r="K456">
        <v>0</v>
      </c>
      <c r="L456">
        <v>1215</v>
      </c>
      <c r="M456">
        <v>1215</v>
      </c>
      <c r="N456">
        <v>0</v>
      </c>
    </row>
    <row r="457" spans="1:14" x14ac:dyDescent="0.25">
      <c r="A457">
        <v>192.19044500000001</v>
      </c>
      <c r="B457" s="1">
        <f>DATE(2010,11,9) + TIME(4,34,14)</f>
        <v>40491.190439814818</v>
      </c>
      <c r="C457">
        <v>80</v>
      </c>
      <c r="D457">
        <v>74.015945435000006</v>
      </c>
      <c r="E457">
        <v>50</v>
      </c>
      <c r="F457">
        <v>49.892326355000002</v>
      </c>
      <c r="G457">
        <v>1314.2296143000001</v>
      </c>
      <c r="H457">
        <v>1308.3026123</v>
      </c>
      <c r="I457">
        <v>1369.0323486</v>
      </c>
      <c r="J457">
        <v>1358.6604004000001</v>
      </c>
      <c r="K457">
        <v>0</v>
      </c>
      <c r="L457">
        <v>1215</v>
      </c>
      <c r="M457">
        <v>1215</v>
      </c>
      <c r="N457">
        <v>0</v>
      </c>
    </row>
    <row r="458" spans="1:14" x14ac:dyDescent="0.25">
      <c r="A458">
        <v>193.44912500000001</v>
      </c>
      <c r="B458" s="1">
        <f>DATE(2010,11,10) + TIME(10,46,44)</f>
        <v>40492.449120370373</v>
      </c>
      <c r="C458">
        <v>80</v>
      </c>
      <c r="D458">
        <v>73.880241393999995</v>
      </c>
      <c r="E458">
        <v>50</v>
      </c>
      <c r="F458">
        <v>49.892559052000003</v>
      </c>
      <c r="G458">
        <v>1314.1882324000001</v>
      </c>
      <c r="H458">
        <v>1308.2535399999999</v>
      </c>
      <c r="I458">
        <v>1368.956543</v>
      </c>
      <c r="J458">
        <v>1358.5882568</v>
      </c>
      <c r="K458">
        <v>0</v>
      </c>
      <c r="L458">
        <v>1215</v>
      </c>
      <c r="M458">
        <v>1215</v>
      </c>
      <c r="N458">
        <v>0</v>
      </c>
    </row>
    <row r="459" spans="1:14" x14ac:dyDescent="0.25">
      <c r="A459">
        <v>194.757046</v>
      </c>
      <c r="B459" s="1">
        <f>DATE(2010,11,11) + TIME(18,10,8)</f>
        <v>40493.757037037038</v>
      </c>
      <c r="C459">
        <v>80</v>
      </c>
      <c r="D459">
        <v>73.741767882999994</v>
      </c>
      <c r="E459">
        <v>50</v>
      </c>
      <c r="F459">
        <v>49.892795563</v>
      </c>
      <c r="G459">
        <v>1314.1445312000001</v>
      </c>
      <c r="H459">
        <v>1308.2014160000001</v>
      </c>
      <c r="I459">
        <v>1368.880249</v>
      </c>
      <c r="J459">
        <v>1358.5158690999999</v>
      </c>
      <c r="K459">
        <v>0</v>
      </c>
      <c r="L459">
        <v>1215</v>
      </c>
      <c r="M459">
        <v>1215</v>
      </c>
      <c r="N459">
        <v>0</v>
      </c>
    </row>
    <row r="460" spans="1:14" x14ac:dyDescent="0.25">
      <c r="A460">
        <v>196.080027</v>
      </c>
      <c r="B460" s="1">
        <f>DATE(2010,11,13) + TIME(1,55,14)</f>
        <v>40495.080023148148</v>
      </c>
      <c r="C460">
        <v>80</v>
      </c>
      <c r="D460">
        <v>73.602584839000002</v>
      </c>
      <c r="E460">
        <v>50</v>
      </c>
      <c r="F460">
        <v>49.893024445000002</v>
      </c>
      <c r="G460">
        <v>1314.0982666</v>
      </c>
      <c r="H460">
        <v>1308.1462402</v>
      </c>
      <c r="I460">
        <v>1368.8038329999999</v>
      </c>
      <c r="J460">
        <v>1358.4433594</v>
      </c>
      <c r="K460">
        <v>0</v>
      </c>
      <c r="L460">
        <v>1215</v>
      </c>
      <c r="M460">
        <v>1215</v>
      </c>
      <c r="N460">
        <v>0</v>
      </c>
    </row>
    <row r="461" spans="1:14" x14ac:dyDescent="0.25">
      <c r="A461">
        <v>197.40732</v>
      </c>
      <c r="B461" s="1">
        <f>DATE(2010,11,14) + TIME(9,46,32)</f>
        <v>40496.407314814816</v>
      </c>
      <c r="C461">
        <v>80</v>
      </c>
      <c r="D461">
        <v>73.463920592999997</v>
      </c>
      <c r="E461">
        <v>50</v>
      </c>
      <c r="F461">
        <v>49.893253326</v>
      </c>
      <c r="G461">
        <v>1314.0505370999999</v>
      </c>
      <c r="H461">
        <v>1308.0891113</v>
      </c>
      <c r="I461">
        <v>1368.7290039</v>
      </c>
      <c r="J461">
        <v>1358.3725586</v>
      </c>
      <c r="K461">
        <v>0</v>
      </c>
      <c r="L461">
        <v>1215</v>
      </c>
      <c r="M461">
        <v>1215</v>
      </c>
      <c r="N461">
        <v>0</v>
      </c>
    </row>
    <row r="462" spans="1:14" x14ac:dyDescent="0.25">
      <c r="A462">
        <v>198.74571</v>
      </c>
      <c r="B462" s="1">
        <f>DATE(2010,11,15) + TIME(17,53,49)</f>
        <v>40497.745706018519</v>
      </c>
      <c r="C462">
        <v>80</v>
      </c>
      <c r="D462">
        <v>73.325836182000003</v>
      </c>
      <c r="E462">
        <v>50</v>
      </c>
      <c r="F462">
        <v>49.893482208000002</v>
      </c>
      <c r="G462">
        <v>1314.0018310999999</v>
      </c>
      <c r="H462">
        <v>1308.0303954999999</v>
      </c>
      <c r="I462">
        <v>1368.6564940999999</v>
      </c>
      <c r="J462">
        <v>1358.3039550999999</v>
      </c>
      <c r="K462">
        <v>0</v>
      </c>
      <c r="L462">
        <v>1215</v>
      </c>
      <c r="M462">
        <v>1215</v>
      </c>
      <c r="N462">
        <v>0</v>
      </c>
    </row>
    <row r="463" spans="1:14" x14ac:dyDescent="0.25">
      <c r="A463">
        <v>200.10222999999999</v>
      </c>
      <c r="B463" s="1">
        <f>DATE(2010,11,17) + TIME(2,27,12)</f>
        <v>40499.102222222224</v>
      </c>
      <c r="C463">
        <v>80</v>
      </c>
      <c r="D463">
        <v>73.188079834000007</v>
      </c>
      <c r="E463">
        <v>50</v>
      </c>
      <c r="F463">
        <v>49.893707274999997</v>
      </c>
      <c r="G463">
        <v>1313.9516602000001</v>
      </c>
      <c r="H463">
        <v>1307.9698486</v>
      </c>
      <c r="I463">
        <v>1368.5858154</v>
      </c>
      <c r="J463">
        <v>1358.2370605000001</v>
      </c>
      <c r="K463">
        <v>0</v>
      </c>
      <c r="L463">
        <v>1215</v>
      </c>
      <c r="M463">
        <v>1215</v>
      </c>
      <c r="N463">
        <v>0</v>
      </c>
    </row>
    <row r="464" spans="1:14" x14ac:dyDescent="0.25">
      <c r="A464">
        <v>201.48381699999999</v>
      </c>
      <c r="B464" s="1">
        <f>DATE(2010,11,18) + TIME(11,36,41)</f>
        <v>40500.483807870369</v>
      </c>
      <c r="C464">
        <v>80</v>
      </c>
      <c r="D464">
        <v>73.050224303999997</v>
      </c>
      <c r="E464">
        <v>50</v>
      </c>
      <c r="F464">
        <v>49.893936156999999</v>
      </c>
      <c r="G464">
        <v>1313.9000243999999</v>
      </c>
      <c r="H464">
        <v>1307.9071045000001</v>
      </c>
      <c r="I464">
        <v>1368.5163574000001</v>
      </c>
      <c r="J464">
        <v>1358.1715088000001</v>
      </c>
      <c r="K464">
        <v>0</v>
      </c>
      <c r="L464">
        <v>1215</v>
      </c>
      <c r="M464">
        <v>1215</v>
      </c>
      <c r="N464">
        <v>0</v>
      </c>
    </row>
    <row r="465" spans="1:14" x14ac:dyDescent="0.25">
      <c r="A465">
        <v>202.89764700000001</v>
      </c>
      <c r="B465" s="1">
        <f>DATE(2010,11,19) + TIME(21,32,36)</f>
        <v>40501.897638888891</v>
      </c>
      <c r="C465">
        <v>80</v>
      </c>
      <c r="D465">
        <v>72.911743164000001</v>
      </c>
      <c r="E465">
        <v>50</v>
      </c>
      <c r="F465">
        <v>49.894172668000003</v>
      </c>
      <c r="G465">
        <v>1313.8464355000001</v>
      </c>
      <c r="H465">
        <v>1307.8417969</v>
      </c>
      <c r="I465">
        <v>1368.447876</v>
      </c>
      <c r="J465">
        <v>1358.1069336</v>
      </c>
      <c r="K465">
        <v>0</v>
      </c>
      <c r="L465">
        <v>1215</v>
      </c>
      <c r="M465">
        <v>1215</v>
      </c>
      <c r="N465">
        <v>0</v>
      </c>
    </row>
    <row r="466" spans="1:14" x14ac:dyDescent="0.25">
      <c r="A466">
        <v>204.35151099999999</v>
      </c>
      <c r="B466" s="1">
        <f>DATE(2010,11,21) + TIME(8,26,10)</f>
        <v>40503.351504629631</v>
      </c>
      <c r="C466">
        <v>80</v>
      </c>
      <c r="D466">
        <v>72.772041321000003</v>
      </c>
      <c r="E466">
        <v>50</v>
      </c>
      <c r="F466">
        <v>49.894409179999997</v>
      </c>
      <c r="G466">
        <v>1313.7905272999999</v>
      </c>
      <c r="H466">
        <v>1307.7734375</v>
      </c>
      <c r="I466">
        <v>1368.3800048999999</v>
      </c>
      <c r="J466">
        <v>1358.0429687999999</v>
      </c>
      <c r="K466">
        <v>0</v>
      </c>
      <c r="L466">
        <v>1215</v>
      </c>
      <c r="M466">
        <v>1215</v>
      </c>
      <c r="N466">
        <v>0</v>
      </c>
    </row>
    <row r="467" spans="1:14" x14ac:dyDescent="0.25">
      <c r="A467">
        <v>205.85216399999999</v>
      </c>
      <c r="B467" s="1">
        <f>DATE(2010,11,22) + TIME(20,27,6)</f>
        <v>40504.852152777778</v>
      </c>
      <c r="C467">
        <v>80</v>
      </c>
      <c r="D467">
        <v>72.630546570000007</v>
      </c>
      <c r="E467">
        <v>50</v>
      </c>
      <c r="F467">
        <v>49.894653320000003</v>
      </c>
      <c r="G467">
        <v>1313.7319336</v>
      </c>
      <c r="H467">
        <v>1307.7015381000001</v>
      </c>
      <c r="I467">
        <v>1368.3125</v>
      </c>
      <c r="J467">
        <v>1357.9793701000001</v>
      </c>
      <c r="K467">
        <v>0</v>
      </c>
      <c r="L467">
        <v>1215</v>
      </c>
      <c r="M467">
        <v>1215</v>
      </c>
      <c r="N467">
        <v>0</v>
      </c>
    </row>
    <row r="468" spans="1:14" x14ac:dyDescent="0.25">
      <c r="A468">
        <v>207.405441</v>
      </c>
      <c r="B468" s="1">
        <f>DATE(2010,11,24) + TIME(9,43,50)</f>
        <v>40506.405439814815</v>
      </c>
      <c r="C468">
        <v>80</v>
      </c>
      <c r="D468">
        <v>72.486762999999996</v>
      </c>
      <c r="E468">
        <v>50</v>
      </c>
      <c r="F468">
        <v>49.894905090000002</v>
      </c>
      <c r="G468">
        <v>1313.6704102000001</v>
      </c>
      <c r="H468">
        <v>1307.6258545000001</v>
      </c>
      <c r="I468">
        <v>1368.2448730000001</v>
      </c>
      <c r="J468">
        <v>1357.9157714999999</v>
      </c>
      <c r="K468">
        <v>0</v>
      </c>
      <c r="L468">
        <v>1215</v>
      </c>
      <c r="M468">
        <v>1215</v>
      </c>
      <c r="N468">
        <v>0</v>
      </c>
    </row>
    <row r="469" spans="1:14" x14ac:dyDescent="0.25">
      <c r="A469">
        <v>209.01383100000001</v>
      </c>
      <c r="B469" s="1">
        <f>DATE(2010,11,26) + TIME(0,19,55)</f>
        <v>40508.013831018521</v>
      </c>
      <c r="C469">
        <v>80</v>
      </c>
      <c r="D469">
        <v>72.340377808</v>
      </c>
      <c r="E469">
        <v>50</v>
      </c>
      <c r="F469">
        <v>49.895164489999999</v>
      </c>
      <c r="G469">
        <v>1313.6055908000001</v>
      </c>
      <c r="H469">
        <v>1307.5455322</v>
      </c>
      <c r="I469">
        <v>1368.177124</v>
      </c>
      <c r="J469">
        <v>1357.8521728999999</v>
      </c>
      <c r="K469">
        <v>0</v>
      </c>
      <c r="L469">
        <v>1215</v>
      </c>
      <c r="M469">
        <v>1215</v>
      </c>
      <c r="N469">
        <v>0</v>
      </c>
    </row>
    <row r="470" spans="1:14" x14ac:dyDescent="0.25">
      <c r="A470">
        <v>210</v>
      </c>
      <c r="B470" s="1">
        <f>DATE(2010,11,27) + TIME(0,0,0)</f>
        <v>40509</v>
      </c>
      <c r="C470">
        <v>80</v>
      </c>
      <c r="D470">
        <v>72.231071471999996</v>
      </c>
      <c r="E470">
        <v>50</v>
      </c>
      <c r="F470">
        <v>49.895313262999998</v>
      </c>
      <c r="G470">
        <v>1313.5374756000001</v>
      </c>
      <c r="H470">
        <v>1307.4642334</v>
      </c>
      <c r="I470">
        <v>1368.1086425999999</v>
      </c>
      <c r="J470">
        <v>1357.7878418</v>
      </c>
      <c r="K470">
        <v>0</v>
      </c>
      <c r="L470">
        <v>1215</v>
      </c>
      <c r="M470">
        <v>1215</v>
      </c>
      <c r="N470">
        <v>0</v>
      </c>
    </row>
    <row r="471" spans="1:14" x14ac:dyDescent="0.25">
      <c r="A471">
        <v>210.000001</v>
      </c>
      <c r="B471" s="1">
        <f>DATE(2010,11,27) + TIME(0,0,0)</f>
        <v>40509</v>
      </c>
      <c r="C471">
        <v>80</v>
      </c>
      <c r="D471">
        <v>72.231056213000002</v>
      </c>
      <c r="E471">
        <v>50</v>
      </c>
      <c r="F471">
        <v>49.895328522</v>
      </c>
      <c r="G471">
        <v>1313.4221190999999</v>
      </c>
      <c r="H471">
        <v>1303.6748047000001</v>
      </c>
      <c r="I471">
        <v>1373.5021973</v>
      </c>
      <c r="J471">
        <v>1357.9079589999999</v>
      </c>
      <c r="K471">
        <v>0</v>
      </c>
      <c r="L471">
        <v>1875</v>
      </c>
      <c r="M471">
        <v>1875</v>
      </c>
      <c r="N471">
        <v>0</v>
      </c>
    </row>
    <row r="472" spans="1:14" x14ac:dyDescent="0.25">
      <c r="A472">
        <v>210.00000399999999</v>
      </c>
      <c r="B472" s="1">
        <f>DATE(2010,11,27) + TIME(0,0,0)</f>
        <v>40509</v>
      </c>
      <c r="C472">
        <v>80</v>
      </c>
      <c r="D472">
        <v>72.231010436999995</v>
      </c>
      <c r="E472">
        <v>50</v>
      </c>
      <c r="F472">
        <v>49.895370483000001</v>
      </c>
      <c r="G472">
        <v>1313.125</v>
      </c>
      <c r="H472">
        <v>1303.3674315999999</v>
      </c>
      <c r="I472">
        <v>1373.8229980000001</v>
      </c>
      <c r="J472">
        <v>1358.2285156</v>
      </c>
      <c r="K472">
        <v>0</v>
      </c>
      <c r="L472">
        <v>1875</v>
      </c>
      <c r="M472">
        <v>1875</v>
      </c>
      <c r="N472">
        <v>0</v>
      </c>
    </row>
    <row r="473" spans="1:14" x14ac:dyDescent="0.25">
      <c r="A473">
        <v>210.000013</v>
      </c>
      <c r="B473" s="1">
        <f>DATE(2010,11,27) + TIME(0,0,1)</f>
        <v>40509.000011574077</v>
      </c>
      <c r="C473">
        <v>80</v>
      </c>
      <c r="D473">
        <v>72.230926514000004</v>
      </c>
      <c r="E473">
        <v>50</v>
      </c>
      <c r="F473">
        <v>49.895462035999998</v>
      </c>
      <c r="G473">
        <v>1312.5062256000001</v>
      </c>
      <c r="H473">
        <v>1302.7386475000001</v>
      </c>
      <c r="I473">
        <v>1374.5426024999999</v>
      </c>
      <c r="J473">
        <v>1358.9476318</v>
      </c>
      <c r="K473">
        <v>0</v>
      </c>
      <c r="L473">
        <v>1875</v>
      </c>
      <c r="M473">
        <v>1875</v>
      </c>
      <c r="N473">
        <v>0</v>
      </c>
    </row>
    <row r="474" spans="1:14" x14ac:dyDescent="0.25">
      <c r="A474">
        <v>210.00004000000001</v>
      </c>
      <c r="B474" s="1">
        <f>DATE(2010,11,27) + TIME(0,0,3)</f>
        <v>40509.000034722223</v>
      </c>
      <c r="C474">
        <v>80</v>
      </c>
      <c r="D474">
        <v>72.230789185000006</v>
      </c>
      <c r="E474">
        <v>50</v>
      </c>
      <c r="F474">
        <v>49.895614623999997</v>
      </c>
      <c r="G474">
        <v>1311.5718993999999</v>
      </c>
      <c r="H474">
        <v>1301.8038329999999</v>
      </c>
      <c r="I474">
        <v>1375.7446289</v>
      </c>
      <c r="J474">
        <v>1360.1497803</v>
      </c>
      <c r="K474">
        <v>0</v>
      </c>
      <c r="L474">
        <v>1875</v>
      </c>
      <c r="M474">
        <v>1875</v>
      </c>
      <c r="N474">
        <v>0</v>
      </c>
    </row>
    <row r="475" spans="1:14" x14ac:dyDescent="0.25">
      <c r="A475">
        <v>210.00012100000001</v>
      </c>
      <c r="B475" s="1">
        <f>DATE(2010,11,27) + TIME(0,0,10)</f>
        <v>40509.000115740739</v>
      </c>
      <c r="C475">
        <v>80</v>
      </c>
      <c r="D475">
        <v>72.230628967000001</v>
      </c>
      <c r="E475">
        <v>50</v>
      </c>
      <c r="F475">
        <v>49.895801544000001</v>
      </c>
      <c r="G475">
        <v>1310.5102539</v>
      </c>
      <c r="H475">
        <v>1300.7469481999999</v>
      </c>
      <c r="I475">
        <v>1377.2119141000001</v>
      </c>
      <c r="J475">
        <v>1361.6185303</v>
      </c>
      <c r="K475">
        <v>0</v>
      </c>
      <c r="L475">
        <v>1875</v>
      </c>
      <c r="M475">
        <v>1875</v>
      </c>
      <c r="N475">
        <v>0</v>
      </c>
    </row>
    <row r="476" spans="1:14" x14ac:dyDescent="0.25">
      <c r="A476">
        <v>210.00036399999999</v>
      </c>
      <c r="B476" s="1">
        <f>DATE(2010,11,27) + TIME(0,0,31)</f>
        <v>40509.000358796293</v>
      </c>
      <c r="C476">
        <v>80</v>
      </c>
      <c r="D476">
        <v>72.230422974000007</v>
      </c>
      <c r="E476">
        <v>50</v>
      </c>
      <c r="F476">
        <v>49.896003723</v>
      </c>
      <c r="G476">
        <v>1309.4230957</v>
      </c>
      <c r="H476">
        <v>1299.6588135</v>
      </c>
      <c r="I476">
        <v>1378.7453613</v>
      </c>
      <c r="J476">
        <v>1363.1530762</v>
      </c>
      <c r="K476">
        <v>0</v>
      </c>
      <c r="L476">
        <v>1875</v>
      </c>
      <c r="M476">
        <v>1875</v>
      </c>
      <c r="N476">
        <v>0</v>
      </c>
    </row>
    <row r="477" spans="1:14" x14ac:dyDescent="0.25">
      <c r="A477">
        <v>210.001093</v>
      </c>
      <c r="B477" s="1">
        <f>DATE(2010,11,27) + TIME(0,1,34)</f>
        <v>40509.001087962963</v>
      </c>
      <c r="C477">
        <v>80</v>
      </c>
      <c r="D477">
        <v>72.230102539000001</v>
      </c>
      <c r="E477">
        <v>50</v>
      </c>
      <c r="F477">
        <v>49.896236420000001</v>
      </c>
      <c r="G477">
        <v>1308.2611084</v>
      </c>
      <c r="H477">
        <v>1298.4821777</v>
      </c>
      <c r="I477">
        <v>1380.4213867000001</v>
      </c>
      <c r="J477">
        <v>1364.8264160000001</v>
      </c>
      <c r="K477">
        <v>0</v>
      </c>
      <c r="L477">
        <v>1875</v>
      </c>
      <c r="M477">
        <v>1875</v>
      </c>
      <c r="N477">
        <v>0</v>
      </c>
    </row>
    <row r="478" spans="1:14" x14ac:dyDescent="0.25">
      <c r="A478">
        <v>210.00327999999999</v>
      </c>
      <c r="B478" s="1">
        <f>DATE(2010,11,27) + TIME(0,4,43)</f>
        <v>40509.003275462965</v>
      </c>
      <c r="C478">
        <v>80</v>
      </c>
      <c r="D478">
        <v>72.229438782000003</v>
      </c>
      <c r="E478">
        <v>50</v>
      </c>
      <c r="F478">
        <v>49.896564484000002</v>
      </c>
      <c r="G478">
        <v>1306.8647461</v>
      </c>
      <c r="H478">
        <v>1297.0616454999999</v>
      </c>
      <c r="I478">
        <v>1382.4364014</v>
      </c>
      <c r="J478">
        <v>1366.8356934000001</v>
      </c>
      <c r="K478">
        <v>0</v>
      </c>
      <c r="L478">
        <v>1875</v>
      </c>
      <c r="M478">
        <v>1875</v>
      </c>
      <c r="N478">
        <v>0</v>
      </c>
    </row>
    <row r="479" spans="1:14" x14ac:dyDescent="0.25">
      <c r="A479">
        <v>210.00984099999999</v>
      </c>
      <c r="B479" s="1">
        <f>DATE(2010,11,27) + TIME(0,14,10)</f>
        <v>40509.009837962964</v>
      </c>
      <c r="C479">
        <v>80</v>
      </c>
      <c r="D479">
        <v>72.227790833</v>
      </c>
      <c r="E479">
        <v>50</v>
      </c>
      <c r="F479">
        <v>49.897064209</v>
      </c>
      <c r="G479">
        <v>1305.1724853999999</v>
      </c>
      <c r="H479">
        <v>1295.3496094</v>
      </c>
      <c r="I479">
        <v>1384.715332</v>
      </c>
      <c r="J479">
        <v>1369.1081543</v>
      </c>
      <c r="K479">
        <v>0</v>
      </c>
      <c r="L479">
        <v>1875</v>
      </c>
      <c r="M479">
        <v>1875</v>
      </c>
      <c r="N479">
        <v>0</v>
      </c>
    </row>
    <row r="480" spans="1:14" x14ac:dyDescent="0.25">
      <c r="A480">
        <v>210.02952400000001</v>
      </c>
      <c r="B480" s="1">
        <f>DATE(2010,11,27) + TIME(0,42,30)</f>
        <v>40509.029513888891</v>
      </c>
      <c r="C480">
        <v>80</v>
      </c>
      <c r="D480">
        <v>72.223365783999995</v>
      </c>
      <c r="E480">
        <v>50</v>
      </c>
      <c r="F480">
        <v>49.897937775000003</v>
      </c>
      <c r="G480">
        <v>1303.5828856999999</v>
      </c>
      <c r="H480">
        <v>1293.7487793</v>
      </c>
      <c r="I480">
        <v>1386.6385498</v>
      </c>
      <c r="J480">
        <v>1371.0256348</v>
      </c>
      <c r="K480">
        <v>0</v>
      </c>
      <c r="L480">
        <v>1875</v>
      </c>
      <c r="M480">
        <v>1875</v>
      </c>
      <c r="N480">
        <v>0</v>
      </c>
    </row>
    <row r="481" spans="1:14" x14ac:dyDescent="0.25">
      <c r="A481">
        <v>210.088573</v>
      </c>
      <c r="B481" s="1">
        <f>DATE(2010,11,27) + TIME(2,7,32)</f>
        <v>40509.088564814818</v>
      </c>
      <c r="C481">
        <v>80</v>
      </c>
      <c r="D481">
        <v>72.211112975999995</v>
      </c>
      <c r="E481">
        <v>50</v>
      </c>
      <c r="F481">
        <v>49.899841309000003</v>
      </c>
      <c r="G481">
        <v>1302.6611327999999</v>
      </c>
      <c r="H481">
        <v>1292.8211670000001</v>
      </c>
      <c r="I481">
        <v>1387.5618896000001</v>
      </c>
      <c r="J481">
        <v>1371.9464111</v>
      </c>
      <c r="K481">
        <v>0</v>
      </c>
      <c r="L481">
        <v>1875</v>
      </c>
      <c r="M481">
        <v>1875</v>
      </c>
      <c r="N481">
        <v>0</v>
      </c>
    </row>
    <row r="482" spans="1:14" x14ac:dyDescent="0.25">
      <c r="A482">
        <v>210.26571999999999</v>
      </c>
      <c r="B482" s="1">
        <f>DATE(2010,11,27) + TIME(6,22,38)</f>
        <v>40509.265717592592</v>
      </c>
      <c r="C482">
        <v>80</v>
      </c>
      <c r="D482">
        <v>72.178619385000005</v>
      </c>
      <c r="E482">
        <v>50</v>
      </c>
      <c r="F482">
        <v>49.904434203999998</v>
      </c>
      <c r="G482">
        <v>1302.3868408000001</v>
      </c>
      <c r="H482">
        <v>1292.5406493999999</v>
      </c>
      <c r="I482">
        <v>1387.7331543</v>
      </c>
      <c r="J482">
        <v>1372.1176757999999</v>
      </c>
      <c r="K482">
        <v>0</v>
      </c>
      <c r="L482">
        <v>1875</v>
      </c>
      <c r="M482">
        <v>1875</v>
      </c>
      <c r="N482">
        <v>0</v>
      </c>
    </row>
    <row r="483" spans="1:14" x14ac:dyDescent="0.25">
      <c r="A483">
        <v>210.79716099999999</v>
      </c>
      <c r="B483" s="1">
        <f>DATE(2010,11,27) + TIME(19,7,54)</f>
        <v>40509.797152777777</v>
      </c>
      <c r="C483">
        <v>80</v>
      </c>
      <c r="D483">
        <v>72.105590820000003</v>
      </c>
      <c r="E483">
        <v>50</v>
      </c>
      <c r="F483">
        <v>49.913490295000003</v>
      </c>
      <c r="G483">
        <v>1302.3337402</v>
      </c>
      <c r="H483">
        <v>1292.4755858999999</v>
      </c>
      <c r="I483">
        <v>1387.7229004000001</v>
      </c>
      <c r="J483">
        <v>1372.1087646000001</v>
      </c>
      <c r="K483">
        <v>0</v>
      </c>
      <c r="L483">
        <v>1875</v>
      </c>
      <c r="M483">
        <v>1875</v>
      </c>
      <c r="N483">
        <v>0</v>
      </c>
    </row>
    <row r="484" spans="1:14" x14ac:dyDescent="0.25">
      <c r="A484">
        <v>211.89635999999999</v>
      </c>
      <c r="B484" s="1">
        <f>DATE(2010,11,28) + TIME(21,30,45)</f>
        <v>40510.896354166667</v>
      </c>
      <c r="C484">
        <v>80</v>
      </c>
      <c r="D484">
        <v>71.999084472999996</v>
      </c>
      <c r="E484">
        <v>50</v>
      </c>
      <c r="F484">
        <v>49.922622681</v>
      </c>
      <c r="G484">
        <v>1302.2818603999999</v>
      </c>
      <c r="H484">
        <v>1292.4041748</v>
      </c>
      <c r="I484">
        <v>1387.6715088000001</v>
      </c>
      <c r="J484">
        <v>1372.0600586</v>
      </c>
      <c r="K484">
        <v>0</v>
      </c>
      <c r="L484">
        <v>1875</v>
      </c>
      <c r="M484">
        <v>1875</v>
      </c>
      <c r="N484">
        <v>0</v>
      </c>
    </row>
    <row r="485" spans="1:14" x14ac:dyDescent="0.25">
      <c r="A485">
        <v>213.000542</v>
      </c>
      <c r="B485" s="1">
        <f>DATE(2010,11,30) + TIME(0,0,46)</f>
        <v>40512.000532407408</v>
      </c>
      <c r="C485">
        <v>80</v>
      </c>
      <c r="D485">
        <v>71.884490967000005</v>
      </c>
      <c r="E485">
        <v>50</v>
      </c>
      <c r="F485">
        <v>49.927124022999998</v>
      </c>
      <c r="G485">
        <v>1302.1832274999999</v>
      </c>
      <c r="H485">
        <v>1292.2810059000001</v>
      </c>
      <c r="I485">
        <v>1387.5668945</v>
      </c>
      <c r="J485">
        <v>1371.9598389</v>
      </c>
      <c r="K485">
        <v>0</v>
      </c>
      <c r="L485">
        <v>1875</v>
      </c>
      <c r="M485">
        <v>1875</v>
      </c>
      <c r="N485">
        <v>0</v>
      </c>
    </row>
    <row r="486" spans="1:14" x14ac:dyDescent="0.25">
      <c r="A486">
        <v>214.11836099999999</v>
      </c>
      <c r="B486" s="1">
        <f>DATE(2010,12,1) + TIME(2,50,26)</f>
        <v>40513.118356481478</v>
      </c>
      <c r="C486">
        <v>80</v>
      </c>
      <c r="D486">
        <v>71.765296935999999</v>
      </c>
      <c r="E486">
        <v>50</v>
      </c>
      <c r="F486">
        <v>49.929378509999999</v>
      </c>
      <c r="G486">
        <v>1302.0805664</v>
      </c>
      <c r="H486">
        <v>1292.1514893000001</v>
      </c>
      <c r="I486">
        <v>1387.465332</v>
      </c>
      <c r="J486">
        <v>1371.8624268000001</v>
      </c>
      <c r="K486">
        <v>0</v>
      </c>
      <c r="L486">
        <v>1875</v>
      </c>
      <c r="M486">
        <v>1875</v>
      </c>
      <c r="N486">
        <v>0</v>
      </c>
    </row>
    <row r="487" spans="1:14" x14ac:dyDescent="0.25">
      <c r="A487">
        <v>215.25555</v>
      </c>
      <c r="B487" s="1">
        <f>DATE(2010,12,2) + TIME(6,7,59)</f>
        <v>40514.255543981482</v>
      </c>
      <c r="C487">
        <v>80</v>
      </c>
      <c r="D487">
        <v>71.642959594999994</v>
      </c>
      <c r="E487">
        <v>50</v>
      </c>
      <c r="F487">
        <v>49.930545807000001</v>
      </c>
      <c r="G487">
        <v>1301.973999</v>
      </c>
      <c r="H487">
        <v>1292.0158690999999</v>
      </c>
      <c r="I487">
        <v>1387.3657227000001</v>
      </c>
      <c r="J487">
        <v>1371.7672118999999</v>
      </c>
      <c r="K487">
        <v>0</v>
      </c>
      <c r="L487">
        <v>1875</v>
      </c>
      <c r="M487">
        <v>1875</v>
      </c>
      <c r="N487">
        <v>0</v>
      </c>
    </row>
    <row r="488" spans="1:14" x14ac:dyDescent="0.25">
      <c r="A488">
        <v>216.41776999999999</v>
      </c>
      <c r="B488" s="1">
        <f>DATE(2010,12,3) + TIME(10,1,35)</f>
        <v>40515.417766203704</v>
      </c>
      <c r="C488">
        <v>80</v>
      </c>
      <c r="D488">
        <v>71.517890929999993</v>
      </c>
      <c r="E488">
        <v>50</v>
      </c>
      <c r="F488">
        <v>49.931175232000001</v>
      </c>
      <c r="G488">
        <v>1301.8632812000001</v>
      </c>
      <c r="H488">
        <v>1291.8742675999999</v>
      </c>
      <c r="I488">
        <v>1387.2677002</v>
      </c>
      <c r="J488">
        <v>1371.6733397999999</v>
      </c>
      <c r="K488">
        <v>0</v>
      </c>
      <c r="L488">
        <v>1875</v>
      </c>
      <c r="M488">
        <v>1875</v>
      </c>
      <c r="N488">
        <v>0</v>
      </c>
    </row>
    <row r="489" spans="1:14" x14ac:dyDescent="0.25">
      <c r="A489">
        <v>217.607495</v>
      </c>
      <c r="B489" s="1">
        <f>DATE(2010,12,4) + TIME(14,34,47)</f>
        <v>40516.607488425929</v>
      </c>
      <c r="C489">
        <v>80</v>
      </c>
      <c r="D489">
        <v>71.390136718999997</v>
      </c>
      <c r="E489">
        <v>50</v>
      </c>
      <c r="F489">
        <v>49.931549072000003</v>
      </c>
      <c r="G489">
        <v>1301.7478027</v>
      </c>
      <c r="H489">
        <v>1291.7259521000001</v>
      </c>
      <c r="I489">
        <v>1387.1705322</v>
      </c>
      <c r="J489">
        <v>1371.5804443</v>
      </c>
      <c r="K489">
        <v>0</v>
      </c>
      <c r="L489">
        <v>1875</v>
      </c>
      <c r="M489">
        <v>1875</v>
      </c>
      <c r="N489">
        <v>0</v>
      </c>
    </row>
    <row r="490" spans="1:14" x14ac:dyDescent="0.25">
      <c r="A490">
        <v>218.82908499999999</v>
      </c>
      <c r="B490" s="1">
        <f>DATE(2010,12,5) + TIME(19,53,52)</f>
        <v>40517.829074074078</v>
      </c>
      <c r="C490">
        <v>80</v>
      </c>
      <c r="D490">
        <v>71.259460449000002</v>
      </c>
      <c r="E490">
        <v>50</v>
      </c>
      <c r="F490">
        <v>49.931797027999998</v>
      </c>
      <c r="G490">
        <v>1301.6271973</v>
      </c>
      <c r="H490">
        <v>1291.5705565999999</v>
      </c>
      <c r="I490">
        <v>1387.0739745999999</v>
      </c>
      <c r="J490">
        <v>1371.4884033000001</v>
      </c>
      <c r="K490">
        <v>0</v>
      </c>
      <c r="L490">
        <v>1875</v>
      </c>
      <c r="M490">
        <v>1875</v>
      </c>
      <c r="N490">
        <v>0</v>
      </c>
    </row>
    <row r="491" spans="1:14" x14ac:dyDescent="0.25">
      <c r="A491">
        <v>220.081806</v>
      </c>
      <c r="B491" s="1">
        <f>DATE(2010,12,7) + TIME(1,57,48)</f>
        <v>40519.081805555557</v>
      </c>
      <c r="C491">
        <v>80</v>
      </c>
      <c r="D491">
        <v>71.125694275000001</v>
      </c>
      <c r="E491">
        <v>50</v>
      </c>
      <c r="F491">
        <v>49.931983948000003</v>
      </c>
      <c r="G491">
        <v>1301.5008545000001</v>
      </c>
      <c r="H491">
        <v>1291.4073486</v>
      </c>
      <c r="I491">
        <v>1386.9780272999999</v>
      </c>
      <c r="J491">
        <v>1371.3968506000001</v>
      </c>
      <c r="K491">
        <v>0</v>
      </c>
      <c r="L491">
        <v>1875</v>
      </c>
      <c r="M491">
        <v>1875</v>
      </c>
      <c r="N491">
        <v>0</v>
      </c>
    </row>
    <row r="492" spans="1:14" x14ac:dyDescent="0.25">
      <c r="A492">
        <v>221.367852</v>
      </c>
      <c r="B492" s="1">
        <f>DATE(2010,12,8) + TIME(8,49,42)</f>
        <v>40520.367847222224</v>
      </c>
      <c r="C492">
        <v>80</v>
      </c>
      <c r="D492">
        <v>70.988571167000003</v>
      </c>
      <c r="E492">
        <v>50</v>
      </c>
      <c r="F492">
        <v>49.932144164999997</v>
      </c>
      <c r="G492">
        <v>1301.3688964999999</v>
      </c>
      <c r="H492">
        <v>1291.2359618999999</v>
      </c>
      <c r="I492">
        <v>1386.8824463000001</v>
      </c>
      <c r="J492">
        <v>1371.3059082</v>
      </c>
      <c r="K492">
        <v>0</v>
      </c>
      <c r="L492">
        <v>1875</v>
      </c>
      <c r="M492">
        <v>1875</v>
      </c>
      <c r="N492">
        <v>0</v>
      </c>
    </row>
    <row r="493" spans="1:14" x14ac:dyDescent="0.25">
      <c r="A493">
        <v>222.67429999999999</v>
      </c>
      <c r="B493" s="1">
        <f>DATE(2010,12,9) + TIME(16,10,59)</f>
        <v>40521.674293981479</v>
      </c>
      <c r="C493">
        <v>80</v>
      </c>
      <c r="D493">
        <v>70.848503113000007</v>
      </c>
      <c r="E493">
        <v>50</v>
      </c>
      <c r="F493">
        <v>49.932292938000003</v>
      </c>
      <c r="G493">
        <v>1301.2307129000001</v>
      </c>
      <c r="H493">
        <v>1291.0561522999999</v>
      </c>
      <c r="I493">
        <v>1386.7873535000001</v>
      </c>
      <c r="J493">
        <v>1371.2154541</v>
      </c>
      <c r="K493">
        <v>0</v>
      </c>
      <c r="L493">
        <v>1875</v>
      </c>
      <c r="M493">
        <v>1875</v>
      </c>
      <c r="N493">
        <v>0</v>
      </c>
    </row>
    <row r="494" spans="1:14" x14ac:dyDescent="0.25">
      <c r="A494">
        <v>223.987674</v>
      </c>
      <c r="B494" s="1">
        <f>DATE(2010,12,10) + TIME(23,42,14)</f>
        <v>40522.987662037034</v>
      </c>
      <c r="C494">
        <v>80</v>
      </c>
      <c r="D494">
        <v>70.706344603999995</v>
      </c>
      <c r="E494">
        <v>50</v>
      </c>
      <c r="F494">
        <v>49.932434082</v>
      </c>
      <c r="G494">
        <v>1301.0875243999999</v>
      </c>
      <c r="H494">
        <v>1290.8692627</v>
      </c>
      <c r="I494">
        <v>1386.6936035000001</v>
      </c>
      <c r="J494">
        <v>1371.1263428</v>
      </c>
      <c r="K494">
        <v>0</v>
      </c>
      <c r="L494">
        <v>1875</v>
      </c>
      <c r="M494">
        <v>1875</v>
      </c>
      <c r="N494">
        <v>0</v>
      </c>
    </row>
    <row r="495" spans="1:14" x14ac:dyDescent="0.25">
      <c r="A495">
        <v>225.31510599999999</v>
      </c>
      <c r="B495" s="1">
        <f>DATE(2010,12,12) + TIME(7,33,45)</f>
        <v>40524.315104166664</v>
      </c>
      <c r="C495">
        <v>80</v>
      </c>
      <c r="D495">
        <v>70.562141417999996</v>
      </c>
      <c r="E495">
        <v>50</v>
      </c>
      <c r="F495">
        <v>49.932571410999998</v>
      </c>
      <c r="G495">
        <v>1300.9405518000001</v>
      </c>
      <c r="H495">
        <v>1290.6765137</v>
      </c>
      <c r="I495">
        <v>1386.6021728999999</v>
      </c>
      <c r="J495">
        <v>1371.0394286999999</v>
      </c>
      <c r="K495">
        <v>0</v>
      </c>
      <c r="L495">
        <v>1875</v>
      </c>
      <c r="M495">
        <v>1875</v>
      </c>
      <c r="N495">
        <v>0</v>
      </c>
    </row>
    <row r="496" spans="1:14" x14ac:dyDescent="0.25">
      <c r="A496">
        <v>226.663465</v>
      </c>
      <c r="B496" s="1">
        <f>DATE(2010,12,13) + TIME(15,55,23)</f>
        <v>40525.663460648146</v>
      </c>
      <c r="C496">
        <v>80</v>
      </c>
      <c r="D496">
        <v>70.415405273000005</v>
      </c>
      <c r="E496">
        <v>50</v>
      </c>
      <c r="F496">
        <v>49.932708740000002</v>
      </c>
      <c r="G496">
        <v>1300.7891846</v>
      </c>
      <c r="H496">
        <v>1290.4771728999999</v>
      </c>
      <c r="I496">
        <v>1386.5124512</v>
      </c>
      <c r="J496">
        <v>1370.9542236</v>
      </c>
      <c r="K496">
        <v>0</v>
      </c>
      <c r="L496">
        <v>1875</v>
      </c>
      <c r="M496">
        <v>1875</v>
      </c>
      <c r="N496">
        <v>0</v>
      </c>
    </row>
    <row r="497" spans="1:14" x14ac:dyDescent="0.25">
      <c r="A497">
        <v>228.03994900000001</v>
      </c>
      <c r="B497" s="1">
        <f>DATE(2010,12,15) + TIME(0,57,31)</f>
        <v>40527.039942129632</v>
      </c>
      <c r="C497">
        <v>80</v>
      </c>
      <c r="D497">
        <v>70.265357971</v>
      </c>
      <c r="E497">
        <v>50</v>
      </c>
      <c r="F497">
        <v>49.932849883999999</v>
      </c>
      <c r="G497">
        <v>1300.6324463000001</v>
      </c>
      <c r="H497">
        <v>1290.2701416</v>
      </c>
      <c r="I497">
        <v>1386.4238281</v>
      </c>
      <c r="J497">
        <v>1370.8701172000001</v>
      </c>
      <c r="K497">
        <v>0</v>
      </c>
      <c r="L497">
        <v>1875</v>
      </c>
      <c r="M497">
        <v>1875</v>
      </c>
      <c r="N497">
        <v>0</v>
      </c>
    </row>
    <row r="498" spans="1:14" x14ac:dyDescent="0.25">
      <c r="A498">
        <v>229.446325</v>
      </c>
      <c r="B498" s="1">
        <f>DATE(2010,12,16) + TIME(10,42,42)</f>
        <v>40528.446319444447</v>
      </c>
      <c r="C498">
        <v>80</v>
      </c>
      <c r="D498">
        <v>70.111343383999994</v>
      </c>
      <c r="E498">
        <v>50</v>
      </c>
      <c r="F498">
        <v>49.932994843000003</v>
      </c>
      <c r="G498">
        <v>1300.4696045000001</v>
      </c>
      <c r="H498">
        <v>1290.0543213000001</v>
      </c>
      <c r="I498">
        <v>1386.3360596</v>
      </c>
      <c r="J498">
        <v>1370.7868652</v>
      </c>
      <c r="K498">
        <v>0</v>
      </c>
      <c r="L498">
        <v>1875</v>
      </c>
      <c r="M498">
        <v>1875</v>
      </c>
      <c r="N498">
        <v>0</v>
      </c>
    </row>
    <row r="499" spans="1:14" x14ac:dyDescent="0.25">
      <c r="A499">
        <v>230.88982799999999</v>
      </c>
      <c r="B499" s="1">
        <f>DATE(2010,12,17) + TIME(21,21,21)</f>
        <v>40529.889826388891</v>
      </c>
      <c r="C499">
        <v>80</v>
      </c>
      <c r="D499">
        <v>69.952491760000001</v>
      </c>
      <c r="E499">
        <v>50</v>
      </c>
      <c r="F499">
        <v>49.933139801000003</v>
      </c>
      <c r="G499">
        <v>1300.3001709</v>
      </c>
      <c r="H499">
        <v>1289.8291016000001</v>
      </c>
      <c r="I499">
        <v>1386.2489014</v>
      </c>
      <c r="J499">
        <v>1370.7042236</v>
      </c>
      <c r="K499">
        <v>0</v>
      </c>
      <c r="L499">
        <v>1875</v>
      </c>
      <c r="M499">
        <v>1875</v>
      </c>
      <c r="N499">
        <v>0</v>
      </c>
    </row>
    <row r="500" spans="1:14" x14ac:dyDescent="0.25">
      <c r="A500">
        <v>232.370137</v>
      </c>
      <c r="B500" s="1">
        <f>DATE(2010,12,19) + TIME(8,52,59)</f>
        <v>40531.370127314818</v>
      </c>
      <c r="C500">
        <v>80</v>
      </c>
      <c r="D500">
        <v>69.788017272999994</v>
      </c>
      <c r="E500">
        <v>50</v>
      </c>
      <c r="F500">
        <v>49.933288574000002</v>
      </c>
      <c r="G500">
        <v>1300.1231689000001</v>
      </c>
      <c r="H500">
        <v>1289.5931396000001</v>
      </c>
      <c r="I500">
        <v>1386.1619873</v>
      </c>
      <c r="J500">
        <v>1370.6219481999999</v>
      </c>
      <c r="K500">
        <v>0</v>
      </c>
      <c r="L500">
        <v>1875</v>
      </c>
      <c r="M500">
        <v>1875</v>
      </c>
      <c r="N500">
        <v>0</v>
      </c>
    </row>
    <row r="501" spans="1:14" x14ac:dyDescent="0.25">
      <c r="A501">
        <v>233.88848200000001</v>
      </c>
      <c r="B501" s="1">
        <f>DATE(2010,12,20) + TIME(21,19,24)</f>
        <v>40532.888472222221</v>
      </c>
      <c r="C501">
        <v>80</v>
      </c>
      <c r="D501">
        <v>69.617401122999993</v>
      </c>
      <c r="E501">
        <v>50</v>
      </c>
      <c r="F501">
        <v>49.933441162000001</v>
      </c>
      <c r="G501">
        <v>1299.9383545000001</v>
      </c>
      <c r="H501">
        <v>1289.3459473</v>
      </c>
      <c r="I501">
        <v>1386.0753173999999</v>
      </c>
      <c r="J501">
        <v>1370.5399170000001</v>
      </c>
      <c r="K501">
        <v>0</v>
      </c>
      <c r="L501">
        <v>1875</v>
      </c>
      <c r="M501">
        <v>1875</v>
      </c>
      <c r="N501">
        <v>0</v>
      </c>
    </row>
    <row r="502" spans="1:14" x14ac:dyDescent="0.25">
      <c r="A502">
        <v>235.41928899999999</v>
      </c>
      <c r="B502" s="1">
        <f>DATE(2010,12,22) + TIME(10,3,46)</f>
        <v>40534.419282407405</v>
      </c>
      <c r="C502">
        <v>80</v>
      </c>
      <c r="D502">
        <v>69.441307068</v>
      </c>
      <c r="E502">
        <v>50</v>
      </c>
      <c r="F502">
        <v>49.93359375</v>
      </c>
      <c r="G502">
        <v>1299.7456055</v>
      </c>
      <c r="H502">
        <v>1289.0874022999999</v>
      </c>
      <c r="I502">
        <v>1385.9888916</v>
      </c>
      <c r="J502">
        <v>1370.4581298999999</v>
      </c>
      <c r="K502">
        <v>0</v>
      </c>
      <c r="L502">
        <v>1875</v>
      </c>
      <c r="M502">
        <v>1875</v>
      </c>
      <c r="N502">
        <v>0</v>
      </c>
    </row>
    <row r="503" spans="1:14" x14ac:dyDescent="0.25">
      <c r="A503">
        <v>236.95926700000001</v>
      </c>
      <c r="B503" s="1">
        <f>DATE(2010,12,23) + TIME(23,1,20)</f>
        <v>40535.95925925926</v>
      </c>
      <c r="C503">
        <v>80</v>
      </c>
      <c r="D503">
        <v>69.260429381999998</v>
      </c>
      <c r="E503">
        <v>50</v>
      </c>
      <c r="F503">
        <v>49.933746337999999</v>
      </c>
      <c r="G503">
        <v>1299.5474853999999</v>
      </c>
      <c r="H503">
        <v>1288.8205565999999</v>
      </c>
      <c r="I503">
        <v>1385.9041748</v>
      </c>
      <c r="J503">
        <v>1370.3780518000001</v>
      </c>
      <c r="K503">
        <v>0</v>
      </c>
      <c r="L503">
        <v>1875</v>
      </c>
      <c r="M503">
        <v>1875</v>
      </c>
      <c r="N503">
        <v>0</v>
      </c>
    </row>
    <row r="504" spans="1:14" x14ac:dyDescent="0.25">
      <c r="A504">
        <v>238.51675399999999</v>
      </c>
      <c r="B504" s="1">
        <f>DATE(2010,12,25) + TIME(12,24,7)</f>
        <v>40537.516747685186</v>
      </c>
      <c r="C504">
        <v>80</v>
      </c>
      <c r="D504">
        <v>69.074516295999999</v>
      </c>
      <c r="E504">
        <v>50</v>
      </c>
      <c r="F504">
        <v>49.933902740000001</v>
      </c>
      <c r="G504">
        <v>1299.3443603999999</v>
      </c>
      <c r="H504">
        <v>1288.5460204999999</v>
      </c>
      <c r="I504">
        <v>1385.8214111</v>
      </c>
      <c r="J504">
        <v>1370.2998047000001</v>
      </c>
      <c r="K504">
        <v>0</v>
      </c>
      <c r="L504">
        <v>1875</v>
      </c>
      <c r="M504">
        <v>1875</v>
      </c>
      <c r="N504">
        <v>0</v>
      </c>
    </row>
    <row r="505" spans="1:14" x14ac:dyDescent="0.25">
      <c r="A505">
        <v>240.099977</v>
      </c>
      <c r="B505" s="1">
        <f>DATE(2010,12,27) + TIME(2,23,57)</f>
        <v>40539.099965277775</v>
      </c>
      <c r="C505">
        <v>80</v>
      </c>
      <c r="D505">
        <v>68.882621764999996</v>
      </c>
      <c r="E505">
        <v>50</v>
      </c>
      <c r="F505">
        <v>49.934059142999999</v>
      </c>
      <c r="G505">
        <v>1299.1356201000001</v>
      </c>
      <c r="H505">
        <v>1288.2626952999999</v>
      </c>
      <c r="I505">
        <v>1385.7398682</v>
      </c>
      <c r="J505">
        <v>1370.2227783000001</v>
      </c>
      <c r="K505">
        <v>0</v>
      </c>
      <c r="L505">
        <v>1875</v>
      </c>
      <c r="M505">
        <v>1875</v>
      </c>
      <c r="N505">
        <v>0</v>
      </c>
    </row>
    <row r="506" spans="1:14" x14ac:dyDescent="0.25">
      <c r="A506">
        <v>241.714564</v>
      </c>
      <c r="B506" s="1">
        <f>DATE(2010,12,28) + TIME(17,8,58)</f>
        <v>40540.714560185188</v>
      </c>
      <c r="C506">
        <v>80</v>
      </c>
      <c r="D506">
        <v>68.683601378999995</v>
      </c>
      <c r="E506">
        <v>50</v>
      </c>
      <c r="F506">
        <v>49.934215545999997</v>
      </c>
      <c r="G506">
        <v>1298.9199219</v>
      </c>
      <c r="H506">
        <v>1287.9691161999999</v>
      </c>
      <c r="I506">
        <v>1385.6593018000001</v>
      </c>
      <c r="J506">
        <v>1370.1467285000001</v>
      </c>
      <c r="K506">
        <v>0</v>
      </c>
      <c r="L506">
        <v>1875</v>
      </c>
      <c r="M506">
        <v>1875</v>
      </c>
      <c r="N506">
        <v>0</v>
      </c>
    </row>
    <row r="507" spans="1:14" x14ac:dyDescent="0.25">
      <c r="A507">
        <v>243.36486400000001</v>
      </c>
      <c r="B507" s="1">
        <f>DATE(2010,12,30) + TIME(8,45,24)</f>
        <v>40542.364861111113</v>
      </c>
      <c r="C507">
        <v>80</v>
      </c>
      <c r="D507">
        <v>68.476280212000006</v>
      </c>
      <c r="E507">
        <v>50</v>
      </c>
      <c r="F507">
        <v>49.934379577999998</v>
      </c>
      <c r="G507">
        <v>1298.6965332</v>
      </c>
      <c r="H507">
        <v>1287.6641846</v>
      </c>
      <c r="I507">
        <v>1385.5792236</v>
      </c>
      <c r="J507">
        <v>1370.0711670000001</v>
      </c>
      <c r="K507">
        <v>0</v>
      </c>
      <c r="L507">
        <v>1875</v>
      </c>
      <c r="M507">
        <v>1875</v>
      </c>
      <c r="N507">
        <v>0</v>
      </c>
    </row>
    <row r="508" spans="1:14" x14ac:dyDescent="0.25">
      <c r="A508">
        <v>245.05970199999999</v>
      </c>
      <c r="B508" s="1">
        <f>DATE(2011,1,1) + TIME(1,25,58)</f>
        <v>40544.059699074074</v>
      </c>
      <c r="C508">
        <v>80</v>
      </c>
      <c r="D508">
        <v>68.259216308999996</v>
      </c>
      <c r="E508">
        <v>50</v>
      </c>
      <c r="F508">
        <v>49.934547424000002</v>
      </c>
      <c r="G508">
        <v>1298.4647216999999</v>
      </c>
      <c r="H508">
        <v>1287.3465576000001</v>
      </c>
      <c r="I508">
        <v>1385.4996338000001</v>
      </c>
      <c r="J508">
        <v>1369.9960937999999</v>
      </c>
      <c r="K508">
        <v>0</v>
      </c>
      <c r="L508">
        <v>1875</v>
      </c>
      <c r="M508">
        <v>1875</v>
      </c>
      <c r="N508">
        <v>0</v>
      </c>
    </row>
    <row r="509" spans="1:14" x14ac:dyDescent="0.25">
      <c r="A509">
        <v>246.79910899999999</v>
      </c>
      <c r="B509" s="1">
        <f>DATE(2011,1,2) + TIME(19,10,43)</f>
        <v>40545.799108796295</v>
      </c>
      <c r="C509">
        <v>80</v>
      </c>
      <c r="D509">
        <v>68.031112671000002</v>
      </c>
      <c r="E509">
        <v>50</v>
      </c>
      <c r="F509">
        <v>49.934715271000002</v>
      </c>
      <c r="G509">
        <v>1298.2231445</v>
      </c>
      <c r="H509">
        <v>1287.0146483999999</v>
      </c>
      <c r="I509">
        <v>1385.4199219</v>
      </c>
      <c r="J509">
        <v>1369.9210204999999</v>
      </c>
      <c r="K509">
        <v>0</v>
      </c>
      <c r="L509">
        <v>1875</v>
      </c>
      <c r="M509">
        <v>1875</v>
      </c>
      <c r="N509">
        <v>0</v>
      </c>
    </row>
    <row r="510" spans="1:14" x14ac:dyDescent="0.25">
      <c r="A510">
        <v>248.56599399999999</v>
      </c>
      <c r="B510" s="1">
        <f>DATE(2011,1,4) + TIME(13,35,1)</f>
        <v>40547.565983796296</v>
      </c>
      <c r="C510">
        <v>80</v>
      </c>
      <c r="D510">
        <v>67.791786193999997</v>
      </c>
      <c r="E510">
        <v>50</v>
      </c>
      <c r="F510">
        <v>49.934886931999998</v>
      </c>
      <c r="G510">
        <v>1297.9716797000001</v>
      </c>
      <c r="H510">
        <v>1286.6682129000001</v>
      </c>
      <c r="I510">
        <v>1385.3404541</v>
      </c>
      <c r="J510">
        <v>1369.8460693</v>
      </c>
      <c r="K510">
        <v>0</v>
      </c>
      <c r="L510">
        <v>1875</v>
      </c>
      <c r="M510">
        <v>1875</v>
      </c>
      <c r="N510">
        <v>0</v>
      </c>
    </row>
    <row r="511" spans="1:14" x14ac:dyDescent="0.25">
      <c r="A511">
        <v>250.338988</v>
      </c>
      <c r="B511" s="1">
        <f>DATE(2011,1,6) + TIME(8,8,8)</f>
        <v>40549.33898148148</v>
      </c>
      <c r="C511">
        <v>80</v>
      </c>
      <c r="D511">
        <v>67.542396545000003</v>
      </c>
      <c r="E511">
        <v>50</v>
      </c>
      <c r="F511">
        <v>49.935058593999997</v>
      </c>
      <c r="G511">
        <v>1297.7122803</v>
      </c>
      <c r="H511">
        <v>1286.3095702999999</v>
      </c>
      <c r="I511">
        <v>1385.2615966999999</v>
      </c>
      <c r="J511">
        <v>1369.7718506000001</v>
      </c>
      <c r="K511">
        <v>0</v>
      </c>
      <c r="L511">
        <v>1875</v>
      </c>
      <c r="M511">
        <v>1875</v>
      </c>
      <c r="N511">
        <v>0</v>
      </c>
    </row>
    <row r="512" spans="1:14" x14ac:dyDescent="0.25">
      <c r="A512">
        <v>252.12787800000001</v>
      </c>
      <c r="B512" s="1">
        <f>DATE(2011,1,8) + TIME(3,4,8)</f>
        <v>40551.127870370372</v>
      </c>
      <c r="C512">
        <v>80</v>
      </c>
      <c r="D512">
        <v>67.283317565999994</v>
      </c>
      <c r="E512">
        <v>50</v>
      </c>
      <c r="F512">
        <v>49.935230255</v>
      </c>
      <c r="G512">
        <v>1297.4477539</v>
      </c>
      <c r="H512">
        <v>1285.9422606999999</v>
      </c>
      <c r="I512">
        <v>1385.1846923999999</v>
      </c>
      <c r="J512">
        <v>1369.6994629000001</v>
      </c>
      <c r="K512">
        <v>0</v>
      </c>
      <c r="L512">
        <v>1875</v>
      </c>
      <c r="M512">
        <v>1875</v>
      </c>
      <c r="N512">
        <v>0</v>
      </c>
    </row>
    <row r="513" spans="1:14" x14ac:dyDescent="0.25">
      <c r="A513">
        <v>253.94231199999999</v>
      </c>
      <c r="B513" s="1">
        <f>DATE(2011,1,9) + TIME(22,36,55)</f>
        <v>40552.942303240743</v>
      </c>
      <c r="C513">
        <v>80</v>
      </c>
      <c r="D513">
        <v>67.013450622999997</v>
      </c>
      <c r="E513">
        <v>50</v>
      </c>
      <c r="F513">
        <v>49.935405731000003</v>
      </c>
      <c r="G513">
        <v>1297.177124</v>
      </c>
      <c r="H513">
        <v>1285.5651855000001</v>
      </c>
      <c r="I513">
        <v>1385.1090088000001</v>
      </c>
      <c r="J513">
        <v>1369.6281738</v>
      </c>
      <c r="K513">
        <v>0</v>
      </c>
      <c r="L513">
        <v>1875</v>
      </c>
      <c r="M513">
        <v>1875</v>
      </c>
      <c r="N513">
        <v>0</v>
      </c>
    </row>
    <row r="514" spans="1:14" x14ac:dyDescent="0.25">
      <c r="A514">
        <v>255.78933499999999</v>
      </c>
      <c r="B514" s="1">
        <f>DATE(2011,1,11) + TIME(18,56,38)</f>
        <v>40554.7893287037</v>
      </c>
      <c r="C514">
        <v>80</v>
      </c>
      <c r="D514">
        <v>66.731163025000001</v>
      </c>
      <c r="E514">
        <v>50</v>
      </c>
      <c r="F514">
        <v>49.935581206999998</v>
      </c>
      <c r="G514">
        <v>1296.8991699000001</v>
      </c>
      <c r="H514">
        <v>1285.1765137</v>
      </c>
      <c r="I514">
        <v>1385.0341797000001</v>
      </c>
      <c r="J514">
        <v>1369.5578613</v>
      </c>
      <c r="K514">
        <v>0</v>
      </c>
      <c r="L514">
        <v>1875</v>
      </c>
      <c r="M514">
        <v>1875</v>
      </c>
      <c r="N514">
        <v>0</v>
      </c>
    </row>
    <row r="515" spans="1:14" x14ac:dyDescent="0.25">
      <c r="A515">
        <v>257.67231900000002</v>
      </c>
      <c r="B515" s="1">
        <f>DATE(2011,1,13) + TIME(16,8,8)</f>
        <v>40556.672314814816</v>
      </c>
      <c r="C515">
        <v>80</v>
      </c>
      <c r="D515">
        <v>66.434844971000004</v>
      </c>
      <c r="E515">
        <v>50</v>
      </c>
      <c r="F515">
        <v>49.935760498</v>
      </c>
      <c r="G515">
        <v>1296.612793</v>
      </c>
      <c r="H515">
        <v>1284.7747803</v>
      </c>
      <c r="I515">
        <v>1384.9599608999999</v>
      </c>
      <c r="J515">
        <v>1369.4880370999999</v>
      </c>
      <c r="K515">
        <v>0</v>
      </c>
      <c r="L515">
        <v>1875</v>
      </c>
      <c r="M515">
        <v>1875</v>
      </c>
      <c r="N515">
        <v>0</v>
      </c>
    </row>
    <row r="516" spans="1:14" x14ac:dyDescent="0.25">
      <c r="A516">
        <v>259.60166400000003</v>
      </c>
      <c r="B516" s="1">
        <f>DATE(2011,1,15) + TIME(14,26,23)</f>
        <v>40558.601655092592</v>
      </c>
      <c r="C516">
        <v>80</v>
      </c>
      <c r="D516">
        <v>66.122581482000001</v>
      </c>
      <c r="E516">
        <v>50</v>
      </c>
      <c r="F516">
        <v>49.935943604000002</v>
      </c>
      <c r="G516">
        <v>1296.3175048999999</v>
      </c>
      <c r="H516">
        <v>1284.3588867000001</v>
      </c>
      <c r="I516">
        <v>1384.8861084</v>
      </c>
      <c r="J516">
        <v>1369.4185791</v>
      </c>
      <c r="K516">
        <v>0</v>
      </c>
      <c r="L516">
        <v>1875</v>
      </c>
      <c r="M516">
        <v>1875</v>
      </c>
      <c r="N516">
        <v>0</v>
      </c>
    </row>
    <row r="517" spans="1:14" x14ac:dyDescent="0.25">
      <c r="A517">
        <v>261.58519699999999</v>
      </c>
      <c r="B517" s="1">
        <f>DATE(2011,1,17) + TIME(14,2,41)</f>
        <v>40560.585196759261</v>
      </c>
      <c r="C517">
        <v>80</v>
      </c>
      <c r="D517">
        <v>65.792037964000002</v>
      </c>
      <c r="E517">
        <v>50</v>
      </c>
      <c r="F517">
        <v>49.936130523999999</v>
      </c>
      <c r="G517">
        <v>1296.0114745999999</v>
      </c>
      <c r="H517">
        <v>1283.9265137</v>
      </c>
      <c r="I517">
        <v>1384.8122559000001</v>
      </c>
      <c r="J517">
        <v>1369.3492432</v>
      </c>
      <c r="K517">
        <v>0</v>
      </c>
      <c r="L517">
        <v>1875</v>
      </c>
      <c r="M517">
        <v>1875</v>
      </c>
      <c r="N517">
        <v>0</v>
      </c>
    </row>
    <row r="518" spans="1:14" x14ac:dyDescent="0.25">
      <c r="A518">
        <v>263.59305799999998</v>
      </c>
      <c r="B518" s="1">
        <f>DATE(2011,1,19) + TIME(14,14,0)</f>
        <v>40562.593055555553</v>
      </c>
      <c r="C518">
        <v>80</v>
      </c>
      <c r="D518">
        <v>65.442901610999996</v>
      </c>
      <c r="E518">
        <v>50</v>
      </c>
      <c r="F518">
        <v>49.936317443999997</v>
      </c>
      <c r="G518">
        <v>1295.6938477000001</v>
      </c>
      <c r="H518">
        <v>1283.4765625</v>
      </c>
      <c r="I518">
        <v>1384.7381591999999</v>
      </c>
      <c r="J518">
        <v>1369.2796631000001</v>
      </c>
      <c r="K518">
        <v>0</v>
      </c>
      <c r="L518">
        <v>1875</v>
      </c>
      <c r="M518">
        <v>1875</v>
      </c>
      <c r="N518">
        <v>0</v>
      </c>
    </row>
    <row r="519" spans="1:14" x14ac:dyDescent="0.25">
      <c r="A519">
        <v>265.60875299999998</v>
      </c>
      <c r="B519" s="1">
        <f>DATE(2011,1,21) + TIME(14,36,36)</f>
        <v>40564.608749999999</v>
      </c>
      <c r="C519">
        <v>80</v>
      </c>
      <c r="D519">
        <v>65.077156067000004</v>
      </c>
      <c r="E519">
        <v>50</v>
      </c>
      <c r="F519">
        <v>49.936504364000001</v>
      </c>
      <c r="G519">
        <v>1295.3685303</v>
      </c>
      <c r="H519">
        <v>1283.0137939000001</v>
      </c>
      <c r="I519">
        <v>1384.6649170000001</v>
      </c>
      <c r="J519">
        <v>1369.2110596</v>
      </c>
      <c r="K519">
        <v>0</v>
      </c>
      <c r="L519">
        <v>1875</v>
      </c>
      <c r="M519">
        <v>1875</v>
      </c>
      <c r="N519">
        <v>0</v>
      </c>
    </row>
    <row r="520" spans="1:14" x14ac:dyDescent="0.25">
      <c r="A520">
        <v>267.64348100000001</v>
      </c>
      <c r="B520" s="1">
        <f>DATE(2011,1,23) + TIME(15,26,36)</f>
        <v>40566.643472222226</v>
      </c>
      <c r="C520">
        <v>80</v>
      </c>
      <c r="D520">
        <v>64.695640564000001</v>
      </c>
      <c r="E520">
        <v>50</v>
      </c>
      <c r="F520">
        <v>49.936695098999998</v>
      </c>
      <c r="G520">
        <v>1295.0380858999999</v>
      </c>
      <c r="H520">
        <v>1282.541626</v>
      </c>
      <c r="I520">
        <v>1384.5931396000001</v>
      </c>
      <c r="J520">
        <v>1369.1436768000001</v>
      </c>
      <c r="K520">
        <v>0</v>
      </c>
      <c r="L520">
        <v>1875</v>
      </c>
      <c r="M520">
        <v>1875</v>
      </c>
      <c r="N520">
        <v>0</v>
      </c>
    </row>
    <row r="521" spans="1:14" x14ac:dyDescent="0.25">
      <c r="A521">
        <v>269.70829099999997</v>
      </c>
      <c r="B521" s="1">
        <f>DATE(2011,1,25) + TIME(16,59,56)</f>
        <v>40568.708287037036</v>
      </c>
      <c r="C521">
        <v>80</v>
      </c>
      <c r="D521">
        <v>64.296791076999995</v>
      </c>
      <c r="E521">
        <v>50</v>
      </c>
      <c r="F521">
        <v>49.936882019000002</v>
      </c>
      <c r="G521">
        <v>1294.7012939000001</v>
      </c>
      <c r="H521">
        <v>1282.0585937999999</v>
      </c>
      <c r="I521">
        <v>1384.5224608999999</v>
      </c>
      <c r="J521">
        <v>1369.0773925999999</v>
      </c>
      <c r="K521">
        <v>0</v>
      </c>
      <c r="L521">
        <v>1875</v>
      </c>
      <c r="M521">
        <v>1875</v>
      </c>
      <c r="N521">
        <v>0</v>
      </c>
    </row>
    <row r="522" spans="1:14" x14ac:dyDescent="0.25">
      <c r="A522">
        <v>271.80561299999999</v>
      </c>
      <c r="B522" s="1">
        <f>DATE(2011,1,27) + TIME(19,20,5)</f>
        <v>40570.805613425924</v>
      </c>
      <c r="C522">
        <v>80</v>
      </c>
      <c r="D522">
        <v>63.878772736000002</v>
      </c>
      <c r="E522">
        <v>50</v>
      </c>
      <c r="F522">
        <v>49.937076568999998</v>
      </c>
      <c r="G522">
        <v>1294.3569336</v>
      </c>
      <c r="H522">
        <v>1281.5626221</v>
      </c>
      <c r="I522">
        <v>1384.4522704999999</v>
      </c>
      <c r="J522">
        <v>1369.0115966999999</v>
      </c>
      <c r="K522">
        <v>0</v>
      </c>
      <c r="L522">
        <v>1875</v>
      </c>
      <c r="M522">
        <v>1875</v>
      </c>
      <c r="N522">
        <v>0</v>
      </c>
    </row>
    <row r="523" spans="1:14" x14ac:dyDescent="0.25">
      <c r="A523">
        <v>273.94338599999998</v>
      </c>
      <c r="B523" s="1">
        <f>DATE(2011,1,29) + TIME(22,38,28)</f>
        <v>40572.943379629629</v>
      </c>
      <c r="C523">
        <v>80</v>
      </c>
      <c r="D523">
        <v>63.439777374000002</v>
      </c>
      <c r="E523">
        <v>50</v>
      </c>
      <c r="F523">
        <v>49.937271117999998</v>
      </c>
      <c r="G523">
        <v>1294.0043945</v>
      </c>
      <c r="H523">
        <v>1281.0529785000001</v>
      </c>
      <c r="I523">
        <v>1384.3825684000001</v>
      </c>
      <c r="J523">
        <v>1368.9464111</v>
      </c>
      <c r="K523">
        <v>0</v>
      </c>
      <c r="L523">
        <v>1875</v>
      </c>
      <c r="M523">
        <v>1875</v>
      </c>
      <c r="N523">
        <v>0</v>
      </c>
    </row>
    <row r="524" spans="1:14" x14ac:dyDescent="0.25">
      <c r="A524">
        <v>276.10153200000002</v>
      </c>
      <c r="B524" s="1">
        <f>DATE(2011,2,1) + TIME(2,26,12)</f>
        <v>40575.101527777777</v>
      </c>
      <c r="C524">
        <v>80</v>
      </c>
      <c r="D524">
        <v>62.979419708000002</v>
      </c>
      <c r="E524">
        <v>50</v>
      </c>
      <c r="F524">
        <v>49.937465668000002</v>
      </c>
      <c r="G524">
        <v>1293.6428223</v>
      </c>
      <c r="H524">
        <v>1280.5284423999999</v>
      </c>
      <c r="I524">
        <v>1384.3131103999999</v>
      </c>
      <c r="J524">
        <v>1368.8813477000001</v>
      </c>
      <c r="K524">
        <v>0</v>
      </c>
      <c r="L524">
        <v>1875</v>
      </c>
      <c r="M524">
        <v>1875</v>
      </c>
      <c r="N524">
        <v>0</v>
      </c>
    </row>
    <row r="525" spans="1:14" x14ac:dyDescent="0.25">
      <c r="A525">
        <v>278.27399200000002</v>
      </c>
      <c r="B525" s="1">
        <f>DATE(2011,2,3) + TIME(6,34,32)</f>
        <v>40577.273981481485</v>
      </c>
      <c r="C525">
        <v>80</v>
      </c>
      <c r="D525">
        <v>62.499275208</v>
      </c>
      <c r="E525">
        <v>50</v>
      </c>
      <c r="F525">
        <v>49.937660217000001</v>
      </c>
      <c r="G525">
        <v>1293.2749022999999</v>
      </c>
      <c r="H525">
        <v>1279.9925536999999</v>
      </c>
      <c r="I525">
        <v>1384.2445068</v>
      </c>
      <c r="J525">
        <v>1368.8170166</v>
      </c>
      <c r="K525">
        <v>0</v>
      </c>
      <c r="L525">
        <v>1875</v>
      </c>
      <c r="M525">
        <v>1875</v>
      </c>
      <c r="N525">
        <v>0</v>
      </c>
    </row>
    <row r="526" spans="1:14" x14ac:dyDescent="0.25">
      <c r="A526">
        <v>280</v>
      </c>
      <c r="B526" s="1">
        <f>DATE(2011,2,5) + TIME(0,0,0)</f>
        <v>40579</v>
      </c>
      <c r="C526">
        <v>80</v>
      </c>
      <c r="D526">
        <v>62.038421630999999</v>
      </c>
      <c r="E526">
        <v>50</v>
      </c>
      <c r="F526">
        <v>49.937812805</v>
      </c>
      <c r="G526">
        <v>1292.9052733999999</v>
      </c>
      <c r="H526">
        <v>1279.4603271000001</v>
      </c>
      <c r="I526">
        <v>1384.1765137</v>
      </c>
      <c r="J526">
        <v>1368.753418</v>
      </c>
      <c r="K526">
        <v>0</v>
      </c>
      <c r="L526">
        <v>1875</v>
      </c>
      <c r="M526">
        <v>1875</v>
      </c>
      <c r="N526">
        <v>0</v>
      </c>
    </row>
    <row r="527" spans="1:14" x14ac:dyDescent="0.25">
      <c r="A527">
        <v>280.000001</v>
      </c>
      <c r="B527" s="1">
        <f>DATE(2011,2,5) + TIME(0,0,0)</f>
        <v>40579</v>
      </c>
      <c r="C527">
        <v>80</v>
      </c>
      <c r="D527">
        <v>62.038467406999999</v>
      </c>
      <c r="E527">
        <v>50</v>
      </c>
      <c r="F527">
        <v>49.937767029</v>
      </c>
      <c r="G527">
        <v>1293.2712402</v>
      </c>
      <c r="H527">
        <v>1293.2712402</v>
      </c>
      <c r="I527">
        <v>1368.4018555</v>
      </c>
      <c r="J527">
        <v>1368.4018555</v>
      </c>
      <c r="K527">
        <v>0</v>
      </c>
      <c r="L527">
        <v>0</v>
      </c>
      <c r="M527">
        <v>0</v>
      </c>
      <c r="N527">
        <v>0</v>
      </c>
    </row>
    <row r="528" spans="1:14" x14ac:dyDescent="0.25">
      <c r="A528">
        <v>280.00000399999999</v>
      </c>
      <c r="B528" s="1">
        <f>DATE(2011,2,5) + TIME(0,0,0)</f>
        <v>40579</v>
      </c>
      <c r="C528">
        <v>80</v>
      </c>
      <c r="D528">
        <v>62.038593292000002</v>
      </c>
      <c r="E528">
        <v>50</v>
      </c>
      <c r="F528">
        <v>49.937648772999999</v>
      </c>
      <c r="G528">
        <v>1294.2280272999999</v>
      </c>
      <c r="H528">
        <v>1294.2280272999999</v>
      </c>
      <c r="I528">
        <v>1367.4641113</v>
      </c>
      <c r="J528">
        <v>1367.4641113</v>
      </c>
      <c r="K528">
        <v>0</v>
      </c>
      <c r="L528">
        <v>0</v>
      </c>
      <c r="M528">
        <v>0</v>
      </c>
      <c r="N528">
        <v>0</v>
      </c>
    </row>
    <row r="529" spans="1:14" x14ac:dyDescent="0.25">
      <c r="A529">
        <v>280.00001300000002</v>
      </c>
      <c r="B529" s="1">
        <f>DATE(2011,2,5) + TIME(0,0,1)</f>
        <v>40579.000011574077</v>
      </c>
      <c r="C529">
        <v>80</v>
      </c>
      <c r="D529">
        <v>62.038864136000001</v>
      </c>
      <c r="E529">
        <v>50</v>
      </c>
      <c r="F529">
        <v>49.937385558999999</v>
      </c>
      <c r="G529">
        <v>1296.2901611</v>
      </c>
      <c r="H529">
        <v>1296.2901611</v>
      </c>
      <c r="I529">
        <v>1365.3603516000001</v>
      </c>
      <c r="J529">
        <v>1365.3603516000001</v>
      </c>
      <c r="K529">
        <v>0</v>
      </c>
      <c r="L529">
        <v>0</v>
      </c>
      <c r="M529">
        <v>0</v>
      </c>
      <c r="N529">
        <v>0</v>
      </c>
    </row>
    <row r="530" spans="1:14" x14ac:dyDescent="0.25">
      <c r="A530">
        <v>280.00004000000001</v>
      </c>
      <c r="B530" s="1">
        <f>DATE(2011,2,5) + TIME(0,0,3)</f>
        <v>40579.000034722223</v>
      </c>
      <c r="C530">
        <v>80</v>
      </c>
      <c r="D530">
        <v>62.039291382000002</v>
      </c>
      <c r="E530">
        <v>50</v>
      </c>
      <c r="F530">
        <v>49.936939240000001</v>
      </c>
      <c r="G530">
        <v>1299.5556641000001</v>
      </c>
      <c r="H530">
        <v>1299.5556641000001</v>
      </c>
      <c r="I530">
        <v>1361.8446045000001</v>
      </c>
      <c r="J530">
        <v>1361.8446045000001</v>
      </c>
      <c r="K530">
        <v>0</v>
      </c>
      <c r="L530">
        <v>0</v>
      </c>
      <c r="M530">
        <v>0</v>
      </c>
      <c r="N530">
        <v>0</v>
      </c>
    </row>
    <row r="531" spans="1:14" x14ac:dyDescent="0.25">
      <c r="A531">
        <v>280.00012099999998</v>
      </c>
      <c r="B531" s="1">
        <f>DATE(2011,2,5) + TIME(0,0,10)</f>
        <v>40579.000115740739</v>
      </c>
      <c r="C531">
        <v>80</v>
      </c>
      <c r="D531">
        <v>62.039791106999999</v>
      </c>
      <c r="E531">
        <v>50</v>
      </c>
      <c r="F531">
        <v>49.936393738</v>
      </c>
      <c r="G531">
        <v>1303.4030762</v>
      </c>
      <c r="H531">
        <v>1303.4030762</v>
      </c>
      <c r="I531">
        <v>1357.5515137</v>
      </c>
      <c r="J531">
        <v>1357.5515137</v>
      </c>
      <c r="K531">
        <v>0</v>
      </c>
      <c r="L531">
        <v>0</v>
      </c>
      <c r="M531">
        <v>0</v>
      </c>
      <c r="N531">
        <v>0</v>
      </c>
    </row>
    <row r="532" spans="1:14" x14ac:dyDescent="0.25">
      <c r="A532">
        <v>280.00036399999999</v>
      </c>
      <c r="B532" s="1">
        <f>DATE(2011,2,5) + TIME(0,0,31)</f>
        <v>40579.000358796293</v>
      </c>
      <c r="C532">
        <v>80</v>
      </c>
      <c r="D532">
        <v>62.040302277000002</v>
      </c>
      <c r="E532">
        <v>50</v>
      </c>
      <c r="F532">
        <v>49.935821533000002</v>
      </c>
      <c r="G532">
        <v>1307.3969727000001</v>
      </c>
      <c r="H532">
        <v>1307.3969727000001</v>
      </c>
      <c r="I532">
        <v>1353.1236572</v>
      </c>
      <c r="J532">
        <v>1353.1236572</v>
      </c>
      <c r="K532">
        <v>0</v>
      </c>
      <c r="L532">
        <v>0</v>
      </c>
      <c r="M532">
        <v>0</v>
      </c>
      <c r="N532">
        <v>0</v>
      </c>
    </row>
    <row r="533" spans="1:14" x14ac:dyDescent="0.25">
      <c r="A533">
        <v>280.00109300000003</v>
      </c>
      <c r="B533" s="1">
        <f>DATE(2011,2,5) + TIME(0,1,34)</f>
        <v>40579.001087962963</v>
      </c>
      <c r="C533">
        <v>80</v>
      </c>
      <c r="D533">
        <v>62.040824890000003</v>
      </c>
      <c r="E533">
        <v>50</v>
      </c>
      <c r="F533">
        <v>49.935211182000003</v>
      </c>
      <c r="G533">
        <v>1311.6591797000001</v>
      </c>
      <c r="H533">
        <v>1311.6591797000001</v>
      </c>
      <c r="I533">
        <v>1348.6309814000001</v>
      </c>
      <c r="J533">
        <v>1348.6309814000001</v>
      </c>
      <c r="K533">
        <v>0</v>
      </c>
      <c r="L533">
        <v>0</v>
      </c>
      <c r="M533">
        <v>0</v>
      </c>
      <c r="N533">
        <v>0</v>
      </c>
    </row>
    <row r="534" spans="1:14" x14ac:dyDescent="0.25">
      <c r="A534">
        <v>280.00328000000002</v>
      </c>
      <c r="B534" s="1">
        <f>DATE(2011,2,5) + TIME(0,4,43)</f>
        <v>40579.003275462965</v>
      </c>
      <c r="C534">
        <v>80</v>
      </c>
      <c r="D534">
        <v>62.041366576999998</v>
      </c>
      <c r="E534">
        <v>50</v>
      </c>
      <c r="F534">
        <v>49.934463501000003</v>
      </c>
      <c r="G534">
        <v>1316.6121826000001</v>
      </c>
      <c r="H534">
        <v>1316.6121826000001</v>
      </c>
      <c r="I534">
        <v>1343.7659911999999</v>
      </c>
      <c r="J534">
        <v>1343.7659911999999</v>
      </c>
      <c r="K534">
        <v>0</v>
      </c>
      <c r="L534">
        <v>0</v>
      </c>
      <c r="M534">
        <v>0</v>
      </c>
      <c r="N534">
        <v>0</v>
      </c>
    </row>
    <row r="535" spans="1:14" x14ac:dyDescent="0.25">
      <c r="A535">
        <v>280.00984099999999</v>
      </c>
      <c r="B535" s="1">
        <f>DATE(2011,2,5) + TIME(0,14,10)</f>
        <v>40579.009837962964</v>
      </c>
      <c r="C535">
        <v>80</v>
      </c>
      <c r="D535">
        <v>62.041816711000003</v>
      </c>
      <c r="E535">
        <v>50</v>
      </c>
      <c r="F535">
        <v>49.933383941999999</v>
      </c>
      <c r="G535">
        <v>1322.2617187999999</v>
      </c>
      <c r="H535">
        <v>1322.2617187999999</v>
      </c>
      <c r="I535">
        <v>1338.3787841999999</v>
      </c>
      <c r="J535">
        <v>1338.3787841999999</v>
      </c>
      <c r="K535">
        <v>0</v>
      </c>
      <c r="L535">
        <v>0</v>
      </c>
      <c r="M535">
        <v>0</v>
      </c>
      <c r="N535">
        <v>0</v>
      </c>
    </row>
    <row r="536" spans="1:14" x14ac:dyDescent="0.25">
      <c r="A536">
        <v>280.02952399999998</v>
      </c>
      <c r="B536" s="1">
        <f>DATE(2011,2,5) + TIME(0,42,30)</f>
        <v>40579.029513888891</v>
      </c>
      <c r="C536">
        <v>80</v>
      </c>
      <c r="D536">
        <v>62.041732787999997</v>
      </c>
      <c r="E536">
        <v>50</v>
      </c>
      <c r="F536">
        <v>49.931602478000002</v>
      </c>
      <c r="G536">
        <v>1327.2918701000001</v>
      </c>
      <c r="H536">
        <v>1327.2918701000001</v>
      </c>
      <c r="I536">
        <v>1333.6448975000001</v>
      </c>
      <c r="J536">
        <v>1333.6448975000001</v>
      </c>
      <c r="K536">
        <v>0</v>
      </c>
      <c r="L536">
        <v>0</v>
      </c>
      <c r="M536">
        <v>0</v>
      </c>
      <c r="N536">
        <v>0</v>
      </c>
    </row>
    <row r="537" spans="1:14" x14ac:dyDescent="0.25">
      <c r="A537">
        <v>280.088573</v>
      </c>
      <c r="B537" s="1">
        <f>DATE(2011,2,5) + TIME(2,7,32)</f>
        <v>40579.088564814818</v>
      </c>
      <c r="C537">
        <v>80</v>
      </c>
      <c r="D537">
        <v>62.040191649999997</v>
      </c>
      <c r="E537">
        <v>50</v>
      </c>
      <c r="F537">
        <v>49.927787780999999</v>
      </c>
      <c r="G537">
        <v>1330.1108397999999</v>
      </c>
      <c r="H537">
        <v>1330.1108397999999</v>
      </c>
      <c r="I537">
        <v>1331.2784423999999</v>
      </c>
      <c r="J537">
        <v>1331.2784423999999</v>
      </c>
      <c r="K537">
        <v>0</v>
      </c>
      <c r="L537">
        <v>0</v>
      </c>
      <c r="M537">
        <v>0</v>
      </c>
      <c r="N537">
        <v>0</v>
      </c>
    </row>
    <row r="538" spans="1:14" x14ac:dyDescent="0.25">
      <c r="A538">
        <v>280.26571999999999</v>
      </c>
      <c r="B538" s="1">
        <f>DATE(2011,2,5) + TIME(6,22,38)</f>
        <v>40579.265717592592</v>
      </c>
      <c r="C538">
        <v>80</v>
      </c>
      <c r="D538">
        <v>62.034725189</v>
      </c>
      <c r="E538">
        <v>50</v>
      </c>
      <c r="F538">
        <v>49.917186737000002</v>
      </c>
      <c r="G538">
        <v>1330.916626</v>
      </c>
      <c r="H538">
        <v>1330.916626</v>
      </c>
      <c r="I538">
        <v>1330.8211670000001</v>
      </c>
      <c r="J538">
        <v>1330.8211670000001</v>
      </c>
      <c r="K538">
        <v>0</v>
      </c>
      <c r="L538">
        <v>0</v>
      </c>
      <c r="M538">
        <v>0</v>
      </c>
      <c r="N538">
        <v>0</v>
      </c>
    </row>
    <row r="539" spans="1:14" x14ac:dyDescent="0.25">
      <c r="A539">
        <v>280.79716100000002</v>
      </c>
      <c r="B539" s="1">
        <f>DATE(2011,2,5) + TIME(19,7,54)</f>
        <v>40579.797152777777</v>
      </c>
      <c r="C539">
        <v>80</v>
      </c>
      <c r="D539">
        <v>62.018043517999999</v>
      </c>
      <c r="E539">
        <v>50</v>
      </c>
      <c r="F539">
        <v>49.885669708000002</v>
      </c>
      <c r="G539">
        <v>1331.019043</v>
      </c>
      <c r="H539">
        <v>1331.019043</v>
      </c>
      <c r="I539">
        <v>1330.8052978999999</v>
      </c>
      <c r="J539">
        <v>1330.8052978999999</v>
      </c>
      <c r="K539">
        <v>0</v>
      </c>
      <c r="L539">
        <v>0</v>
      </c>
      <c r="M539">
        <v>0</v>
      </c>
      <c r="N539">
        <v>0</v>
      </c>
    </row>
    <row r="540" spans="1:14" x14ac:dyDescent="0.25">
      <c r="A540">
        <v>282.39148399999999</v>
      </c>
      <c r="B540" s="1">
        <f>DATE(2011,2,7) + TIME(9,23,44)</f>
        <v>40581.391481481478</v>
      </c>
      <c r="C540">
        <v>80</v>
      </c>
      <c r="D540">
        <v>61.968112945999998</v>
      </c>
      <c r="E540">
        <v>50</v>
      </c>
      <c r="F540">
        <v>49.792190552000001</v>
      </c>
      <c r="G540">
        <v>1331.0236815999999</v>
      </c>
      <c r="H540">
        <v>1331.0236815999999</v>
      </c>
      <c r="I540">
        <v>1330.8063964999999</v>
      </c>
      <c r="J540">
        <v>1330.8063964999999</v>
      </c>
      <c r="K540">
        <v>0</v>
      </c>
      <c r="L540">
        <v>0</v>
      </c>
      <c r="M540">
        <v>0</v>
      </c>
      <c r="N540">
        <v>0</v>
      </c>
    </row>
    <row r="541" spans="1:14" x14ac:dyDescent="0.25">
      <c r="A541">
        <v>285</v>
      </c>
      <c r="B541" s="1">
        <f>DATE(2011,2,10) + TIME(0,0,0)</f>
        <v>40584</v>
      </c>
      <c r="C541">
        <v>80</v>
      </c>
      <c r="D541">
        <v>61.886917113999999</v>
      </c>
      <c r="E541">
        <v>50</v>
      </c>
      <c r="F541">
        <v>49.641998291</v>
      </c>
      <c r="G541">
        <v>1331.0218506000001</v>
      </c>
      <c r="H541">
        <v>1331.0218506000001</v>
      </c>
      <c r="I541">
        <v>1330.8056641000001</v>
      </c>
      <c r="J541">
        <v>1330.8056641000001</v>
      </c>
      <c r="K541">
        <v>0</v>
      </c>
      <c r="L541">
        <v>0</v>
      </c>
      <c r="M541">
        <v>0</v>
      </c>
      <c r="N541">
        <v>0</v>
      </c>
    </row>
    <row r="542" spans="1:14" x14ac:dyDescent="0.25">
      <c r="A542">
        <v>285.000001</v>
      </c>
      <c r="B542" s="1">
        <f>DATE(2011,2,10) + TIME(0,0,0)</f>
        <v>40584</v>
      </c>
      <c r="C542">
        <v>80</v>
      </c>
      <c r="D542">
        <v>61.886875152999998</v>
      </c>
      <c r="E542">
        <v>50</v>
      </c>
      <c r="F542">
        <v>49.642044067</v>
      </c>
      <c r="G542">
        <v>1330.6898193</v>
      </c>
      <c r="H542">
        <v>1318.5358887</v>
      </c>
      <c r="I542">
        <v>1346.7354736</v>
      </c>
      <c r="J542">
        <v>1331.1590576000001</v>
      </c>
      <c r="K542">
        <v>0</v>
      </c>
      <c r="L542">
        <v>1825</v>
      </c>
      <c r="M542">
        <v>1825</v>
      </c>
      <c r="N542">
        <v>0</v>
      </c>
    </row>
    <row r="543" spans="1:14" x14ac:dyDescent="0.25">
      <c r="A543">
        <v>285.00000399999999</v>
      </c>
      <c r="B543" s="1">
        <f>DATE(2011,2,10) + TIME(0,0,0)</f>
        <v>40584</v>
      </c>
      <c r="C543">
        <v>80</v>
      </c>
      <c r="D543">
        <v>61.886756896999998</v>
      </c>
      <c r="E543">
        <v>50</v>
      </c>
      <c r="F543">
        <v>49.642162323000001</v>
      </c>
      <c r="G543">
        <v>1329.8195800999999</v>
      </c>
      <c r="H543">
        <v>1317.6467285000001</v>
      </c>
      <c r="I543">
        <v>1347.6226807</v>
      </c>
      <c r="J543">
        <v>1332.0988769999999</v>
      </c>
      <c r="K543">
        <v>0</v>
      </c>
      <c r="L543">
        <v>1825</v>
      </c>
      <c r="M543">
        <v>1825</v>
      </c>
      <c r="N543">
        <v>0</v>
      </c>
    </row>
    <row r="544" spans="1:14" x14ac:dyDescent="0.25">
      <c r="A544">
        <v>285.00001300000002</v>
      </c>
      <c r="B544" s="1">
        <f>DATE(2011,2,10) + TIME(0,0,1)</f>
        <v>40584.000011574077</v>
      </c>
      <c r="C544">
        <v>80</v>
      </c>
      <c r="D544">
        <v>61.886505127</v>
      </c>
      <c r="E544">
        <v>50</v>
      </c>
      <c r="F544">
        <v>49.642429352000001</v>
      </c>
      <c r="G544">
        <v>1327.9296875</v>
      </c>
      <c r="H544">
        <v>1315.6839600000001</v>
      </c>
      <c r="I544">
        <v>1349.6131591999999</v>
      </c>
      <c r="J544">
        <v>1334.1931152</v>
      </c>
      <c r="K544">
        <v>0</v>
      </c>
      <c r="L544">
        <v>1825</v>
      </c>
      <c r="M544">
        <v>1825</v>
      </c>
      <c r="N544">
        <v>0</v>
      </c>
    </row>
    <row r="545" spans="1:14" x14ac:dyDescent="0.25">
      <c r="A545">
        <v>285.00004000000001</v>
      </c>
      <c r="B545" s="1">
        <f>DATE(2011,2,10) + TIME(0,0,3)</f>
        <v>40584.000034722223</v>
      </c>
      <c r="C545">
        <v>80</v>
      </c>
      <c r="D545">
        <v>61.886089325</v>
      </c>
      <c r="E545">
        <v>50</v>
      </c>
      <c r="F545">
        <v>49.642871857000003</v>
      </c>
      <c r="G545">
        <v>1324.8729248</v>
      </c>
      <c r="H545">
        <v>1312.4578856999999</v>
      </c>
      <c r="I545">
        <v>1352.9395752</v>
      </c>
      <c r="J545">
        <v>1337.6545410000001</v>
      </c>
      <c r="K545">
        <v>0</v>
      </c>
      <c r="L545">
        <v>1825</v>
      </c>
      <c r="M545">
        <v>1825</v>
      </c>
      <c r="N545">
        <v>0</v>
      </c>
    </row>
    <row r="546" spans="1:14" x14ac:dyDescent="0.25">
      <c r="A546">
        <v>285.00012099999998</v>
      </c>
      <c r="B546" s="1">
        <f>DATE(2011,2,10) + TIME(0,0,10)</f>
        <v>40584.000115740739</v>
      </c>
      <c r="C546">
        <v>80</v>
      </c>
      <c r="D546">
        <v>61.885547637999998</v>
      </c>
      <c r="E546">
        <v>50</v>
      </c>
      <c r="F546">
        <v>49.643417358000001</v>
      </c>
      <c r="G546">
        <v>1321.1516113</v>
      </c>
      <c r="H546">
        <v>1308.53125</v>
      </c>
      <c r="I546">
        <v>1357.0002440999999</v>
      </c>
      <c r="J546">
        <v>1341.8297118999999</v>
      </c>
      <c r="K546">
        <v>0</v>
      </c>
      <c r="L546">
        <v>1825</v>
      </c>
      <c r="M546">
        <v>1825</v>
      </c>
      <c r="N546">
        <v>0</v>
      </c>
    </row>
    <row r="547" spans="1:14" x14ac:dyDescent="0.25">
      <c r="A547">
        <v>285.00036399999999</v>
      </c>
      <c r="B547" s="1">
        <f>DATE(2011,2,10) + TIME(0,0,31)</f>
        <v>40584.000358796293</v>
      </c>
      <c r="C547">
        <v>80</v>
      </c>
      <c r="D547">
        <v>61.884872436999999</v>
      </c>
      <c r="E547">
        <v>50</v>
      </c>
      <c r="F547">
        <v>49.644020081000001</v>
      </c>
      <c r="G547">
        <v>1317.1829834</v>
      </c>
      <c r="H547">
        <v>1304.3950195</v>
      </c>
      <c r="I547">
        <v>1361.1860352000001</v>
      </c>
      <c r="J547">
        <v>1346.0963135</v>
      </c>
      <c r="K547">
        <v>0</v>
      </c>
      <c r="L547">
        <v>1825</v>
      </c>
      <c r="M547">
        <v>1825</v>
      </c>
      <c r="N547">
        <v>0</v>
      </c>
    </row>
    <row r="548" spans="1:14" x14ac:dyDescent="0.25">
      <c r="A548">
        <v>285.00109300000003</v>
      </c>
      <c r="B548" s="1">
        <f>DATE(2011,2,10) + TIME(0,1,34)</f>
        <v>40584.001087962963</v>
      </c>
      <c r="C548">
        <v>80</v>
      </c>
      <c r="D548">
        <v>61.883842467999997</v>
      </c>
      <c r="E548">
        <v>50</v>
      </c>
      <c r="F548">
        <v>49.644763947000001</v>
      </c>
      <c r="G548">
        <v>1312.8898925999999</v>
      </c>
      <c r="H548">
        <v>1299.9664307</v>
      </c>
      <c r="I548">
        <v>1365.4458007999999</v>
      </c>
      <c r="J548">
        <v>1350.4086914</v>
      </c>
      <c r="K548">
        <v>0</v>
      </c>
      <c r="L548">
        <v>1825</v>
      </c>
      <c r="M548">
        <v>1825</v>
      </c>
      <c r="N548">
        <v>0</v>
      </c>
    </row>
    <row r="549" spans="1:14" x14ac:dyDescent="0.25">
      <c r="A549">
        <v>285.00328000000002</v>
      </c>
      <c r="B549" s="1">
        <f>DATE(2011,2,10) + TIME(0,4,43)</f>
        <v>40584.003275462965</v>
      </c>
      <c r="C549">
        <v>80</v>
      </c>
      <c r="D549">
        <v>61.881774901999997</v>
      </c>
      <c r="E549">
        <v>50</v>
      </c>
      <c r="F549">
        <v>49.645946502999998</v>
      </c>
      <c r="G549">
        <v>1307.9141846</v>
      </c>
      <c r="H549">
        <v>1294.8913574000001</v>
      </c>
      <c r="I549">
        <v>1370.1162108999999</v>
      </c>
      <c r="J549">
        <v>1355.1003418</v>
      </c>
      <c r="K549">
        <v>0</v>
      </c>
      <c r="L549">
        <v>1825</v>
      </c>
      <c r="M549">
        <v>1825</v>
      </c>
      <c r="N549">
        <v>0</v>
      </c>
    </row>
    <row r="550" spans="1:14" x14ac:dyDescent="0.25">
      <c r="A550">
        <v>285.00984099999999</v>
      </c>
      <c r="B550" s="1">
        <f>DATE(2011,2,10) + TIME(0,14,10)</f>
        <v>40584.009837962964</v>
      </c>
      <c r="C550">
        <v>80</v>
      </c>
      <c r="D550">
        <v>61.876770020000002</v>
      </c>
      <c r="E550">
        <v>50</v>
      </c>
      <c r="F550">
        <v>49.648376464999998</v>
      </c>
      <c r="G550">
        <v>1302.2927245999999</v>
      </c>
      <c r="H550">
        <v>1289.2088623</v>
      </c>
      <c r="I550">
        <v>1375.3563231999999</v>
      </c>
      <c r="J550">
        <v>1360.3374022999999</v>
      </c>
      <c r="K550">
        <v>0</v>
      </c>
      <c r="L550">
        <v>1825</v>
      </c>
      <c r="M550">
        <v>1825</v>
      </c>
      <c r="N550">
        <v>0</v>
      </c>
    </row>
    <row r="551" spans="1:14" x14ac:dyDescent="0.25">
      <c r="A551">
        <v>285.02952399999998</v>
      </c>
      <c r="B551" s="1">
        <f>DATE(2011,2,10) + TIME(0,42,30)</f>
        <v>40584.029513888891</v>
      </c>
      <c r="C551">
        <v>80</v>
      </c>
      <c r="D551">
        <v>61.863372802999997</v>
      </c>
      <c r="E551">
        <v>50</v>
      </c>
      <c r="F551">
        <v>49.654155731000003</v>
      </c>
      <c r="G551">
        <v>1297.3173827999999</v>
      </c>
      <c r="H551">
        <v>1284.1964111</v>
      </c>
      <c r="I551">
        <v>1379.9840088000001</v>
      </c>
      <c r="J551">
        <v>1364.9555664</v>
      </c>
      <c r="K551">
        <v>0</v>
      </c>
      <c r="L551">
        <v>1825</v>
      </c>
      <c r="M551">
        <v>1825</v>
      </c>
      <c r="N551">
        <v>0</v>
      </c>
    </row>
    <row r="552" spans="1:14" x14ac:dyDescent="0.25">
      <c r="A552">
        <v>285.088573</v>
      </c>
      <c r="B552" s="1">
        <f>DATE(2011,2,10) + TIME(2,7,32)</f>
        <v>40584.088564814818</v>
      </c>
      <c r="C552">
        <v>80</v>
      </c>
      <c r="D552">
        <v>61.826290131</v>
      </c>
      <c r="E552">
        <v>50</v>
      </c>
      <c r="F552">
        <v>49.669227599999999</v>
      </c>
      <c r="G552">
        <v>1294.5360106999999</v>
      </c>
      <c r="H552">
        <v>1281.3911132999999</v>
      </c>
      <c r="I552">
        <v>1382.2971190999999</v>
      </c>
      <c r="J552">
        <v>1367.2648925999999</v>
      </c>
      <c r="K552">
        <v>0</v>
      </c>
      <c r="L552">
        <v>1825</v>
      </c>
      <c r="M552">
        <v>1825</v>
      </c>
      <c r="N552">
        <v>0</v>
      </c>
    </row>
    <row r="553" spans="1:14" x14ac:dyDescent="0.25">
      <c r="A553">
        <v>285.26571999999999</v>
      </c>
      <c r="B553" s="1">
        <f>DATE(2011,2,10) + TIME(6,22,38)</f>
        <v>40584.265717592592</v>
      </c>
      <c r="C553">
        <v>80</v>
      </c>
      <c r="D553">
        <v>61.730125426999997</v>
      </c>
      <c r="E553">
        <v>50</v>
      </c>
      <c r="F553">
        <v>49.707313538000001</v>
      </c>
      <c r="G553">
        <v>1293.7250977000001</v>
      </c>
      <c r="H553">
        <v>1280.5509033000001</v>
      </c>
      <c r="I553">
        <v>1382.7406006000001</v>
      </c>
      <c r="J553">
        <v>1367.7106934000001</v>
      </c>
      <c r="K553">
        <v>0</v>
      </c>
      <c r="L553">
        <v>1825</v>
      </c>
      <c r="M553">
        <v>1825</v>
      </c>
      <c r="N553">
        <v>0</v>
      </c>
    </row>
    <row r="554" spans="1:14" x14ac:dyDescent="0.25">
      <c r="A554">
        <v>285.79716100000002</v>
      </c>
      <c r="B554" s="1">
        <f>DATE(2011,2,10) + TIME(19,7,54)</f>
        <v>40584.797152777777</v>
      </c>
      <c r="C554">
        <v>80</v>
      </c>
      <c r="D554">
        <v>61.526725769000002</v>
      </c>
      <c r="E554">
        <v>50</v>
      </c>
      <c r="F554">
        <v>49.783504485999998</v>
      </c>
      <c r="G554">
        <v>1293.5798339999999</v>
      </c>
      <c r="H554">
        <v>1280.3480225000001</v>
      </c>
      <c r="I554">
        <v>1382.7467041</v>
      </c>
      <c r="J554">
        <v>1367.7236327999999</v>
      </c>
      <c r="K554">
        <v>0</v>
      </c>
      <c r="L554">
        <v>1825</v>
      </c>
      <c r="M554">
        <v>1825</v>
      </c>
      <c r="N554">
        <v>0</v>
      </c>
    </row>
    <row r="555" spans="1:14" x14ac:dyDescent="0.25">
      <c r="A555">
        <v>287.25758400000001</v>
      </c>
      <c r="B555" s="1">
        <f>DATE(2011,2,12) + TIME(6,10,55)</f>
        <v>40586.257581018515</v>
      </c>
      <c r="C555">
        <v>80</v>
      </c>
      <c r="D555">
        <v>61.222843169999997</v>
      </c>
      <c r="E555">
        <v>50</v>
      </c>
      <c r="F555">
        <v>49.872013092000003</v>
      </c>
      <c r="G555">
        <v>1293.4671631000001</v>
      </c>
      <c r="H555">
        <v>1280.1436768000001</v>
      </c>
      <c r="I555">
        <v>1382.7252197</v>
      </c>
      <c r="J555">
        <v>1367.7103271000001</v>
      </c>
      <c r="K555">
        <v>0</v>
      </c>
      <c r="L555">
        <v>1825</v>
      </c>
      <c r="M555">
        <v>1825</v>
      </c>
      <c r="N555">
        <v>0</v>
      </c>
    </row>
    <row r="556" spans="1:14" x14ac:dyDescent="0.25">
      <c r="A556">
        <v>289.54838899999999</v>
      </c>
      <c r="B556" s="1">
        <f>DATE(2011,2,14) + TIME(13,9,40)</f>
        <v>40588.548379629632</v>
      </c>
      <c r="C556">
        <v>80</v>
      </c>
      <c r="D556">
        <v>60.831150055000002</v>
      </c>
      <c r="E556">
        <v>50</v>
      </c>
      <c r="F556">
        <v>49.916366576999998</v>
      </c>
      <c r="G556">
        <v>1293.2266846</v>
      </c>
      <c r="H556">
        <v>1279.7795410000001</v>
      </c>
      <c r="I556">
        <v>1382.6810303</v>
      </c>
      <c r="J556">
        <v>1367.6708983999999</v>
      </c>
      <c r="K556">
        <v>0</v>
      </c>
      <c r="L556">
        <v>1825</v>
      </c>
      <c r="M556">
        <v>1825</v>
      </c>
      <c r="N556">
        <v>0</v>
      </c>
    </row>
    <row r="557" spans="1:14" x14ac:dyDescent="0.25">
      <c r="A557">
        <v>291.84948100000003</v>
      </c>
      <c r="B557" s="1">
        <f>DATE(2011,2,16) + TIME(20,23,15)</f>
        <v>40590.849479166667</v>
      </c>
      <c r="C557">
        <v>80</v>
      </c>
      <c r="D557">
        <v>60.319988250999998</v>
      </c>
      <c r="E557">
        <v>50</v>
      </c>
      <c r="F557">
        <v>49.930660248000002</v>
      </c>
      <c r="G557">
        <v>1292.8653564000001</v>
      </c>
      <c r="H557">
        <v>1279.2572021000001</v>
      </c>
      <c r="I557">
        <v>1382.6149902</v>
      </c>
      <c r="J557">
        <v>1367.6080322</v>
      </c>
      <c r="K557">
        <v>0</v>
      </c>
      <c r="L557">
        <v>1825</v>
      </c>
      <c r="M557">
        <v>1825</v>
      </c>
      <c r="N557">
        <v>0</v>
      </c>
    </row>
    <row r="558" spans="1:14" x14ac:dyDescent="0.25">
      <c r="A558">
        <v>294.16865899999999</v>
      </c>
      <c r="B558" s="1">
        <f>DATE(2011,2,19) + TIME(4,2,52)</f>
        <v>40593.168657407405</v>
      </c>
      <c r="C558">
        <v>80</v>
      </c>
      <c r="D558">
        <v>59.760974883999999</v>
      </c>
      <c r="E558">
        <v>50</v>
      </c>
      <c r="F558">
        <v>49.935356140000003</v>
      </c>
      <c r="G558">
        <v>1292.4895019999999</v>
      </c>
      <c r="H558">
        <v>1278.7017822</v>
      </c>
      <c r="I558">
        <v>1382.5507812000001</v>
      </c>
      <c r="J558">
        <v>1367.5471190999999</v>
      </c>
      <c r="K558">
        <v>0</v>
      </c>
      <c r="L558">
        <v>1825</v>
      </c>
      <c r="M558">
        <v>1825</v>
      </c>
      <c r="N558">
        <v>0</v>
      </c>
    </row>
    <row r="559" spans="1:14" x14ac:dyDescent="0.25">
      <c r="A559">
        <v>296.50814000000003</v>
      </c>
      <c r="B559" s="1">
        <f>DATE(2011,2,21) + TIME(12,11,43)</f>
        <v>40595.508136574077</v>
      </c>
      <c r="C559">
        <v>80</v>
      </c>
      <c r="D559">
        <v>59.174442290999998</v>
      </c>
      <c r="E559">
        <v>50</v>
      </c>
      <c r="F559">
        <v>49.936988831000001</v>
      </c>
      <c r="G559">
        <v>1292.1062012</v>
      </c>
      <c r="H559">
        <v>1278.1303711</v>
      </c>
      <c r="I559">
        <v>1382.487793</v>
      </c>
      <c r="J559">
        <v>1367.4874268000001</v>
      </c>
      <c r="K559">
        <v>0</v>
      </c>
      <c r="L559">
        <v>1825</v>
      </c>
      <c r="M559">
        <v>1825</v>
      </c>
      <c r="N559">
        <v>0</v>
      </c>
    </row>
    <row r="560" spans="1:14" x14ac:dyDescent="0.25">
      <c r="A560">
        <v>298.862212</v>
      </c>
      <c r="B560" s="1">
        <f>DATE(2011,2,23) + TIME(20,41,35)</f>
        <v>40597.862210648149</v>
      </c>
      <c r="C560">
        <v>80</v>
      </c>
      <c r="D560">
        <v>58.567214966000002</v>
      </c>
      <c r="E560">
        <v>50</v>
      </c>
      <c r="F560">
        <v>49.937648772999999</v>
      </c>
      <c r="G560">
        <v>1291.7180175999999</v>
      </c>
      <c r="H560">
        <v>1277.5484618999999</v>
      </c>
      <c r="I560">
        <v>1382.4256591999999</v>
      </c>
      <c r="J560">
        <v>1367.4288329999999</v>
      </c>
      <c r="K560">
        <v>0</v>
      </c>
      <c r="L560">
        <v>1825</v>
      </c>
      <c r="M560">
        <v>1825</v>
      </c>
      <c r="N560">
        <v>0</v>
      </c>
    </row>
    <row r="561" spans="1:14" x14ac:dyDescent="0.25">
      <c r="A561">
        <v>301.227014</v>
      </c>
      <c r="B561" s="1">
        <f>DATE(2011,2,26) + TIME(5,26,54)</f>
        <v>40600.227013888885</v>
      </c>
      <c r="C561">
        <v>80</v>
      </c>
      <c r="D561">
        <v>57.942321776999997</v>
      </c>
      <c r="E561">
        <v>50</v>
      </c>
      <c r="F561">
        <v>49.937995911000002</v>
      </c>
      <c r="G561">
        <v>1291.3266602000001</v>
      </c>
      <c r="H561">
        <v>1276.9588623</v>
      </c>
      <c r="I561">
        <v>1382.3642577999999</v>
      </c>
      <c r="J561">
        <v>1367.3710937999999</v>
      </c>
      <c r="K561">
        <v>0</v>
      </c>
      <c r="L561">
        <v>1825</v>
      </c>
      <c r="M561">
        <v>1825</v>
      </c>
      <c r="N561">
        <v>0</v>
      </c>
    </row>
    <row r="562" spans="1:14" x14ac:dyDescent="0.25">
      <c r="A562">
        <v>303.60639300000003</v>
      </c>
      <c r="B562" s="1">
        <f>DATE(2011,2,28) + TIME(14,33,12)</f>
        <v>40602.606388888889</v>
      </c>
      <c r="C562">
        <v>80</v>
      </c>
      <c r="D562">
        <v>57.301223755000002</v>
      </c>
      <c r="E562">
        <v>50</v>
      </c>
      <c r="F562">
        <v>49.938243866000001</v>
      </c>
      <c r="G562">
        <v>1290.9333495999999</v>
      </c>
      <c r="H562">
        <v>1276.3635254000001</v>
      </c>
      <c r="I562">
        <v>1382.3038329999999</v>
      </c>
      <c r="J562">
        <v>1367.3143310999999</v>
      </c>
      <c r="K562">
        <v>0</v>
      </c>
      <c r="L562">
        <v>1825</v>
      </c>
      <c r="M562">
        <v>1825</v>
      </c>
      <c r="N562">
        <v>0</v>
      </c>
    </row>
    <row r="563" spans="1:14" x14ac:dyDescent="0.25">
      <c r="A563">
        <v>306.00420800000001</v>
      </c>
      <c r="B563" s="1">
        <f>DATE(2011,3,3) + TIME(0,6,3)</f>
        <v>40605.004201388889</v>
      </c>
      <c r="C563">
        <v>80</v>
      </c>
      <c r="D563">
        <v>56.644096374999997</v>
      </c>
      <c r="E563">
        <v>50</v>
      </c>
      <c r="F563">
        <v>49.938465118000003</v>
      </c>
      <c r="G563">
        <v>1290.5379639</v>
      </c>
      <c r="H563">
        <v>1275.7620850000001</v>
      </c>
      <c r="I563">
        <v>1382.2441406</v>
      </c>
      <c r="J563">
        <v>1367.2584228999999</v>
      </c>
      <c r="K563">
        <v>0</v>
      </c>
      <c r="L563">
        <v>1825</v>
      </c>
      <c r="M563">
        <v>1825</v>
      </c>
      <c r="N563">
        <v>0</v>
      </c>
    </row>
    <row r="564" spans="1:14" x14ac:dyDescent="0.25">
      <c r="A564">
        <v>308.41602799999998</v>
      </c>
      <c r="B564" s="1">
        <f>DATE(2011,3,5) + TIME(9,59,4)</f>
        <v>40607.416018518517</v>
      </c>
      <c r="C564">
        <v>80</v>
      </c>
      <c r="D564">
        <v>55.971401215</v>
      </c>
      <c r="E564">
        <v>50</v>
      </c>
      <c r="F564">
        <v>49.938674927000001</v>
      </c>
      <c r="G564">
        <v>1290.1402588000001</v>
      </c>
      <c r="H564">
        <v>1275.1545410000001</v>
      </c>
      <c r="I564">
        <v>1382.1850586</v>
      </c>
      <c r="J564">
        <v>1367.2030029</v>
      </c>
      <c r="K564">
        <v>0</v>
      </c>
      <c r="L564">
        <v>1825</v>
      </c>
      <c r="M564">
        <v>1825</v>
      </c>
      <c r="N564">
        <v>0</v>
      </c>
    </row>
    <row r="565" spans="1:14" x14ac:dyDescent="0.25">
      <c r="A565">
        <v>310.84395599999999</v>
      </c>
      <c r="B565" s="1">
        <f>DATE(2011,3,7) + TIME(20,15,17)</f>
        <v>40609.843946759262</v>
      </c>
      <c r="C565">
        <v>80</v>
      </c>
      <c r="D565">
        <v>55.284221649000003</v>
      </c>
      <c r="E565">
        <v>50</v>
      </c>
      <c r="F565">
        <v>49.938880920000003</v>
      </c>
      <c r="G565">
        <v>1289.7412108999999</v>
      </c>
      <c r="H565">
        <v>1274.5418701000001</v>
      </c>
      <c r="I565">
        <v>1382.1265868999999</v>
      </c>
      <c r="J565">
        <v>1367.1483154</v>
      </c>
      <c r="K565">
        <v>0</v>
      </c>
      <c r="L565">
        <v>1825</v>
      </c>
      <c r="M565">
        <v>1825</v>
      </c>
      <c r="N565">
        <v>0</v>
      </c>
    </row>
    <row r="566" spans="1:14" x14ac:dyDescent="0.25">
      <c r="A566">
        <v>313.289851</v>
      </c>
      <c r="B566" s="1">
        <f>DATE(2011,3,10) + TIME(6,57,23)</f>
        <v>40612.289849537039</v>
      </c>
      <c r="C566">
        <v>80</v>
      </c>
      <c r="D566">
        <v>54.583122252999999</v>
      </c>
      <c r="E566">
        <v>50</v>
      </c>
      <c r="F566">
        <v>49.939083099000001</v>
      </c>
      <c r="G566">
        <v>1289.3408202999999</v>
      </c>
      <c r="H566">
        <v>1273.9241943</v>
      </c>
      <c r="I566">
        <v>1382.0686035000001</v>
      </c>
      <c r="J566">
        <v>1367.0941161999999</v>
      </c>
      <c r="K566">
        <v>0</v>
      </c>
      <c r="L566">
        <v>1825</v>
      </c>
      <c r="M566">
        <v>1825</v>
      </c>
      <c r="N566">
        <v>0</v>
      </c>
    </row>
    <row r="567" spans="1:14" x14ac:dyDescent="0.25">
      <c r="A567">
        <v>315.75753300000002</v>
      </c>
      <c r="B567" s="1">
        <f>DATE(2011,3,12) + TIME(18,10,50)</f>
        <v>40614.757523148146</v>
      </c>
      <c r="C567">
        <v>80</v>
      </c>
      <c r="D567">
        <v>53.868423462000003</v>
      </c>
      <c r="E567">
        <v>50</v>
      </c>
      <c r="F567">
        <v>49.939289092999999</v>
      </c>
      <c r="G567">
        <v>1288.9390868999999</v>
      </c>
      <c r="H567">
        <v>1273.3015137</v>
      </c>
      <c r="I567">
        <v>1382.0112305</v>
      </c>
      <c r="J567">
        <v>1367.0404053</v>
      </c>
      <c r="K567">
        <v>0</v>
      </c>
      <c r="L567">
        <v>1825</v>
      </c>
      <c r="M567">
        <v>1825</v>
      </c>
      <c r="N567">
        <v>0</v>
      </c>
    </row>
    <row r="568" spans="1:14" x14ac:dyDescent="0.25">
      <c r="A568">
        <v>318.24169000000001</v>
      </c>
      <c r="B568" s="1">
        <f>DATE(2011,3,15) + TIME(5,48,2)</f>
        <v>40617.241689814815</v>
      </c>
      <c r="C568">
        <v>80</v>
      </c>
      <c r="D568">
        <v>53.140903473000002</v>
      </c>
      <c r="E568">
        <v>50</v>
      </c>
      <c r="F568">
        <v>49.939495086999997</v>
      </c>
      <c r="G568">
        <v>1288.5358887</v>
      </c>
      <c r="H568">
        <v>1272.6735839999999</v>
      </c>
      <c r="I568">
        <v>1381.9542236</v>
      </c>
      <c r="J568">
        <v>1366.9871826000001</v>
      </c>
      <c r="K568">
        <v>0</v>
      </c>
      <c r="L568">
        <v>1825</v>
      </c>
      <c r="M568">
        <v>1825</v>
      </c>
      <c r="N568">
        <v>0</v>
      </c>
    </row>
    <row r="569" spans="1:14" x14ac:dyDescent="0.25">
      <c r="A569">
        <v>320</v>
      </c>
      <c r="B569" s="1">
        <f>DATE(2011,3,17) + TIME(0,0,0)</f>
        <v>40619</v>
      </c>
      <c r="C569">
        <v>80</v>
      </c>
      <c r="D569">
        <v>52.479675293</v>
      </c>
      <c r="E569">
        <v>50</v>
      </c>
      <c r="F569">
        <v>49.939636229999998</v>
      </c>
      <c r="G569">
        <v>1288.1346435999999</v>
      </c>
      <c r="H569">
        <v>1272.0666504000001</v>
      </c>
      <c r="I569">
        <v>1381.8972168</v>
      </c>
      <c r="J569">
        <v>1366.9339600000001</v>
      </c>
      <c r="K569">
        <v>0</v>
      </c>
      <c r="L569">
        <v>1825</v>
      </c>
      <c r="M569">
        <v>1825</v>
      </c>
      <c r="N569">
        <v>0</v>
      </c>
    </row>
    <row r="570" spans="1:14" x14ac:dyDescent="0.25">
      <c r="A570">
        <v>320.000001</v>
      </c>
      <c r="B570" s="1">
        <f>DATE(2011,3,17) + TIME(0,0,0)</f>
        <v>40619</v>
      </c>
      <c r="C570">
        <v>80</v>
      </c>
      <c r="D570">
        <v>52.479724883999999</v>
      </c>
      <c r="E570">
        <v>50</v>
      </c>
      <c r="F570">
        <v>49.939590453999998</v>
      </c>
      <c r="G570">
        <v>1288.5130615</v>
      </c>
      <c r="H570">
        <v>1288.5130615</v>
      </c>
      <c r="I570">
        <v>1366.5928954999999</v>
      </c>
      <c r="J570">
        <v>1366.5928954999999</v>
      </c>
      <c r="K570">
        <v>0</v>
      </c>
      <c r="L570">
        <v>0</v>
      </c>
      <c r="M570">
        <v>0</v>
      </c>
      <c r="N570">
        <v>0</v>
      </c>
    </row>
    <row r="571" spans="1:14" x14ac:dyDescent="0.25">
      <c r="A571">
        <v>320.00000399999999</v>
      </c>
      <c r="B571" s="1">
        <f>DATE(2011,3,17) + TIME(0,0,0)</f>
        <v>40619</v>
      </c>
      <c r="C571">
        <v>80</v>
      </c>
      <c r="D571">
        <v>52.479850769000002</v>
      </c>
      <c r="E571">
        <v>50</v>
      </c>
      <c r="F571">
        <v>49.939476012999997</v>
      </c>
      <c r="G571">
        <v>1289.5196533000001</v>
      </c>
      <c r="H571">
        <v>1289.5196533000001</v>
      </c>
      <c r="I571">
        <v>1365.6829834</v>
      </c>
      <c r="J571">
        <v>1365.6829834</v>
      </c>
      <c r="K571">
        <v>0</v>
      </c>
      <c r="L571">
        <v>0</v>
      </c>
      <c r="M571">
        <v>0</v>
      </c>
      <c r="N571">
        <v>0</v>
      </c>
    </row>
    <row r="572" spans="1:14" x14ac:dyDescent="0.25">
      <c r="A572">
        <v>320.00001300000002</v>
      </c>
      <c r="B572" s="1">
        <f>DATE(2011,3,17) + TIME(0,0,1)</f>
        <v>40619.000011574077</v>
      </c>
      <c r="C572">
        <v>80</v>
      </c>
      <c r="D572">
        <v>52.480129241999997</v>
      </c>
      <c r="E572">
        <v>50</v>
      </c>
      <c r="F572">
        <v>49.939220427999999</v>
      </c>
      <c r="G572">
        <v>1291.7650146000001</v>
      </c>
      <c r="H572">
        <v>1291.7650146000001</v>
      </c>
      <c r="I572">
        <v>1363.6418457</v>
      </c>
      <c r="J572">
        <v>1363.6418457</v>
      </c>
      <c r="K572">
        <v>0</v>
      </c>
      <c r="L572">
        <v>0</v>
      </c>
      <c r="M572">
        <v>0</v>
      </c>
      <c r="N572">
        <v>0</v>
      </c>
    </row>
    <row r="573" spans="1:14" x14ac:dyDescent="0.25">
      <c r="A573">
        <v>320.00004000000001</v>
      </c>
      <c r="B573" s="1">
        <f>DATE(2011,3,17) + TIME(0,0,3)</f>
        <v>40619.000034722223</v>
      </c>
      <c r="C573">
        <v>80</v>
      </c>
      <c r="D573">
        <v>52.480594635000003</v>
      </c>
      <c r="E573">
        <v>50</v>
      </c>
      <c r="F573">
        <v>49.938789368000002</v>
      </c>
      <c r="G573">
        <v>1295.4897461</v>
      </c>
      <c r="H573">
        <v>1295.4897461</v>
      </c>
      <c r="I573">
        <v>1360.2307129000001</v>
      </c>
      <c r="J573">
        <v>1360.2307129000001</v>
      </c>
      <c r="K573">
        <v>0</v>
      </c>
      <c r="L573">
        <v>0</v>
      </c>
      <c r="M573">
        <v>0</v>
      </c>
      <c r="N573">
        <v>0</v>
      </c>
    </row>
    <row r="574" spans="1:14" x14ac:dyDescent="0.25">
      <c r="A574">
        <v>320.00012099999998</v>
      </c>
      <c r="B574" s="1">
        <f>DATE(2011,3,17) + TIME(0,0,10)</f>
        <v>40619.000115740739</v>
      </c>
      <c r="C574">
        <v>80</v>
      </c>
      <c r="D574">
        <v>52.481159210000001</v>
      </c>
      <c r="E574">
        <v>50</v>
      </c>
      <c r="F574">
        <v>49.938259125000002</v>
      </c>
      <c r="G574">
        <v>1300.0288086</v>
      </c>
      <c r="H574">
        <v>1300.0288086</v>
      </c>
      <c r="I574">
        <v>1356.0653076000001</v>
      </c>
      <c r="J574">
        <v>1356.0653076000001</v>
      </c>
      <c r="K574">
        <v>0</v>
      </c>
      <c r="L574">
        <v>0</v>
      </c>
      <c r="M574">
        <v>0</v>
      </c>
      <c r="N574">
        <v>0</v>
      </c>
    </row>
    <row r="575" spans="1:14" x14ac:dyDescent="0.25">
      <c r="A575">
        <v>320.00036399999999</v>
      </c>
      <c r="B575" s="1">
        <f>DATE(2011,3,17) + TIME(0,0,31)</f>
        <v>40619.000358796293</v>
      </c>
      <c r="C575">
        <v>80</v>
      </c>
      <c r="D575">
        <v>52.481735229000002</v>
      </c>
      <c r="E575">
        <v>50</v>
      </c>
      <c r="F575">
        <v>49.937705993999998</v>
      </c>
      <c r="G575">
        <v>1304.7773437999999</v>
      </c>
      <c r="H575">
        <v>1304.7773437999999</v>
      </c>
      <c r="I575">
        <v>1351.7714844</v>
      </c>
      <c r="J575">
        <v>1351.7714844</v>
      </c>
      <c r="K575">
        <v>0</v>
      </c>
      <c r="L575">
        <v>0</v>
      </c>
      <c r="M575">
        <v>0</v>
      </c>
      <c r="N575">
        <v>0</v>
      </c>
    </row>
    <row r="576" spans="1:14" x14ac:dyDescent="0.25">
      <c r="A576">
        <v>320.00109300000003</v>
      </c>
      <c r="B576" s="1">
        <f>DATE(2011,3,17) + TIME(0,1,34)</f>
        <v>40619.001087962963</v>
      </c>
      <c r="C576">
        <v>80</v>
      </c>
      <c r="D576">
        <v>52.482315063000001</v>
      </c>
      <c r="E576">
        <v>50</v>
      </c>
      <c r="F576">
        <v>49.937118529999999</v>
      </c>
      <c r="G576">
        <v>1309.7851562000001</v>
      </c>
      <c r="H576">
        <v>1309.7851562000001</v>
      </c>
      <c r="I576">
        <v>1347.4460449000001</v>
      </c>
      <c r="J576">
        <v>1347.4460449000001</v>
      </c>
      <c r="K576">
        <v>0</v>
      </c>
      <c r="L576">
        <v>0</v>
      </c>
      <c r="M576">
        <v>0</v>
      </c>
      <c r="N576">
        <v>0</v>
      </c>
    </row>
    <row r="577" spans="1:14" x14ac:dyDescent="0.25">
      <c r="A577">
        <v>320.00328000000002</v>
      </c>
      <c r="B577" s="1">
        <f>DATE(2011,3,17) + TIME(0,4,43)</f>
        <v>40619.003275462965</v>
      </c>
      <c r="C577">
        <v>80</v>
      </c>
      <c r="D577">
        <v>52.482891082999998</v>
      </c>
      <c r="E577">
        <v>50</v>
      </c>
      <c r="F577">
        <v>49.936416626000003</v>
      </c>
      <c r="G577">
        <v>1315.3874512</v>
      </c>
      <c r="H577">
        <v>1315.3874512</v>
      </c>
      <c r="I577">
        <v>1342.8746338000001</v>
      </c>
      <c r="J577">
        <v>1342.8746338000001</v>
      </c>
      <c r="K577">
        <v>0</v>
      </c>
      <c r="L577">
        <v>0</v>
      </c>
      <c r="M577">
        <v>0</v>
      </c>
      <c r="N577">
        <v>0</v>
      </c>
    </row>
    <row r="578" spans="1:14" x14ac:dyDescent="0.25">
      <c r="A578">
        <v>320.00984099999999</v>
      </c>
      <c r="B578" s="1">
        <f>DATE(2011,3,17) + TIME(0,14,10)</f>
        <v>40619.009837962964</v>
      </c>
      <c r="C578">
        <v>80</v>
      </c>
      <c r="D578">
        <v>52.483314514</v>
      </c>
      <c r="E578">
        <v>50</v>
      </c>
      <c r="F578">
        <v>49.935413361000002</v>
      </c>
      <c r="G578">
        <v>1321.4560547000001</v>
      </c>
      <c r="H578">
        <v>1321.4560547000001</v>
      </c>
      <c r="I578">
        <v>1337.9129639</v>
      </c>
      <c r="J578">
        <v>1337.9129639</v>
      </c>
      <c r="K578">
        <v>0</v>
      </c>
      <c r="L578">
        <v>0</v>
      </c>
      <c r="M578">
        <v>0</v>
      </c>
      <c r="N578">
        <v>0</v>
      </c>
    </row>
    <row r="579" spans="1:14" x14ac:dyDescent="0.25">
      <c r="A579">
        <v>320.02952399999998</v>
      </c>
      <c r="B579" s="1">
        <f>DATE(2011,3,17) + TIME(0,42,30)</f>
        <v>40619.029513888891</v>
      </c>
      <c r="C579">
        <v>80</v>
      </c>
      <c r="D579">
        <v>52.483188628999997</v>
      </c>
      <c r="E579">
        <v>50</v>
      </c>
      <c r="F579">
        <v>49.933750152999998</v>
      </c>
      <c r="G579">
        <v>1326.6396483999999</v>
      </c>
      <c r="H579">
        <v>1326.6396483999999</v>
      </c>
      <c r="I579">
        <v>1333.5506591999999</v>
      </c>
      <c r="J579">
        <v>1333.5506591999999</v>
      </c>
      <c r="K579">
        <v>0</v>
      </c>
      <c r="L579">
        <v>0</v>
      </c>
      <c r="M579">
        <v>0</v>
      </c>
      <c r="N579">
        <v>0</v>
      </c>
    </row>
    <row r="580" spans="1:14" x14ac:dyDescent="0.25">
      <c r="A580">
        <v>320.088573</v>
      </c>
      <c r="B580" s="1">
        <f>DATE(2011,3,17) + TIME(2,7,32)</f>
        <v>40619.088564814818</v>
      </c>
      <c r="C580">
        <v>80</v>
      </c>
      <c r="D580">
        <v>52.481765746999997</v>
      </c>
      <c r="E580">
        <v>50</v>
      </c>
      <c r="F580">
        <v>49.930156707999998</v>
      </c>
      <c r="G580">
        <v>1329.4770507999999</v>
      </c>
      <c r="H580">
        <v>1329.4770507999999</v>
      </c>
      <c r="I580">
        <v>1331.3615723</v>
      </c>
      <c r="J580">
        <v>1331.3615723</v>
      </c>
      <c r="K580">
        <v>0</v>
      </c>
      <c r="L580">
        <v>0</v>
      </c>
      <c r="M580">
        <v>0</v>
      </c>
      <c r="N580">
        <v>0</v>
      </c>
    </row>
    <row r="581" spans="1:14" x14ac:dyDescent="0.25">
      <c r="A581">
        <v>320.26571999999999</v>
      </c>
      <c r="B581" s="1">
        <f>DATE(2011,3,17) + TIME(6,22,38)</f>
        <v>40619.265717592592</v>
      </c>
      <c r="C581">
        <v>80</v>
      </c>
      <c r="D581">
        <v>52.476768493999998</v>
      </c>
      <c r="E581">
        <v>50</v>
      </c>
      <c r="F581">
        <v>49.920173644999998</v>
      </c>
      <c r="G581">
        <v>1330.2827147999999</v>
      </c>
      <c r="H581">
        <v>1330.2827147999999</v>
      </c>
      <c r="I581">
        <v>1330.9423827999999</v>
      </c>
      <c r="J581">
        <v>1330.9423827999999</v>
      </c>
      <c r="K581">
        <v>0</v>
      </c>
      <c r="L581">
        <v>0</v>
      </c>
      <c r="M581">
        <v>0</v>
      </c>
      <c r="N581">
        <v>0</v>
      </c>
    </row>
    <row r="582" spans="1:14" x14ac:dyDescent="0.25">
      <c r="A582">
        <v>320.79716100000002</v>
      </c>
      <c r="B582" s="1">
        <f>DATE(2011,3,17) + TIME(19,7,54)</f>
        <v>40619.797152777777</v>
      </c>
      <c r="C582">
        <v>80</v>
      </c>
      <c r="D582">
        <v>52.461505889999998</v>
      </c>
      <c r="E582">
        <v>50</v>
      </c>
      <c r="F582">
        <v>49.890483856000003</v>
      </c>
      <c r="G582">
        <v>1330.3851318</v>
      </c>
      <c r="H582">
        <v>1330.3851318</v>
      </c>
      <c r="I582">
        <v>1330.9295654</v>
      </c>
      <c r="J582">
        <v>1330.9295654</v>
      </c>
      <c r="K582">
        <v>0</v>
      </c>
      <c r="L582">
        <v>0</v>
      </c>
      <c r="M582">
        <v>0</v>
      </c>
      <c r="N582">
        <v>0</v>
      </c>
    </row>
    <row r="583" spans="1:14" x14ac:dyDescent="0.25">
      <c r="A583">
        <v>322.39148399999999</v>
      </c>
      <c r="B583" s="1">
        <f>DATE(2011,3,19) + TIME(9,23,44)</f>
        <v>40621.391481481478</v>
      </c>
      <c r="C583">
        <v>80</v>
      </c>
      <c r="D583">
        <v>52.415878296000002</v>
      </c>
      <c r="E583">
        <v>50</v>
      </c>
      <c r="F583">
        <v>49.802368164000001</v>
      </c>
      <c r="G583">
        <v>1330.3901367000001</v>
      </c>
      <c r="H583">
        <v>1330.3901367000001</v>
      </c>
      <c r="I583">
        <v>1330.9307861</v>
      </c>
      <c r="J583">
        <v>1330.9307861</v>
      </c>
      <c r="K583">
        <v>0</v>
      </c>
      <c r="L583">
        <v>0</v>
      </c>
      <c r="M583">
        <v>0</v>
      </c>
      <c r="N583">
        <v>0</v>
      </c>
    </row>
    <row r="584" spans="1:14" x14ac:dyDescent="0.25">
      <c r="A584">
        <v>325</v>
      </c>
      <c r="B584" s="1">
        <f>DATE(2011,3,22) + TIME(0,0,0)</f>
        <v>40624</v>
      </c>
      <c r="C584">
        <v>80</v>
      </c>
      <c r="D584">
        <v>52.341739654999998</v>
      </c>
      <c r="E584">
        <v>50</v>
      </c>
      <c r="F584">
        <v>49.660694122000002</v>
      </c>
      <c r="G584">
        <v>1330.3892822</v>
      </c>
      <c r="H584">
        <v>1330.3892822</v>
      </c>
      <c r="I584">
        <v>1330.9300536999999</v>
      </c>
      <c r="J584">
        <v>1330.9300536999999</v>
      </c>
      <c r="K584">
        <v>0</v>
      </c>
      <c r="L584">
        <v>0</v>
      </c>
      <c r="M584">
        <v>0</v>
      </c>
      <c r="N584">
        <v>0</v>
      </c>
    </row>
    <row r="585" spans="1:14" x14ac:dyDescent="0.25">
      <c r="A585">
        <v>325.000001</v>
      </c>
      <c r="B585" s="1">
        <f>DATE(2011,3,22) + TIME(0,0,0)</f>
        <v>40624</v>
      </c>
      <c r="C585">
        <v>80</v>
      </c>
      <c r="D585">
        <v>52.341693878000001</v>
      </c>
      <c r="E585">
        <v>50</v>
      </c>
      <c r="F585">
        <v>49.660739898999999</v>
      </c>
      <c r="G585">
        <v>1330.0183105000001</v>
      </c>
      <c r="H585">
        <v>1314.3637695</v>
      </c>
      <c r="I585">
        <v>1346.730957</v>
      </c>
      <c r="J585">
        <v>1331.2806396000001</v>
      </c>
      <c r="K585">
        <v>0</v>
      </c>
      <c r="L585">
        <v>1825</v>
      </c>
      <c r="M585">
        <v>1825</v>
      </c>
      <c r="N585">
        <v>0</v>
      </c>
    </row>
    <row r="586" spans="1:14" x14ac:dyDescent="0.25">
      <c r="A586">
        <v>325.00000399999999</v>
      </c>
      <c r="B586" s="1">
        <f>DATE(2011,3,22) + TIME(0,0,0)</f>
        <v>40624</v>
      </c>
      <c r="C586">
        <v>80</v>
      </c>
      <c r="D586">
        <v>52.341567992999998</v>
      </c>
      <c r="E586">
        <v>50</v>
      </c>
      <c r="F586">
        <v>49.660858154000003</v>
      </c>
      <c r="G586">
        <v>1329.0355225000001</v>
      </c>
      <c r="H586">
        <v>1313.4503173999999</v>
      </c>
      <c r="I586">
        <v>1347.6181641000001</v>
      </c>
      <c r="J586">
        <v>1332.213501</v>
      </c>
      <c r="K586">
        <v>0</v>
      </c>
      <c r="L586">
        <v>1825</v>
      </c>
      <c r="M586">
        <v>1825</v>
      </c>
      <c r="N586">
        <v>0</v>
      </c>
    </row>
    <row r="587" spans="1:14" x14ac:dyDescent="0.25">
      <c r="A587">
        <v>325.00001300000002</v>
      </c>
      <c r="B587" s="1">
        <f>DATE(2011,3,22) + TIME(0,0,1)</f>
        <v>40624.000011574077</v>
      </c>
      <c r="C587">
        <v>80</v>
      </c>
      <c r="D587">
        <v>52.341289519999997</v>
      </c>
      <c r="E587">
        <v>50</v>
      </c>
      <c r="F587">
        <v>49.661121368000003</v>
      </c>
      <c r="G587">
        <v>1326.8549805</v>
      </c>
      <c r="H587">
        <v>1311.3482666</v>
      </c>
      <c r="I587">
        <v>1349.6085204999999</v>
      </c>
      <c r="J587">
        <v>1334.2940673999999</v>
      </c>
      <c r="K587">
        <v>0</v>
      </c>
      <c r="L587">
        <v>1825</v>
      </c>
      <c r="M587">
        <v>1825</v>
      </c>
      <c r="N587">
        <v>0</v>
      </c>
    </row>
    <row r="588" spans="1:14" x14ac:dyDescent="0.25">
      <c r="A588">
        <v>325.00004000000001</v>
      </c>
      <c r="B588" s="1">
        <f>DATE(2011,3,22) + TIME(0,0,3)</f>
        <v>40624.000034722223</v>
      </c>
      <c r="C588">
        <v>80</v>
      </c>
      <c r="D588">
        <v>52.340808868000003</v>
      </c>
      <c r="E588">
        <v>50</v>
      </c>
      <c r="F588">
        <v>49.661560059000003</v>
      </c>
      <c r="G588">
        <v>1323.2226562000001</v>
      </c>
      <c r="H588">
        <v>1307.6834716999999</v>
      </c>
      <c r="I588">
        <v>1352.9348144999999</v>
      </c>
      <c r="J588">
        <v>1337.7381591999999</v>
      </c>
      <c r="K588">
        <v>0</v>
      </c>
      <c r="L588">
        <v>1825</v>
      </c>
      <c r="M588">
        <v>1825</v>
      </c>
      <c r="N588">
        <v>0</v>
      </c>
    </row>
    <row r="589" spans="1:14" x14ac:dyDescent="0.25">
      <c r="A589">
        <v>325.00012099999998</v>
      </c>
      <c r="B589" s="1">
        <f>DATE(2011,3,22) + TIME(0,0,10)</f>
        <v>40624.000115740739</v>
      </c>
      <c r="C589">
        <v>80</v>
      </c>
      <c r="D589">
        <v>52.340175629000001</v>
      </c>
      <c r="E589">
        <v>50</v>
      </c>
      <c r="F589">
        <v>49.662105560000001</v>
      </c>
      <c r="G589">
        <v>1318.7021483999999</v>
      </c>
      <c r="H589">
        <v>1303.0075684000001</v>
      </c>
      <c r="I589">
        <v>1356.9951172000001</v>
      </c>
      <c r="J589">
        <v>1341.8988036999999</v>
      </c>
      <c r="K589">
        <v>0</v>
      </c>
      <c r="L589">
        <v>1825</v>
      </c>
      <c r="M589">
        <v>1825</v>
      </c>
      <c r="N589">
        <v>0</v>
      </c>
    </row>
    <row r="590" spans="1:14" x14ac:dyDescent="0.25">
      <c r="A590">
        <v>325.00036399999999</v>
      </c>
      <c r="B590" s="1">
        <f>DATE(2011,3,22) + TIME(0,0,31)</f>
        <v>40624.000358796293</v>
      </c>
      <c r="C590">
        <v>80</v>
      </c>
      <c r="D590">
        <v>52.339359283</v>
      </c>
      <c r="E590">
        <v>50</v>
      </c>
      <c r="F590">
        <v>49.662704468000001</v>
      </c>
      <c r="G590">
        <v>1313.8702393000001</v>
      </c>
      <c r="H590">
        <v>1298.0252685999999</v>
      </c>
      <c r="I590">
        <v>1361.1779785000001</v>
      </c>
      <c r="J590">
        <v>1346.1533202999999</v>
      </c>
      <c r="K590">
        <v>0</v>
      </c>
      <c r="L590">
        <v>1825</v>
      </c>
      <c r="M590">
        <v>1825</v>
      </c>
      <c r="N590">
        <v>0</v>
      </c>
    </row>
    <row r="591" spans="1:14" x14ac:dyDescent="0.25">
      <c r="A591">
        <v>325.00109300000003</v>
      </c>
      <c r="B591" s="1">
        <f>DATE(2011,3,22) + TIME(0,1,34)</f>
        <v>40624.001087962963</v>
      </c>
      <c r="C591">
        <v>80</v>
      </c>
      <c r="D591">
        <v>52.338081359999997</v>
      </c>
      <c r="E591">
        <v>50</v>
      </c>
      <c r="F591">
        <v>49.663429260000001</v>
      </c>
      <c r="G591">
        <v>1308.7324219</v>
      </c>
      <c r="H591">
        <v>1292.7779541</v>
      </c>
      <c r="I591">
        <v>1365.4002685999999</v>
      </c>
      <c r="J591">
        <v>1350.4241943</v>
      </c>
      <c r="K591">
        <v>0</v>
      </c>
      <c r="L591">
        <v>1825</v>
      </c>
      <c r="M591">
        <v>1825</v>
      </c>
      <c r="N591">
        <v>0</v>
      </c>
    </row>
    <row r="592" spans="1:14" x14ac:dyDescent="0.25">
      <c r="A592">
        <v>325.00328000000002</v>
      </c>
      <c r="B592" s="1">
        <f>DATE(2011,3,22) + TIME(0,4,43)</f>
        <v>40624.003275462965</v>
      </c>
      <c r="C592">
        <v>80</v>
      </c>
      <c r="D592">
        <v>52.335449218999997</v>
      </c>
      <c r="E592">
        <v>50</v>
      </c>
      <c r="F592">
        <v>49.664562224999997</v>
      </c>
      <c r="G592">
        <v>1303.010376</v>
      </c>
      <c r="H592">
        <v>1286.9853516000001</v>
      </c>
      <c r="I592">
        <v>1369.9127197</v>
      </c>
      <c r="J592">
        <v>1354.9569091999999</v>
      </c>
      <c r="K592">
        <v>0</v>
      </c>
      <c r="L592">
        <v>1825</v>
      </c>
      <c r="M592">
        <v>1825</v>
      </c>
      <c r="N592">
        <v>0</v>
      </c>
    </row>
    <row r="593" spans="1:14" x14ac:dyDescent="0.25">
      <c r="A593">
        <v>325.00984099999999</v>
      </c>
      <c r="B593" s="1">
        <f>DATE(2011,3,22) + TIME(0,14,10)</f>
        <v>40624.009837962964</v>
      </c>
      <c r="C593">
        <v>80</v>
      </c>
      <c r="D593">
        <v>52.328914642000001</v>
      </c>
      <c r="E593">
        <v>50</v>
      </c>
      <c r="F593">
        <v>49.666854858000001</v>
      </c>
      <c r="G593">
        <v>1296.8553466999999</v>
      </c>
      <c r="H593">
        <v>1280.7874756000001</v>
      </c>
      <c r="I593">
        <v>1374.8763428</v>
      </c>
      <c r="J593">
        <v>1359.9163818</v>
      </c>
      <c r="K593">
        <v>0</v>
      </c>
      <c r="L593">
        <v>1825</v>
      </c>
      <c r="M593">
        <v>1825</v>
      </c>
      <c r="N593">
        <v>0</v>
      </c>
    </row>
    <row r="594" spans="1:14" x14ac:dyDescent="0.25">
      <c r="A594">
        <v>325.02952399999998</v>
      </c>
      <c r="B594" s="1">
        <f>DATE(2011,3,22) + TIME(0,42,30)</f>
        <v>40624.029513888891</v>
      </c>
      <c r="C594">
        <v>80</v>
      </c>
      <c r="D594">
        <v>52.310966491999999</v>
      </c>
      <c r="E594">
        <v>50</v>
      </c>
      <c r="F594">
        <v>49.672317505000002</v>
      </c>
      <c r="G594">
        <v>1291.6132812000001</v>
      </c>
      <c r="H594">
        <v>1275.5134277</v>
      </c>
      <c r="I594">
        <v>1379.2587891000001</v>
      </c>
      <c r="J594">
        <v>1364.2894286999999</v>
      </c>
      <c r="K594">
        <v>0</v>
      </c>
      <c r="L594">
        <v>1825</v>
      </c>
      <c r="M594">
        <v>1825</v>
      </c>
      <c r="N594">
        <v>0</v>
      </c>
    </row>
    <row r="595" spans="1:14" x14ac:dyDescent="0.25">
      <c r="A595">
        <v>325.088573</v>
      </c>
      <c r="B595" s="1">
        <f>DATE(2011,3,22) + TIME(2,7,32)</f>
        <v>40624.088564814818</v>
      </c>
      <c r="C595">
        <v>80</v>
      </c>
      <c r="D595">
        <v>52.260738373000002</v>
      </c>
      <c r="E595">
        <v>50</v>
      </c>
      <c r="F595">
        <v>49.686550140000001</v>
      </c>
      <c r="G595">
        <v>1288.7479248</v>
      </c>
      <c r="H595">
        <v>1272.6212158000001</v>
      </c>
      <c r="I595">
        <v>1381.4553223</v>
      </c>
      <c r="J595">
        <v>1366.4826660000001</v>
      </c>
      <c r="K595">
        <v>0</v>
      </c>
      <c r="L595">
        <v>1825</v>
      </c>
      <c r="M595">
        <v>1825</v>
      </c>
      <c r="N595">
        <v>0</v>
      </c>
    </row>
    <row r="596" spans="1:14" x14ac:dyDescent="0.25">
      <c r="A596">
        <v>325.26571999999999</v>
      </c>
      <c r="B596" s="1">
        <f>DATE(2011,3,22) + TIME(6,22,38)</f>
        <v>40624.265717592592</v>
      </c>
      <c r="C596">
        <v>80</v>
      </c>
      <c r="D596">
        <v>52.131156920999999</v>
      </c>
      <c r="E596">
        <v>50</v>
      </c>
      <c r="F596">
        <v>49.722541808999999</v>
      </c>
      <c r="G596">
        <v>1287.9234618999999</v>
      </c>
      <c r="H596">
        <v>1271.7565918</v>
      </c>
      <c r="I596">
        <v>1381.871582</v>
      </c>
      <c r="J596">
        <v>1366.9012451000001</v>
      </c>
      <c r="K596">
        <v>0</v>
      </c>
      <c r="L596">
        <v>1825</v>
      </c>
      <c r="M596">
        <v>1825</v>
      </c>
      <c r="N596">
        <v>0</v>
      </c>
    </row>
    <row r="597" spans="1:14" x14ac:dyDescent="0.25">
      <c r="A597">
        <v>325.79716100000002</v>
      </c>
      <c r="B597" s="1">
        <f>DATE(2011,3,22) + TIME(19,7,54)</f>
        <v>40624.797152777777</v>
      </c>
      <c r="C597">
        <v>80</v>
      </c>
      <c r="D597">
        <v>51.862438202</v>
      </c>
      <c r="E597">
        <v>50</v>
      </c>
      <c r="F597">
        <v>49.794624329000001</v>
      </c>
      <c r="G597">
        <v>1287.7854004000001</v>
      </c>
      <c r="H597">
        <v>1271.5384521000001</v>
      </c>
      <c r="I597">
        <v>1381.8759766000001</v>
      </c>
      <c r="J597">
        <v>1366.9119873</v>
      </c>
      <c r="K597">
        <v>0</v>
      </c>
      <c r="L597">
        <v>1825</v>
      </c>
      <c r="M597">
        <v>1825</v>
      </c>
      <c r="N597">
        <v>0</v>
      </c>
    </row>
    <row r="598" spans="1:14" x14ac:dyDescent="0.25">
      <c r="A598">
        <v>327.37737399999997</v>
      </c>
      <c r="B598" s="1">
        <f>DATE(2011,3,24) + TIME(9,3,25)</f>
        <v>40626.377372685187</v>
      </c>
      <c r="C598">
        <v>80</v>
      </c>
      <c r="D598">
        <v>51.461532593000001</v>
      </c>
      <c r="E598">
        <v>50</v>
      </c>
      <c r="F598">
        <v>49.881332397000001</v>
      </c>
      <c r="G598">
        <v>1287.6833495999999</v>
      </c>
      <c r="H598">
        <v>1271.3125</v>
      </c>
      <c r="I598">
        <v>1381.8575439000001</v>
      </c>
      <c r="J598">
        <v>1366.9013672000001</v>
      </c>
      <c r="K598">
        <v>0</v>
      </c>
      <c r="L598">
        <v>1825</v>
      </c>
      <c r="M598">
        <v>1825</v>
      </c>
      <c r="N598">
        <v>0</v>
      </c>
    </row>
    <row r="599" spans="1:14" x14ac:dyDescent="0.25">
      <c r="A599">
        <v>329.91967</v>
      </c>
      <c r="B599" s="1">
        <f>DATE(2011,3,26) + TIME(22,4,19)</f>
        <v>40628.919664351852</v>
      </c>
      <c r="C599">
        <v>80</v>
      </c>
      <c r="D599">
        <v>50.939479828000003</v>
      </c>
      <c r="E599">
        <v>50</v>
      </c>
      <c r="F599">
        <v>49.922935486</v>
      </c>
      <c r="G599">
        <v>1287.4323730000001</v>
      </c>
      <c r="H599">
        <v>1270.9019774999999</v>
      </c>
      <c r="I599">
        <v>1381.8195800999999</v>
      </c>
      <c r="J599">
        <v>1366.8673096</v>
      </c>
      <c r="K599">
        <v>0</v>
      </c>
      <c r="L599">
        <v>1825</v>
      </c>
      <c r="M599">
        <v>1825</v>
      </c>
      <c r="N599">
        <v>0</v>
      </c>
    </row>
    <row r="600" spans="1:14" x14ac:dyDescent="0.25">
      <c r="A600">
        <v>332.488181</v>
      </c>
      <c r="B600" s="1">
        <f>DATE(2011,3,29) + TIME(11,42,58)</f>
        <v>40631.488171296296</v>
      </c>
      <c r="C600">
        <v>80</v>
      </c>
      <c r="D600">
        <v>50.241039276000002</v>
      </c>
      <c r="E600">
        <v>50</v>
      </c>
      <c r="F600">
        <v>49.935482024999999</v>
      </c>
      <c r="G600">
        <v>1287.0426024999999</v>
      </c>
      <c r="H600">
        <v>1270.3024902</v>
      </c>
      <c r="I600">
        <v>1381.7614745999999</v>
      </c>
      <c r="J600">
        <v>1366.8115233999999</v>
      </c>
      <c r="K600">
        <v>0</v>
      </c>
      <c r="L600">
        <v>1825</v>
      </c>
      <c r="M600">
        <v>1825</v>
      </c>
      <c r="N600">
        <v>0</v>
      </c>
    </row>
    <row r="601" spans="1:14" x14ac:dyDescent="0.25">
      <c r="A601">
        <v>335</v>
      </c>
      <c r="B601" s="1">
        <f>DATE(2011,4,1) + TIME(0,0,0)</f>
        <v>40634</v>
      </c>
      <c r="C601">
        <v>80</v>
      </c>
      <c r="D601">
        <v>49.495582581000001</v>
      </c>
      <c r="E601">
        <v>50</v>
      </c>
      <c r="F601">
        <v>49.939296722000002</v>
      </c>
      <c r="G601">
        <v>1286.6428223</v>
      </c>
      <c r="H601">
        <v>1269.671875</v>
      </c>
      <c r="I601">
        <v>1381.7044678</v>
      </c>
      <c r="J601">
        <v>1366.7572021000001</v>
      </c>
      <c r="K601">
        <v>0</v>
      </c>
      <c r="L601">
        <v>1825</v>
      </c>
      <c r="M601">
        <v>1825</v>
      </c>
      <c r="N601">
        <v>0</v>
      </c>
    </row>
    <row r="602" spans="1:14" x14ac:dyDescent="0.25">
      <c r="A602">
        <v>335.000001</v>
      </c>
      <c r="B602" s="1">
        <f>DATE(2011,4,1) + TIME(0,0,0)</f>
        <v>40634</v>
      </c>
      <c r="C602">
        <v>80</v>
      </c>
      <c r="D602">
        <v>49.495628357000001</v>
      </c>
      <c r="E602">
        <v>50</v>
      </c>
      <c r="F602">
        <v>49.939254761000001</v>
      </c>
      <c r="G602">
        <v>1287.0223389</v>
      </c>
      <c r="H602">
        <v>1287.0223389</v>
      </c>
      <c r="I602">
        <v>1366.4165039</v>
      </c>
      <c r="J602">
        <v>1366.4165039</v>
      </c>
      <c r="K602">
        <v>0</v>
      </c>
      <c r="L602">
        <v>0</v>
      </c>
      <c r="M602">
        <v>0</v>
      </c>
      <c r="N602">
        <v>0</v>
      </c>
    </row>
    <row r="603" spans="1:14" x14ac:dyDescent="0.25">
      <c r="A603">
        <v>335.00000399999999</v>
      </c>
      <c r="B603" s="1">
        <f>DATE(2011,4,1) + TIME(0,0,0)</f>
        <v>40634</v>
      </c>
      <c r="C603">
        <v>80</v>
      </c>
      <c r="D603">
        <v>49.495754241999997</v>
      </c>
      <c r="E603">
        <v>50</v>
      </c>
      <c r="F603">
        <v>49.93914032</v>
      </c>
      <c r="G603">
        <v>1288.0374756000001</v>
      </c>
      <c r="H603">
        <v>1288.0374756000001</v>
      </c>
      <c r="I603">
        <v>1365.5075684000001</v>
      </c>
      <c r="J603">
        <v>1365.5075684000001</v>
      </c>
      <c r="K603">
        <v>0</v>
      </c>
      <c r="L603">
        <v>0</v>
      </c>
      <c r="M603">
        <v>0</v>
      </c>
      <c r="N603">
        <v>0</v>
      </c>
    </row>
    <row r="604" spans="1:14" x14ac:dyDescent="0.25">
      <c r="A604">
        <v>335.00001300000002</v>
      </c>
      <c r="B604" s="1">
        <f>DATE(2011,4,1) + TIME(0,0,1)</f>
        <v>40634.000011574077</v>
      </c>
      <c r="C604">
        <v>80</v>
      </c>
      <c r="D604">
        <v>49.496036529999998</v>
      </c>
      <c r="E604">
        <v>50</v>
      </c>
      <c r="F604">
        <v>49.938880920000003</v>
      </c>
      <c r="G604">
        <v>1290.3278809000001</v>
      </c>
      <c r="H604">
        <v>1290.3278809000001</v>
      </c>
      <c r="I604">
        <v>1363.4685059000001</v>
      </c>
      <c r="J604">
        <v>1363.4685059000001</v>
      </c>
      <c r="K604">
        <v>0</v>
      </c>
      <c r="L604">
        <v>0</v>
      </c>
      <c r="M604">
        <v>0</v>
      </c>
      <c r="N604">
        <v>0</v>
      </c>
    </row>
    <row r="605" spans="1:14" x14ac:dyDescent="0.25">
      <c r="A605">
        <v>335.00004000000001</v>
      </c>
      <c r="B605" s="1">
        <f>DATE(2011,4,1) + TIME(0,0,3)</f>
        <v>40634.000034722223</v>
      </c>
      <c r="C605">
        <v>80</v>
      </c>
      <c r="D605">
        <v>49.496509551999999</v>
      </c>
      <c r="E605">
        <v>50</v>
      </c>
      <c r="F605">
        <v>49.938449859999999</v>
      </c>
      <c r="G605">
        <v>1294.1881103999999</v>
      </c>
      <c r="H605">
        <v>1294.1881103999999</v>
      </c>
      <c r="I605">
        <v>1360.0606689000001</v>
      </c>
      <c r="J605">
        <v>1360.0606689000001</v>
      </c>
      <c r="K605">
        <v>0</v>
      </c>
      <c r="L605">
        <v>0</v>
      </c>
      <c r="M605">
        <v>0</v>
      </c>
      <c r="N605">
        <v>0</v>
      </c>
    </row>
    <row r="606" spans="1:14" x14ac:dyDescent="0.25">
      <c r="A606">
        <v>335.00012099999998</v>
      </c>
      <c r="B606" s="1">
        <f>DATE(2011,4,1) + TIME(0,0,10)</f>
        <v>40634.000115740739</v>
      </c>
      <c r="C606">
        <v>80</v>
      </c>
      <c r="D606">
        <v>49.497089385999999</v>
      </c>
      <c r="E606">
        <v>50</v>
      </c>
      <c r="F606">
        <v>49.937923431000002</v>
      </c>
      <c r="G606">
        <v>1298.949707</v>
      </c>
      <c r="H606">
        <v>1298.949707</v>
      </c>
      <c r="I606">
        <v>1355.8981934000001</v>
      </c>
      <c r="J606">
        <v>1355.8981934000001</v>
      </c>
      <c r="K606">
        <v>0</v>
      </c>
      <c r="L606">
        <v>0</v>
      </c>
      <c r="M606">
        <v>0</v>
      </c>
      <c r="N606">
        <v>0</v>
      </c>
    </row>
    <row r="607" spans="1:14" x14ac:dyDescent="0.25">
      <c r="A607">
        <v>335.00036399999999</v>
      </c>
      <c r="B607" s="1">
        <f>DATE(2011,4,1) + TIME(0,0,31)</f>
        <v>40634.000358796293</v>
      </c>
      <c r="C607">
        <v>80</v>
      </c>
      <c r="D607">
        <v>49.497692108000003</v>
      </c>
      <c r="E607">
        <v>50</v>
      </c>
      <c r="F607">
        <v>49.937366486000002</v>
      </c>
      <c r="G607">
        <v>1303.9445800999999</v>
      </c>
      <c r="H607">
        <v>1303.9445800999999</v>
      </c>
      <c r="I607">
        <v>1351.6058350000001</v>
      </c>
      <c r="J607">
        <v>1351.6058350000001</v>
      </c>
      <c r="K607">
        <v>0</v>
      </c>
      <c r="L607">
        <v>0</v>
      </c>
      <c r="M607">
        <v>0</v>
      </c>
      <c r="N607">
        <v>0</v>
      </c>
    </row>
    <row r="608" spans="1:14" x14ac:dyDescent="0.25">
      <c r="A608">
        <v>335.00109300000003</v>
      </c>
      <c r="B608" s="1">
        <f>DATE(2011,4,1) + TIME(0,1,34)</f>
        <v>40634.001087962963</v>
      </c>
      <c r="C608">
        <v>80</v>
      </c>
      <c r="D608">
        <v>49.498287200999997</v>
      </c>
      <c r="E608">
        <v>50</v>
      </c>
      <c r="F608">
        <v>49.936782837000003</v>
      </c>
      <c r="G608">
        <v>1309.1921387</v>
      </c>
      <c r="H608">
        <v>1309.1921387</v>
      </c>
      <c r="I608">
        <v>1347.2838135</v>
      </c>
      <c r="J608">
        <v>1347.2838135</v>
      </c>
      <c r="K608">
        <v>0</v>
      </c>
      <c r="L608">
        <v>0</v>
      </c>
      <c r="M608">
        <v>0</v>
      </c>
      <c r="N608">
        <v>0</v>
      </c>
    </row>
    <row r="609" spans="1:14" x14ac:dyDescent="0.25">
      <c r="A609">
        <v>335.00328000000002</v>
      </c>
      <c r="B609" s="1">
        <f>DATE(2011,4,1) + TIME(0,4,43)</f>
        <v>40634.003275462965</v>
      </c>
      <c r="C609">
        <v>80</v>
      </c>
      <c r="D609">
        <v>49.498878478999998</v>
      </c>
      <c r="E609">
        <v>50</v>
      </c>
      <c r="F609">
        <v>49.936088562000002</v>
      </c>
      <c r="G609">
        <v>1315.0061035000001</v>
      </c>
      <c r="H609">
        <v>1315.0061035000001</v>
      </c>
      <c r="I609">
        <v>1342.7393798999999</v>
      </c>
      <c r="J609">
        <v>1342.7393798999999</v>
      </c>
      <c r="K609">
        <v>0</v>
      </c>
      <c r="L609">
        <v>0</v>
      </c>
      <c r="M609">
        <v>0</v>
      </c>
      <c r="N609">
        <v>0</v>
      </c>
    </row>
    <row r="610" spans="1:14" x14ac:dyDescent="0.25">
      <c r="A610">
        <v>335.00984099999999</v>
      </c>
      <c r="B610" s="1">
        <f>DATE(2011,4,1) + TIME(0,14,10)</f>
        <v>40634.009837962964</v>
      </c>
      <c r="C610">
        <v>80</v>
      </c>
      <c r="D610">
        <v>49.499309539999999</v>
      </c>
      <c r="E610">
        <v>50</v>
      </c>
      <c r="F610">
        <v>49.935100554999998</v>
      </c>
      <c r="G610">
        <v>1321.2231445</v>
      </c>
      <c r="H610">
        <v>1321.2231445</v>
      </c>
      <c r="I610">
        <v>1337.838501</v>
      </c>
      <c r="J610">
        <v>1337.838501</v>
      </c>
      <c r="K610">
        <v>0</v>
      </c>
      <c r="L610">
        <v>0</v>
      </c>
      <c r="M610">
        <v>0</v>
      </c>
      <c r="N610">
        <v>0</v>
      </c>
    </row>
    <row r="611" spans="1:14" x14ac:dyDescent="0.25">
      <c r="A611">
        <v>335.02952399999998</v>
      </c>
      <c r="B611" s="1">
        <f>DATE(2011,4,1) + TIME(0,42,30)</f>
        <v>40634.029513888891</v>
      </c>
      <c r="C611">
        <v>80</v>
      </c>
      <c r="D611">
        <v>49.499214172000002</v>
      </c>
      <c r="E611">
        <v>50</v>
      </c>
      <c r="F611">
        <v>49.933464049999998</v>
      </c>
      <c r="G611">
        <v>1326.4765625</v>
      </c>
      <c r="H611">
        <v>1326.4765625</v>
      </c>
      <c r="I611">
        <v>1333.5379639</v>
      </c>
      <c r="J611">
        <v>1333.5379639</v>
      </c>
      <c r="K611">
        <v>0</v>
      </c>
      <c r="L611">
        <v>0</v>
      </c>
      <c r="M611">
        <v>0</v>
      </c>
      <c r="N611">
        <v>0</v>
      </c>
    </row>
    <row r="612" spans="1:14" x14ac:dyDescent="0.25">
      <c r="A612">
        <v>335.088573</v>
      </c>
      <c r="B612" s="1">
        <f>DATE(2011,4,1) + TIME(2,7,32)</f>
        <v>40634.088564814818</v>
      </c>
      <c r="C612">
        <v>80</v>
      </c>
      <c r="D612">
        <v>49.497955322000003</v>
      </c>
      <c r="E612">
        <v>50</v>
      </c>
      <c r="F612">
        <v>49.929946899000001</v>
      </c>
      <c r="G612">
        <v>1329.3338623</v>
      </c>
      <c r="H612">
        <v>1329.3338623</v>
      </c>
      <c r="I612">
        <v>1331.3814697</v>
      </c>
      <c r="J612">
        <v>1331.3814697</v>
      </c>
      <c r="K612">
        <v>0</v>
      </c>
      <c r="L612">
        <v>0</v>
      </c>
      <c r="M612">
        <v>0</v>
      </c>
      <c r="N612">
        <v>0</v>
      </c>
    </row>
    <row r="613" spans="1:14" x14ac:dyDescent="0.25">
      <c r="A613">
        <v>335.26571999999999</v>
      </c>
      <c r="B613" s="1">
        <f>DATE(2011,4,1) + TIME(6,22,38)</f>
        <v>40634.265717592592</v>
      </c>
      <c r="C613">
        <v>80</v>
      </c>
      <c r="D613">
        <v>49.4935112</v>
      </c>
      <c r="E613">
        <v>50</v>
      </c>
      <c r="F613">
        <v>49.920177459999998</v>
      </c>
      <c r="G613">
        <v>1330.144043</v>
      </c>
      <c r="H613">
        <v>1330.144043</v>
      </c>
      <c r="I613">
        <v>1330.9704589999999</v>
      </c>
      <c r="J613">
        <v>1330.9704589999999</v>
      </c>
      <c r="K613">
        <v>0</v>
      </c>
      <c r="L613">
        <v>0</v>
      </c>
      <c r="M613">
        <v>0</v>
      </c>
      <c r="N613">
        <v>0</v>
      </c>
    </row>
    <row r="614" spans="1:14" x14ac:dyDescent="0.25">
      <c r="A614">
        <v>335.79716100000002</v>
      </c>
      <c r="B614" s="1">
        <f>DATE(2011,4,1) + TIME(19,7,54)</f>
        <v>40634.797152777777</v>
      </c>
      <c r="C614">
        <v>80</v>
      </c>
      <c r="D614">
        <v>49.479904175000001</v>
      </c>
      <c r="E614">
        <v>50</v>
      </c>
      <c r="F614">
        <v>49.891109467</v>
      </c>
      <c r="G614">
        <v>1330.2470702999999</v>
      </c>
      <c r="H614">
        <v>1330.2470702999999</v>
      </c>
      <c r="I614">
        <v>1330.9584961</v>
      </c>
      <c r="J614">
        <v>1330.9584961</v>
      </c>
      <c r="K614">
        <v>0</v>
      </c>
      <c r="L614">
        <v>0</v>
      </c>
      <c r="M614">
        <v>0</v>
      </c>
      <c r="N614">
        <v>0</v>
      </c>
    </row>
    <row r="615" spans="1:14" x14ac:dyDescent="0.25">
      <c r="A615">
        <v>337.39148399999999</v>
      </c>
      <c r="B615" s="1">
        <f>DATE(2011,4,3) + TIME(9,23,44)</f>
        <v>40636.391481481478</v>
      </c>
      <c r="C615">
        <v>80</v>
      </c>
      <c r="D615">
        <v>49.439208983999997</v>
      </c>
      <c r="E615">
        <v>50</v>
      </c>
      <c r="F615">
        <v>49.804836272999999</v>
      </c>
      <c r="G615">
        <v>1330.2521973</v>
      </c>
      <c r="H615">
        <v>1330.2521973</v>
      </c>
      <c r="I615">
        <v>1330.9597168</v>
      </c>
      <c r="J615">
        <v>1330.9597168</v>
      </c>
      <c r="K615">
        <v>0</v>
      </c>
      <c r="L615">
        <v>0</v>
      </c>
      <c r="M615">
        <v>0</v>
      </c>
      <c r="N615">
        <v>0</v>
      </c>
    </row>
    <row r="616" spans="1:14" x14ac:dyDescent="0.25">
      <c r="A616">
        <v>340</v>
      </c>
      <c r="B616" s="1">
        <f>DATE(2011,4,6) + TIME(0,0,0)</f>
        <v>40639</v>
      </c>
      <c r="C616">
        <v>80</v>
      </c>
      <c r="D616">
        <v>49.373050689999999</v>
      </c>
      <c r="E616">
        <v>50</v>
      </c>
      <c r="F616">
        <v>49.666095734000002</v>
      </c>
      <c r="G616">
        <v>1330.2515868999999</v>
      </c>
      <c r="H616">
        <v>1330.2515868999999</v>
      </c>
      <c r="I616">
        <v>1330.9589844</v>
      </c>
      <c r="J616">
        <v>1330.9589844</v>
      </c>
      <c r="K616">
        <v>0</v>
      </c>
      <c r="L616">
        <v>0</v>
      </c>
      <c r="M616">
        <v>0</v>
      </c>
      <c r="N616">
        <v>0</v>
      </c>
    </row>
    <row r="617" spans="1:14" x14ac:dyDescent="0.25">
      <c r="A617">
        <v>340.000001</v>
      </c>
      <c r="B617" s="1">
        <f>DATE(2011,4,6) + TIME(0,0,0)</f>
        <v>40639</v>
      </c>
      <c r="C617">
        <v>80</v>
      </c>
      <c r="D617">
        <v>49.373020171999997</v>
      </c>
      <c r="E617">
        <v>50</v>
      </c>
      <c r="F617">
        <v>49.666126251000001</v>
      </c>
      <c r="G617">
        <v>1330.0070800999999</v>
      </c>
      <c r="H617">
        <v>1319.1893310999999</v>
      </c>
      <c r="I617">
        <v>1341.7406006000001</v>
      </c>
      <c r="J617">
        <v>1331.1982422000001</v>
      </c>
      <c r="K617">
        <v>0</v>
      </c>
      <c r="L617">
        <v>1215</v>
      </c>
      <c r="M617">
        <v>1215</v>
      </c>
      <c r="N617">
        <v>0</v>
      </c>
    </row>
    <row r="618" spans="1:14" x14ac:dyDescent="0.25">
      <c r="A618">
        <v>340.00000399999999</v>
      </c>
      <c r="B618" s="1">
        <f>DATE(2011,4,6) + TIME(0,0,0)</f>
        <v>40639</v>
      </c>
      <c r="C618">
        <v>80</v>
      </c>
      <c r="D618">
        <v>49.372940063000001</v>
      </c>
      <c r="E618">
        <v>50</v>
      </c>
      <c r="F618">
        <v>49.666206359999997</v>
      </c>
      <c r="G618">
        <v>1329.3554687999999</v>
      </c>
      <c r="H618">
        <v>1318.5791016000001</v>
      </c>
      <c r="I618">
        <v>1342.3312988</v>
      </c>
      <c r="J618">
        <v>1331.8339844</v>
      </c>
      <c r="K618">
        <v>0</v>
      </c>
      <c r="L618">
        <v>1215</v>
      </c>
      <c r="M618">
        <v>1215</v>
      </c>
      <c r="N618">
        <v>0</v>
      </c>
    </row>
    <row r="619" spans="1:14" x14ac:dyDescent="0.25">
      <c r="A619">
        <v>340.00001300000002</v>
      </c>
      <c r="B619" s="1">
        <f>DATE(2011,4,6) + TIME(0,0,1)</f>
        <v>40639.000011574077</v>
      </c>
      <c r="C619">
        <v>80</v>
      </c>
      <c r="D619">
        <v>49.372753142999997</v>
      </c>
      <c r="E619">
        <v>50</v>
      </c>
      <c r="F619">
        <v>49.666385650999999</v>
      </c>
      <c r="G619">
        <v>1327.8912353999999</v>
      </c>
      <c r="H619">
        <v>1317.1582031</v>
      </c>
      <c r="I619">
        <v>1343.6563721</v>
      </c>
      <c r="J619">
        <v>1333.2474365</v>
      </c>
      <c r="K619">
        <v>0</v>
      </c>
      <c r="L619">
        <v>1215</v>
      </c>
      <c r="M619">
        <v>1215</v>
      </c>
      <c r="N619">
        <v>0</v>
      </c>
    </row>
    <row r="620" spans="1:14" x14ac:dyDescent="0.25">
      <c r="A620">
        <v>340.00004000000001</v>
      </c>
      <c r="B620" s="1">
        <f>DATE(2011,4,6) + TIME(0,0,3)</f>
        <v>40639.000034722223</v>
      </c>
      <c r="C620">
        <v>80</v>
      </c>
      <c r="D620">
        <v>49.372428894000002</v>
      </c>
      <c r="E620">
        <v>50</v>
      </c>
      <c r="F620">
        <v>49.666683196999998</v>
      </c>
      <c r="G620">
        <v>1325.4080810999999</v>
      </c>
      <c r="H620">
        <v>1314.6376952999999</v>
      </c>
      <c r="I620">
        <v>1345.8708495999999</v>
      </c>
      <c r="J620">
        <v>1335.5759277</v>
      </c>
      <c r="K620">
        <v>0</v>
      </c>
      <c r="L620">
        <v>1215</v>
      </c>
      <c r="M620">
        <v>1215</v>
      </c>
      <c r="N620">
        <v>0</v>
      </c>
    </row>
    <row r="621" spans="1:14" x14ac:dyDescent="0.25">
      <c r="A621">
        <v>340.00012099999998</v>
      </c>
      <c r="B621" s="1">
        <f>DATE(2011,4,6) + TIME(0,0,10)</f>
        <v>40639.000115740739</v>
      </c>
      <c r="C621">
        <v>80</v>
      </c>
      <c r="D621">
        <v>49.371986389</v>
      </c>
      <c r="E621">
        <v>50</v>
      </c>
      <c r="F621">
        <v>49.667049407999997</v>
      </c>
      <c r="G621">
        <v>1322.2709961</v>
      </c>
      <c r="H621">
        <v>1311.3753661999999</v>
      </c>
      <c r="I621">
        <v>1348.5742187999999</v>
      </c>
      <c r="J621">
        <v>1338.3748779</v>
      </c>
      <c r="K621">
        <v>0</v>
      </c>
      <c r="L621">
        <v>1215</v>
      </c>
      <c r="M621">
        <v>1215</v>
      </c>
      <c r="N621">
        <v>0</v>
      </c>
    </row>
    <row r="622" spans="1:14" x14ac:dyDescent="0.25">
      <c r="A622">
        <v>340.00036399999999</v>
      </c>
      <c r="B622" s="1">
        <f>DATE(2011,4,6) + TIME(0,0,31)</f>
        <v>40639.000358796293</v>
      </c>
      <c r="C622">
        <v>80</v>
      </c>
      <c r="D622">
        <v>49.371406555</v>
      </c>
      <c r="E622">
        <v>50</v>
      </c>
      <c r="F622">
        <v>49.667446136000002</v>
      </c>
      <c r="G622">
        <v>1318.8999022999999</v>
      </c>
      <c r="H622">
        <v>1307.8861084</v>
      </c>
      <c r="I622">
        <v>1351.3590088000001</v>
      </c>
      <c r="J622">
        <v>1341.2269286999999</v>
      </c>
      <c r="K622">
        <v>0</v>
      </c>
      <c r="L622">
        <v>1215</v>
      </c>
      <c r="M622">
        <v>1215</v>
      </c>
      <c r="N622">
        <v>0</v>
      </c>
    </row>
    <row r="623" spans="1:14" x14ac:dyDescent="0.25">
      <c r="A623">
        <v>340.00109300000003</v>
      </c>
      <c r="B623" s="1">
        <f>DATE(2011,4,6) + TIME(0,1,34)</f>
        <v>40639.001087962963</v>
      </c>
      <c r="C623">
        <v>80</v>
      </c>
      <c r="D623">
        <v>49.370471954000003</v>
      </c>
      <c r="E623">
        <v>50</v>
      </c>
      <c r="F623">
        <v>49.667915344000001</v>
      </c>
      <c r="G623">
        <v>1315.3255615</v>
      </c>
      <c r="H623">
        <v>1304.229126</v>
      </c>
      <c r="I623">
        <v>1354.1674805</v>
      </c>
      <c r="J623">
        <v>1344.0808105000001</v>
      </c>
      <c r="K623">
        <v>0</v>
      </c>
      <c r="L623">
        <v>1215</v>
      </c>
      <c r="M623">
        <v>1215</v>
      </c>
      <c r="N623">
        <v>0</v>
      </c>
    </row>
    <row r="624" spans="1:14" x14ac:dyDescent="0.25">
      <c r="A624">
        <v>340.00328000000002</v>
      </c>
      <c r="B624" s="1">
        <f>DATE(2011,4,6) + TIME(0,4,43)</f>
        <v>40639.003275462965</v>
      </c>
      <c r="C624">
        <v>80</v>
      </c>
      <c r="D624">
        <v>49.368492126</v>
      </c>
      <c r="E624">
        <v>50</v>
      </c>
      <c r="F624">
        <v>49.668628693000002</v>
      </c>
      <c r="G624">
        <v>1311.3825684000001</v>
      </c>
      <c r="H624">
        <v>1300.2346190999999</v>
      </c>
      <c r="I624">
        <v>1357.1534423999999</v>
      </c>
      <c r="J624">
        <v>1347.0876464999999</v>
      </c>
      <c r="K624">
        <v>0</v>
      </c>
      <c r="L624">
        <v>1215</v>
      </c>
      <c r="M624">
        <v>1215</v>
      </c>
      <c r="N624">
        <v>0</v>
      </c>
    </row>
    <row r="625" spans="1:14" x14ac:dyDescent="0.25">
      <c r="A625">
        <v>340.00984099999999</v>
      </c>
      <c r="B625" s="1">
        <f>DATE(2011,4,6) + TIME(0,14,10)</f>
        <v>40639.009837962964</v>
      </c>
      <c r="C625">
        <v>80</v>
      </c>
      <c r="D625">
        <v>49.363464354999998</v>
      </c>
      <c r="E625">
        <v>50</v>
      </c>
      <c r="F625">
        <v>49.670040131</v>
      </c>
      <c r="G625">
        <v>1307.1931152</v>
      </c>
      <c r="H625">
        <v>1296.0152588000001</v>
      </c>
      <c r="I625">
        <v>1360.4174805</v>
      </c>
      <c r="J625">
        <v>1350.3521728999999</v>
      </c>
      <c r="K625">
        <v>0</v>
      </c>
      <c r="L625">
        <v>1215</v>
      </c>
      <c r="M625">
        <v>1215</v>
      </c>
      <c r="N625">
        <v>0</v>
      </c>
    </row>
    <row r="626" spans="1:14" x14ac:dyDescent="0.25">
      <c r="A626">
        <v>340.02952399999998</v>
      </c>
      <c r="B626" s="1">
        <f>DATE(2011,4,6) + TIME(0,42,30)</f>
        <v>40639.029513888891</v>
      </c>
      <c r="C626">
        <v>80</v>
      </c>
      <c r="D626">
        <v>49.349433898999997</v>
      </c>
      <c r="E626">
        <v>50</v>
      </c>
      <c r="F626">
        <v>49.673366547000001</v>
      </c>
      <c r="G626">
        <v>1303.6612548999999</v>
      </c>
      <c r="H626">
        <v>1292.4624022999999</v>
      </c>
      <c r="I626">
        <v>1363.2937012</v>
      </c>
      <c r="J626">
        <v>1353.2231445</v>
      </c>
      <c r="K626">
        <v>0</v>
      </c>
      <c r="L626">
        <v>1215</v>
      </c>
      <c r="M626">
        <v>1215</v>
      </c>
      <c r="N626">
        <v>0</v>
      </c>
    </row>
    <row r="627" spans="1:14" x14ac:dyDescent="0.25">
      <c r="A627">
        <v>340.088573</v>
      </c>
      <c r="B627" s="1">
        <f>DATE(2011,4,6) + TIME(2,7,32)</f>
        <v>40639.088564814818</v>
      </c>
      <c r="C627">
        <v>80</v>
      </c>
      <c r="D627">
        <v>49.309360503999997</v>
      </c>
      <c r="E627">
        <v>50</v>
      </c>
      <c r="F627">
        <v>49.682117462000001</v>
      </c>
      <c r="G627">
        <v>1301.7426757999999</v>
      </c>
      <c r="H627">
        <v>1290.5277100000001</v>
      </c>
      <c r="I627">
        <v>1364.7340088000001</v>
      </c>
      <c r="J627">
        <v>1354.6612548999999</v>
      </c>
      <c r="K627">
        <v>0</v>
      </c>
      <c r="L627">
        <v>1215</v>
      </c>
      <c r="M627">
        <v>1215</v>
      </c>
      <c r="N627">
        <v>0</v>
      </c>
    </row>
    <row r="628" spans="1:14" x14ac:dyDescent="0.25">
      <c r="A628">
        <v>340.26571999999999</v>
      </c>
      <c r="B628" s="1">
        <f>DATE(2011,4,6) + TIME(6,22,38)</f>
        <v>40639.265717592592</v>
      </c>
      <c r="C628">
        <v>80</v>
      </c>
      <c r="D628">
        <v>49.201148987000003</v>
      </c>
      <c r="E628">
        <v>50</v>
      </c>
      <c r="F628">
        <v>49.705276488999999</v>
      </c>
      <c r="G628">
        <v>1301.1939697</v>
      </c>
      <c r="H628">
        <v>1289.9554443</v>
      </c>
      <c r="I628">
        <v>1365.0063477000001</v>
      </c>
      <c r="J628">
        <v>1354.9343262</v>
      </c>
      <c r="K628">
        <v>0</v>
      </c>
      <c r="L628">
        <v>1215</v>
      </c>
      <c r="M628">
        <v>1215</v>
      </c>
      <c r="N628">
        <v>0</v>
      </c>
    </row>
    <row r="629" spans="1:14" x14ac:dyDescent="0.25">
      <c r="A629">
        <v>340.79716100000002</v>
      </c>
      <c r="B629" s="1">
        <f>DATE(2011,4,6) + TIME(19,7,54)</f>
        <v>40639.797152777777</v>
      </c>
      <c r="C629">
        <v>80</v>
      </c>
      <c r="D629">
        <v>48.954208373999997</v>
      </c>
      <c r="E629">
        <v>50</v>
      </c>
      <c r="F629">
        <v>49.757263184000003</v>
      </c>
      <c r="G629">
        <v>1301.1090088000001</v>
      </c>
      <c r="H629">
        <v>1289.8197021000001</v>
      </c>
      <c r="I629">
        <v>1365.0106201000001</v>
      </c>
      <c r="J629">
        <v>1354.9417725000001</v>
      </c>
      <c r="K629">
        <v>0</v>
      </c>
      <c r="L629">
        <v>1215</v>
      </c>
      <c r="M629">
        <v>1215</v>
      </c>
      <c r="N629">
        <v>0</v>
      </c>
    </row>
    <row r="630" spans="1:14" x14ac:dyDescent="0.25">
      <c r="A630">
        <v>342.39148399999999</v>
      </c>
      <c r="B630" s="1">
        <f>DATE(2011,4,8) + TIME(9,23,44)</f>
        <v>40641.391481481478</v>
      </c>
      <c r="C630">
        <v>80</v>
      </c>
      <c r="D630">
        <v>48.545013427999997</v>
      </c>
      <c r="E630">
        <v>50</v>
      </c>
      <c r="F630">
        <v>49.835155487000002</v>
      </c>
      <c r="G630">
        <v>1301.0585937999999</v>
      </c>
      <c r="H630">
        <v>1289.6820068</v>
      </c>
      <c r="I630">
        <v>1365.0019531</v>
      </c>
      <c r="J630">
        <v>1354.9379882999999</v>
      </c>
      <c r="K630">
        <v>0</v>
      </c>
      <c r="L630">
        <v>1215</v>
      </c>
      <c r="M630">
        <v>1215</v>
      </c>
      <c r="N630">
        <v>0</v>
      </c>
    </row>
    <row r="631" spans="1:14" x14ac:dyDescent="0.25">
      <c r="A631">
        <v>345.66020200000003</v>
      </c>
      <c r="B631" s="1">
        <f>DATE(2011,4,11) + TIME(15,50,41)</f>
        <v>40644.660196759258</v>
      </c>
      <c r="C631">
        <v>80</v>
      </c>
      <c r="D631">
        <v>48.061378478999998</v>
      </c>
      <c r="E631">
        <v>50</v>
      </c>
      <c r="F631">
        <v>49.887699126999998</v>
      </c>
      <c r="G631">
        <v>1300.9356689000001</v>
      </c>
      <c r="H631">
        <v>1289.4538574000001</v>
      </c>
      <c r="I631">
        <v>1364.9859618999999</v>
      </c>
      <c r="J631">
        <v>1354.9259033000001</v>
      </c>
      <c r="K631">
        <v>0</v>
      </c>
      <c r="L631">
        <v>1215</v>
      </c>
      <c r="M631">
        <v>1215</v>
      </c>
      <c r="N631">
        <v>0</v>
      </c>
    </row>
    <row r="632" spans="1:14" x14ac:dyDescent="0.25">
      <c r="A632">
        <v>349.67594500000001</v>
      </c>
      <c r="B632" s="1">
        <f>DATE(2011,4,15) + TIME(16,13,21)</f>
        <v>40648.675937499997</v>
      </c>
      <c r="C632">
        <v>80</v>
      </c>
      <c r="D632">
        <v>47.416511536000002</v>
      </c>
      <c r="E632">
        <v>50</v>
      </c>
      <c r="F632">
        <v>49.906387328999998</v>
      </c>
      <c r="G632">
        <v>1300.7064209</v>
      </c>
      <c r="H632">
        <v>1289.0919189000001</v>
      </c>
      <c r="I632">
        <v>1364.9558105000001</v>
      </c>
      <c r="J632">
        <v>1354.8986815999999</v>
      </c>
      <c r="K632">
        <v>0</v>
      </c>
      <c r="L632">
        <v>1215</v>
      </c>
      <c r="M632">
        <v>1215</v>
      </c>
      <c r="N632">
        <v>0</v>
      </c>
    </row>
    <row r="633" spans="1:14" x14ac:dyDescent="0.25">
      <c r="A633">
        <v>353.76103799999999</v>
      </c>
      <c r="B633" s="1">
        <f>DATE(2011,4,19) + TIME(18,15,53)</f>
        <v>40652.761030092595</v>
      </c>
      <c r="C633">
        <v>80</v>
      </c>
      <c r="D633">
        <v>46.650875092</v>
      </c>
      <c r="E633">
        <v>50</v>
      </c>
      <c r="F633">
        <v>49.912052154999998</v>
      </c>
      <c r="G633">
        <v>1300.4267577999999</v>
      </c>
      <c r="H633">
        <v>1288.6519774999999</v>
      </c>
      <c r="I633">
        <v>1364.9194336</v>
      </c>
      <c r="J633">
        <v>1354.8653564000001</v>
      </c>
      <c r="K633">
        <v>0</v>
      </c>
      <c r="L633">
        <v>1215</v>
      </c>
      <c r="M633">
        <v>1215</v>
      </c>
      <c r="N633">
        <v>0</v>
      </c>
    </row>
    <row r="634" spans="1:14" x14ac:dyDescent="0.25">
      <c r="A634">
        <v>357.92295899999999</v>
      </c>
      <c r="B634" s="1">
        <f>DATE(2011,4,23) + TIME(22,9,3)</f>
        <v>40656.922951388886</v>
      </c>
      <c r="C634">
        <v>80</v>
      </c>
      <c r="D634">
        <v>45.848945618000002</v>
      </c>
      <c r="E634">
        <v>50</v>
      </c>
      <c r="F634">
        <v>49.913978577000002</v>
      </c>
      <c r="G634">
        <v>1300.1411132999999</v>
      </c>
      <c r="H634">
        <v>1288.1931152</v>
      </c>
      <c r="I634">
        <v>1364.8830565999999</v>
      </c>
      <c r="J634">
        <v>1354.8321533000001</v>
      </c>
      <c r="K634">
        <v>0</v>
      </c>
      <c r="L634">
        <v>1215</v>
      </c>
      <c r="M634">
        <v>1215</v>
      </c>
      <c r="N634">
        <v>0</v>
      </c>
    </row>
    <row r="635" spans="1:14" x14ac:dyDescent="0.25">
      <c r="A635">
        <v>362.16700200000002</v>
      </c>
      <c r="B635" s="1">
        <f>DATE(2011,4,28) + TIME(4,0,28)</f>
        <v>40661.166990740741</v>
      </c>
      <c r="C635">
        <v>80</v>
      </c>
      <c r="D635">
        <v>45.032978057999998</v>
      </c>
      <c r="E635">
        <v>50</v>
      </c>
      <c r="F635">
        <v>49.914848327999998</v>
      </c>
      <c r="G635">
        <v>1299.8533935999999</v>
      </c>
      <c r="H635">
        <v>1287.7264404</v>
      </c>
      <c r="I635">
        <v>1364.8465576000001</v>
      </c>
      <c r="J635">
        <v>1354.7989502</v>
      </c>
      <c r="K635">
        <v>0</v>
      </c>
      <c r="L635">
        <v>1215</v>
      </c>
      <c r="M635">
        <v>1215</v>
      </c>
      <c r="N635">
        <v>0</v>
      </c>
    </row>
    <row r="636" spans="1:14" x14ac:dyDescent="0.25">
      <c r="A636">
        <v>365</v>
      </c>
      <c r="B636" s="1">
        <f>DATE(2011,5,1) + TIME(0,0,0)</f>
        <v>40664</v>
      </c>
      <c r="C636">
        <v>80</v>
      </c>
      <c r="D636">
        <v>44.305809021000002</v>
      </c>
      <c r="E636">
        <v>50</v>
      </c>
      <c r="F636">
        <v>49.915245056000003</v>
      </c>
      <c r="G636">
        <v>1299.5648193</v>
      </c>
      <c r="H636">
        <v>1287.2768555</v>
      </c>
      <c r="I636">
        <v>1364.8095702999999</v>
      </c>
      <c r="J636">
        <v>1354.7651367000001</v>
      </c>
      <c r="K636">
        <v>0</v>
      </c>
      <c r="L636">
        <v>1215</v>
      </c>
      <c r="M636">
        <v>1215</v>
      </c>
      <c r="N636">
        <v>0</v>
      </c>
    </row>
    <row r="637" spans="1:14" x14ac:dyDescent="0.25">
      <c r="A637">
        <v>365.000001</v>
      </c>
      <c r="B637" s="1">
        <f>DATE(2011,5,1) + TIME(0,0,0)</f>
        <v>40664</v>
      </c>
      <c r="C637">
        <v>80</v>
      </c>
      <c r="D637">
        <v>44.305904388000002</v>
      </c>
      <c r="E637">
        <v>50</v>
      </c>
      <c r="F637">
        <v>49.915184021000002</v>
      </c>
      <c r="G637">
        <v>1314.8767089999999</v>
      </c>
      <c r="H637">
        <v>1300.1257324000001</v>
      </c>
      <c r="I637">
        <v>1354.2937012</v>
      </c>
      <c r="J637">
        <v>1343.6456298999999</v>
      </c>
      <c r="K637">
        <v>1375</v>
      </c>
      <c r="L637">
        <v>0</v>
      </c>
      <c r="M637">
        <v>0</v>
      </c>
      <c r="N637">
        <v>1375</v>
      </c>
    </row>
    <row r="638" spans="1:14" x14ac:dyDescent="0.25">
      <c r="A638">
        <v>365.00000399999999</v>
      </c>
      <c r="B638" s="1">
        <f>DATE(2011,5,1) + TIME(0,0,0)</f>
        <v>40664</v>
      </c>
      <c r="C638">
        <v>80</v>
      </c>
      <c r="D638">
        <v>44.306175232000001</v>
      </c>
      <c r="E638">
        <v>50</v>
      </c>
      <c r="F638">
        <v>49.915027618000003</v>
      </c>
      <c r="G638">
        <v>1316.1915283000001</v>
      </c>
      <c r="H638">
        <v>1301.6282959</v>
      </c>
      <c r="I638">
        <v>1353.0357666</v>
      </c>
      <c r="J638">
        <v>1342.3867187999999</v>
      </c>
      <c r="K638">
        <v>1375</v>
      </c>
      <c r="L638">
        <v>0</v>
      </c>
      <c r="M638">
        <v>0</v>
      </c>
      <c r="N638">
        <v>1375</v>
      </c>
    </row>
    <row r="639" spans="1:14" x14ac:dyDescent="0.25">
      <c r="A639">
        <v>365.00001300000002</v>
      </c>
      <c r="B639" s="1">
        <f>DATE(2011,5,1) + TIME(0,0,1)</f>
        <v>40664.000011574077</v>
      </c>
      <c r="C639">
        <v>80</v>
      </c>
      <c r="D639">
        <v>44.306850433000001</v>
      </c>
      <c r="E639">
        <v>50</v>
      </c>
      <c r="F639">
        <v>49.914672852000002</v>
      </c>
      <c r="G639">
        <v>1319.3016356999999</v>
      </c>
      <c r="H639">
        <v>1305.0378418</v>
      </c>
      <c r="I639">
        <v>1350.2133789</v>
      </c>
      <c r="J639">
        <v>1339.5627440999999</v>
      </c>
      <c r="K639">
        <v>1375</v>
      </c>
      <c r="L639">
        <v>0</v>
      </c>
      <c r="M639">
        <v>0</v>
      </c>
      <c r="N639">
        <v>1375</v>
      </c>
    </row>
    <row r="640" spans="1:14" x14ac:dyDescent="0.25">
      <c r="A640">
        <v>365.00004000000001</v>
      </c>
      <c r="B640" s="1">
        <f>DATE(2011,5,1) + TIME(0,0,3)</f>
        <v>40664.000034722223</v>
      </c>
      <c r="C640">
        <v>80</v>
      </c>
      <c r="D640">
        <v>44.308334350999999</v>
      </c>
      <c r="E640">
        <v>50</v>
      </c>
      <c r="F640">
        <v>49.914073944000002</v>
      </c>
      <c r="G640">
        <v>1324.9505615</v>
      </c>
      <c r="H640">
        <v>1310.8818358999999</v>
      </c>
      <c r="I640">
        <v>1345.4951172000001</v>
      </c>
      <c r="J640">
        <v>1334.8446045000001</v>
      </c>
      <c r="K640">
        <v>1375</v>
      </c>
      <c r="L640">
        <v>0</v>
      </c>
      <c r="M640">
        <v>0</v>
      </c>
      <c r="N640">
        <v>1375</v>
      </c>
    </row>
    <row r="641" spans="1:14" x14ac:dyDescent="0.25">
      <c r="A641">
        <v>365.00012099999998</v>
      </c>
      <c r="B641" s="1">
        <f>DATE(2011,5,1) + TIME(0,0,10)</f>
        <v>40664.000115740739</v>
      </c>
      <c r="C641">
        <v>80</v>
      </c>
      <c r="D641">
        <v>44.311538696</v>
      </c>
      <c r="E641">
        <v>50</v>
      </c>
      <c r="F641">
        <v>49.913333893000001</v>
      </c>
      <c r="G641">
        <v>1332.3605957</v>
      </c>
      <c r="H641">
        <v>1318.2360839999999</v>
      </c>
      <c r="I641">
        <v>1339.7230225000001</v>
      </c>
      <c r="J641">
        <v>1329.0831298999999</v>
      </c>
      <c r="K641">
        <v>1375</v>
      </c>
      <c r="L641">
        <v>0</v>
      </c>
      <c r="M641">
        <v>0</v>
      </c>
      <c r="N641">
        <v>1375</v>
      </c>
    </row>
    <row r="642" spans="1:14" x14ac:dyDescent="0.25">
      <c r="A642">
        <v>365.00036399999999</v>
      </c>
      <c r="B642" s="1">
        <f>DATE(2011,5,1) + TIME(0,0,31)</f>
        <v>40664.000358796293</v>
      </c>
      <c r="C642">
        <v>80</v>
      </c>
      <c r="D642">
        <v>44.319465637</v>
      </c>
      <c r="E642">
        <v>50</v>
      </c>
      <c r="F642">
        <v>49.912536621000001</v>
      </c>
      <c r="G642">
        <v>1340.3244629000001</v>
      </c>
      <c r="H642">
        <v>1326.0820312000001</v>
      </c>
      <c r="I642">
        <v>1333.7685547000001</v>
      </c>
      <c r="J642">
        <v>1323.1462402</v>
      </c>
      <c r="K642">
        <v>1375</v>
      </c>
      <c r="L642">
        <v>0</v>
      </c>
      <c r="M642">
        <v>0</v>
      </c>
      <c r="N642">
        <v>1375</v>
      </c>
    </row>
    <row r="643" spans="1:14" x14ac:dyDescent="0.25">
      <c r="A643">
        <v>365.00109300000003</v>
      </c>
      <c r="B643" s="1">
        <f>DATE(2011,5,1) + TIME(0,1,34)</f>
        <v>40664.001087962963</v>
      </c>
      <c r="C643">
        <v>80</v>
      </c>
      <c r="D643">
        <v>44.34148407</v>
      </c>
      <c r="E643">
        <v>50</v>
      </c>
      <c r="F643">
        <v>49.911624908</v>
      </c>
      <c r="G643">
        <v>1348.6029053</v>
      </c>
      <c r="H643">
        <v>1334.2767334</v>
      </c>
      <c r="I643">
        <v>1327.7700195</v>
      </c>
      <c r="J643">
        <v>1317.1658935999999</v>
      </c>
      <c r="K643">
        <v>1375</v>
      </c>
      <c r="L643">
        <v>0</v>
      </c>
      <c r="M643">
        <v>0</v>
      </c>
      <c r="N643">
        <v>1375</v>
      </c>
    </row>
    <row r="644" spans="1:14" x14ac:dyDescent="0.25">
      <c r="A644">
        <v>365.00328000000002</v>
      </c>
      <c r="B644" s="1">
        <f>DATE(2011,5,1) + TIME(0,4,43)</f>
        <v>40664.003275462965</v>
      </c>
      <c r="C644">
        <v>80</v>
      </c>
      <c r="D644">
        <v>44.405735016000001</v>
      </c>
      <c r="E644">
        <v>50</v>
      </c>
      <c r="F644">
        <v>49.910358428999999</v>
      </c>
      <c r="G644">
        <v>1357.4569091999999</v>
      </c>
      <c r="H644">
        <v>1343.0898437999999</v>
      </c>
      <c r="I644">
        <v>1321.4356689000001</v>
      </c>
      <c r="J644">
        <v>1310.8267822</v>
      </c>
      <c r="K644">
        <v>1375</v>
      </c>
      <c r="L644">
        <v>0</v>
      </c>
      <c r="M644">
        <v>0</v>
      </c>
      <c r="N644">
        <v>1375</v>
      </c>
    </row>
    <row r="645" spans="1:14" x14ac:dyDescent="0.25">
      <c r="A645">
        <v>365.00984099999999</v>
      </c>
      <c r="B645" s="1">
        <f>DATE(2011,5,1) + TIME(0,14,10)</f>
        <v>40664.009837962964</v>
      </c>
      <c r="C645">
        <v>80</v>
      </c>
      <c r="D645">
        <v>44.595920563</v>
      </c>
      <c r="E645">
        <v>50</v>
      </c>
      <c r="F645">
        <v>49.908073424999998</v>
      </c>
      <c r="G645">
        <v>1366.5476074000001</v>
      </c>
      <c r="H645">
        <v>1352.1865233999999</v>
      </c>
      <c r="I645">
        <v>1314.5145264</v>
      </c>
      <c r="J645">
        <v>1303.8793945</v>
      </c>
      <c r="K645">
        <v>1375</v>
      </c>
      <c r="L645">
        <v>0</v>
      </c>
      <c r="M645">
        <v>0</v>
      </c>
      <c r="N645">
        <v>1375</v>
      </c>
    </row>
    <row r="646" spans="1:14" x14ac:dyDescent="0.25">
      <c r="A646">
        <v>365.02952399999998</v>
      </c>
      <c r="B646" s="1">
        <f>DATE(2011,5,1) + TIME(0,42,30)</f>
        <v>40664.029513888891</v>
      </c>
      <c r="C646">
        <v>80</v>
      </c>
      <c r="D646">
        <v>45.156459808000001</v>
      </c>
      <c r="E646">
        <v>50</v>
      </c>
      <c r="F646">
        <v>49.903087616000001</v>
      </c>
      <c r="G646">
        <v>1373.9464111</v>
      </c>
      <c r="H646">
        <v>1359.6931152</v>
      </c>
      <c r="I646">
        <v>1308.3814697</v>
      </c>
      <c r="J646">
        <v>1297.7268065999999</v>
      </c>
      <c r="K646">
        <v>1375</v>
      </c>
      <c r="L646">
        <v>0</v>
      </c>
      <c r="M646">
        <v>0</v>
      </c>
      <c r="N646">
        <v>1375</v>
      </c>
    </row>
    <row r="647" spans="1:14" x14ac:dyDescent="0.25">
      <c r="A647">
        <v>365.06300299999998</v>
      </c>
      <c r="B647" s="1">
        <f>DATE(2011,5,1) + TIME(1,30,43)</f>
        <v>40664.062997685185</v>
      </c>
      <c r="C647">
        <v>80</v>
      </c>
      <c r="D647">
        <v>46.084918975999997</v>
      </c>
      <c r="E647">
        <v>50</v>
      </c>
      <c r="F647">
        <v>49.895660399999997</v>
      </c>
      <c r="G647">
        <v>1377.1149902</v>
      </c>
      <c r="H647">
        <v>1363.0729980000001</v>
      </c>
      <c r="I647">
        <v>1305.6730957</v>
      </c>
      <c r="J647">
        <v>1295.0115966999999</v>
      </c>
      <c r="K647">
        <v>1375</v>
      </c>
      <c r="L647">
        <v>0</v>
      </c>
      <c r="M647">
        <v>0</v>
      </c>
      <c r="N647">
        <v>1375</v>
      </c>
    </row>
    <row r="648" spans="1:14" x14ac:dyDescent="0.25">
      <c r="A648">
        <v>365.09718199999998</v>
      </c>
      <c r="B648" s="1">
        <f>DATE(2011,5,1) + TIME(2,19,56)</f>
        <v>40664.097175925926</v>
      </c>
      <c r="C648">
        <v>80</v>
      </c>
      <c r="D648">
        <v>47.008560181</v>
      </c>
      <c r="E648">
        <v>50</v>
      </c>
      <c r="F648">
        <v>49.888378142999997</v>
      </c>
      <c r="G648">
        <v>1377.9851074000001</v>
      </c>
      <c r="H648">
        <v>1364.1461182</v>
      </c>
      <c r="I648">
        <v>1304.9156493999999</v>
      </c>
      <c r="J648">
        <v>1294.2521973</v>
      </c>
      <c r="K648">
        <v>1375</v>
      </c>
      <c r="L648">
        <v>0</v>
      </c>
      <c r="M648">
        <v>0</v>
      </c>
      <c r="N648">
        <v>1375</v>
      </c>
    </row>
    <row r="649" spans="1:14" x14ac:dyDescent="0.25">
      <c r="A649">
        <v>365.13204899999999</v>
      </c>
      <c r="B649" s="1">
        <f>DATE(2011,5,1) + TIME(3,10,9)</f>
        <v>40664.132048611114</v>
      </c>
      <c r="C649">
        <v>80</v>
      </c>
      <c r="D649">
        <v>47.926204681000002</v>
      </c>
      <c r="E649">
        <v>50</v>
      </c>
      <c r="F649">
        <v>49.881080627000003</v>
      </c>
      <c r="G649">
        <v>1378.1268310999999</v>
      </c>
      <c r="H649">
        <v>1364.4863281</v>
      </c>
      <c r="I649">
        <v>1304.7203368999999</v>
      </c>
      <c r="J649">
        <v>1294.0560303</v>
      </c>
      <c r="K649">
        <v>1375</v>
      </c>
      <c r="L649">
        <v>0</v>
      </c>
      <c r="M649">
        <v>0</v>
      </c>
      <c r="N649">
        <v>1375</v>
      </c>
    </row>
    <row r="650" spans="1:14" x14ac:dyDescent="0.25">
      <c r="A650">
        <v>365.16762499999999</v>
      </c>
      <c r="B650" s="1">
        <f>DATE(2011,5,1) + TIME(4,1,22)</f>
        <v>40664.167615740742</v>
      </c>
      <c r="C650">
        <v>80</v>
      </c>
      <c r="D650">
        <v>48.837551116999997</v>
      </c>
      <c r="E650">
        <v>50</v>
      </c>
      <c r="F650">
        <v>49.873706818000002</v>
      </c>
      <c r="G650">
        <v>1378.0159911999999</v>
      </c>
      <c r="H650">
        <v>1364.5671387</v>
      </c>
      <c r="I650">
        <v>1304.6843262</v>
      </c>
      <c r="J650">
        <v>1294.0194091999999</v>
      </c>
      <c r="K650">
        <v>1375</v>
      </c>
      <c r="L650">
        <v>0</v>
      </c>
      <c r="M650">
        <v>0</v>
      </c>
      <c r="N650">
        <v>1375</v>
      </c>
    </row>
    <row r="651" spans="1:14" x14ac:dyDescent="0.25">
      <c r="A651">
        <v>365.20391100000001</v>
      </c>
      <c r="B651" s="1">
        <f>DATE(2011,5,1) + TIME(4,53,37)</f>
        <v>40664.203900462962</v>
      </c>
      <c r="C651">
        <v>80</v>
      </c>
      <c r="D651">
        <v>49.741798400999997</v>
      </c>
      <c r="E651">
        <v>50</v>
      </c>
      <c r="F651">
        <v>49.866252899000003</v>
      </c>
      <c r="G651">
        <v>1377.8149414</v>
      </c>
      <c r="H651">
        <v>1364.5507812000001</v>
      </c>
      <c r="I651">
        <v>1304.6878661999999</v>
      </c>
      <c r="J651">
        <v>1294.0223389</v>
      </c>
      <c r="K651">
        <v>1375</v>
      </c>
      <c r="L651">
        <v>0</v>
      </c>
      <c r="M651">
        <v>0</v>
      </c>
      <c r="N651">
        <v>1375</v>
      </c>
    </row>
    <row r="652" spans="1:14" x14ac:dyDescent="0.25">
      <c r="A652">
        <v>365.24093099999999</v>
      </c>
      <c r="B652" s="1">
        <f>DATE(2011,5,1) + TIME(5,46,56)</f>
        <v>40664.240925925929</v>
      </c>
      <c r="C652">
        <v>80</v>
      </c>
      <c r="D652">
        <v>50.638389586999999</v>
      </c>
      <c r="E652">
        <v>50</v>
      </c>
      <c r="F652">
        <v>49.858707428000002</v>
      </c>
      <c r="G652">
        <v>1377.5837402</v>
      </c>
      <c r="H652">
        <v>1364.4970702999999</v>
      </c>
      <c r="I652">
        <v>1304.6971435999999</v>
      </c>
      <c r="J652">
        <v>1294.03125</v>
      </c>
      <c r="K652">
        <v>1375</v>
      </c>
      <c r="L652">
        <v>0</v>
      </c>
      <c r="M652">
        <v>0</v>
      </c>
      <c r="N652">
        <v>1375</v>
      </c>
    </row>
    <row r="653" spans="1:14" x14ac:dyDescent="0.25">
      <c r="A653">
        <v>365.27872000000002</v>
      </c>
      <c r="B653" s="1">
        <f>DATE(2011,5,1) + TIME(6,41,21)</f>
        <v>40664.278715277775</v>
      </c>
      <c r="C653">
        <v>80</v>
      </c>
      <c r="D653">
        <v>51.527469635000003</v>
      </c>
      <c r="E653">
        <v>50</v>
      </c>
      <c r="F653">
        <v>49.851062775000003</v>
      </c>
      <c r="G653">
        <v>1377.3454589999999</v>
      </c>
      <c r="H653">
        <v>1364.4293213000001</v>
      </c>
      <c r="I653">
        <v>1304.7044678</v>
      </c>
      <c r="J653">
        <v>1294.0380858999999</v>
      </c>
      <c r="K653">
        <v>1375</v>
      </c>
      <c r="L653">
        <v>0</v>
      </c>
      <c r="M653">
        <v>0</v>
      </c>
      <c r="N653">
        <v>1375</v>
      </c>
    </row>
    <row r="654" spans="1:14" x14ac:dyDescent="0.25">
      <c r="A654">
        <v>365.31731500000001</v>
      </c>
      <c r="B654" s="1">
        <f>DATE(2011,5,1) + TIME(7,36,55)</f>
        <v>40664.317303240743</v>
      </c>
      <c r="C654">
        <v>80</v>
      </c>
      <c r="D654">
        <v>52.409126282000003</v>
      </c>
      <c r="E654">
        <v>50</v>
      </c>
      <c r="F654">
        <v>49.843322753999999</v>
      </c>
      <c r="G654">
        <v>1377.1094971</v>
      </c>
      <c r="H654">
        <v>1364.3575439000001</v>
      </c>
      <c r="I654">
        <v>1304.7091064000001</v>
      </c>
      <c r="J654">
        <v>1294.0422363</v>
      </c>
      <c r="K654">
        <v>1375</v>
      </c>
      <c r="L654">
        <v>0</v>
      </c>
      <c r="M654">
        <v>0</v>
      </c>
      <c r="N654">
        <v>1375</v>
      </c>
    </row>
    <row r="655" spans="1:14" x14ac:dyDescent="0.25">
      <c r="A655">
        <v>365.35671200000002</v>
      </c>
      <c r="B655" s="1">
        <f>DATE(2011,5,1) + TIME(8,33,39)</f>
        <v>40664.35670138889</v>
      </c>
      <c r="C655">
        <v>80</v>
      </c>
      <c r="D655">
        <v>53.282386780000003</v>
      </c>
      <c r="E655">
        <v>50</v>
      </c>
      <c r="F655">
        <v>49.835479736000003</v>
      </c>
      <c r="G655">
        <v>1376.8801269999999</v>
      </c>
      <c r="H655">
        <v>1364.2857666</v>
      </c>
      <c r="I655">
        <v>1304.7117920000001</v>
      </c>
      <c r="J655">
        <v>1294.0443115</v>
      </c>
      <c r="K655">
        <v>1375</v>
      </c>
      <c r="L655">
        <v>0</v>
      </c>
      <c r="M655">
        <v>0</v>
      </c>
      <c r="N655">
        <v>1375</v>
      </c>
    </row>
    <row r="656" spans="1:14" x14ac:dyDescent="0.25">
      <c r="A656">
        <v>365.396951</v>
      </c>
      <c r="B656" s="1">
        <f>DATE(2011,5,1) + TIME(9,31,36)</f>
        <v>40664.396944444445</v>
      </c>
      <c r="C656">
        <v>80</v>
      </c>
      <c r="D656">
        <v>54.147178650000001</v>
      </c>
      <c r="E656">
        <v>50</v>
      </c>
      <c r="F656">
        <v>49.827533721999998</v>
      </c>
      <c r="G656">
        <v>1376.6585693</v>
      </c>
      <c r="H656">
        <v>1364.2156981999999</v>
      </c>
      <c r="I656">
        <v>1304.7132568</v>
      </c>
      <c r="J656">
        <v>1294.0452881000001</v>
      </c>
      <c r="K656">
        <v>1375</v>
      </c>
      <c r="L656">
        <v>0</v>
      </c>
      <c r="M656">
        <v>0</v>
      </c>
      <c r="N656">
        <v>1375</v>
      </c>
    </row>
    <row r="657" spans="1:14" x14ac:dyDescent="0.25">
      <c r="A657">
        <v>365.43807199999998</v>
      </c>
      <c r="B657" s="1">
        <f>DATE(2011,5,1) + TIME(10,30,49)</f>
        <v>40664.438067129631</v>
      </c>
      <c r="C657">
        <v>80</v>
      </c>
      <c r="D657">
        <v>55.003452301000003</v>
      </c>
      <c r="E657">
        <v>50</v>
      </c>
      <c r="F657">
        <v>49.819480896000002</v>
      </c>
      <c r="G657">
        <v>1376.4454346</v>
      </c>
      <c r="H657">
        <v>1364.1483154</v>
      </c>
      <c r="I657">
        <v>1304.7139893000001</v>
      </c>
      <c r="J657">
        <v>1294.0455322</v>
      </c>
      <c r="K657">
        <v>1375</v>
      </c>
      <c r="L657">
        <v>0</v>
      </c>
      <c r="M657">
        <v>0</v>
      </c>
      <c r="N657">
        <v>1375</v>
      </c>
    </row>
    <row r="658" spans="1:14" x14ac:dyDescent="0.25">
      <c r="A658">
        <v>365.480121</v>
      </c>
      <c r="B658" s="1">
        <f>DATE(2011,5,1) + TIME(11,31,22)</f>
        <v>40664.480115740742</v>
      </c>
      <c r="C658">
        <v>80</v>
      </c>
      <c r="D658">
        <v>55.851142883000001</v>
      </c>
      <c r="E658">
        <v>50</v>
      </c>
      <c r="F658">
        <v>49.811309813999998</v>
      </c>
      <c r="G658">
        <v>1376.2407227000001</v>
      </c>
      <c r="H658">
        <v>1364.0834961</v>
      </c>
      <c r="I658">
        <v>1304.7143555</v>
      </c>
      <c r="J658">
        <v>1294.0452881000001</v>
      </c>
      <c r="K658">
        <v>1375</v>
      </c>
      <c r="L658">
        <v>0</v>
      </c>
      <c r="M658">
        <v>0</v>
      </c>
      <c r="N658">
        <v>1375</v>
      </c>
    </row>
    <row r="659" spans="1:14" x14ac:dyDescent="0.25">
      <c r="A659">
        <v>365.52314699999999</v>
      </c>
      <c r="B659" s="1">
        <f>DATE(2011,5,1) + TIME(12,33,19)</f>
        <v>40664.523136574076</v>
      </c>
      <c r="C659">
        <v>80</v>
      </c>
      <c r="D659">
        <v>56.690170287999997</v>
      </c>
      <c r="E659">
        <v>50</v>
      </c>
      <c r="F659">
        <v>49.803020476999997</v>
      </c>
      <c r="G659">
        <v>1376.0441894999999</v>
      </c>
      <c r="H659">
        <v>1364.0216064000001</v>
      </c>
      <c r="I659">
        <v>1304.7144774999999</v>
      </c>
      <c r="J659">
        <v>1294.0449219</v>
      </c>
      <c r="K659">
        <v>1375</v>
      </c>
      <c r="L659">
        <v>0</v>
      </c>
      <c r="M659">
        <v>0</v>
      </c>
      <c r="N659">
        <v>1375</v>
      </c>
    </row>
    <row r="660" spans="1:14" x14ac:dyDescent="0.25">
      <c r="A660">
        <v>365.56720000000001</v>
      </c>
      <c r="B660" s="1">
        <f>DATE(2011,5,1) + TIME(13,36,46)</f>
        <v>40664.567199074074</v>
      </c>
      <c r="C660">
        <v>80</v>
      </c>
      <c r="D660">
        <v>57.520431518999999</v>
      </c>
      <c r="E660">
        <v>50</v>
      </c>
      <c r="F660">
        <v>49.794601440000001</v>
      </c>
      <c r="G660">
        <v>1375.8555908000001</v>
      </c>
      <c r="H660">
        <v>1363.9625243999999</v>
      </c>
      <c r="I660">
        <v>1304.7144774999999</v>
      </c>
      <c r="J660">
        <v>1294.0443115</v>
      </c>
      <c r="K660">
        <v>1375</v>
      </c>
      <c r="L660">
        <v>0</v>
      </c>
      <c r="M660">
        <v>0</v>
      </c>
      <c r="N660">
        <v>1375</v>
      </c>
    </row>
    <row r="661" spans="1:14" x14ac:dyDescent="0.25">
      <c r="A661">
        <v>365.61230999999998</v>
      </c>
      <c r="B661" s="1">
        <f>DATE(2011,5,1) + TIME(14,41,43)</f>
        <v>40664.612303240741</v>
      </c>
      <c r="C661">
        <v>80</v>
      </c>
      <c r="D661">
        <v>58.341361999999997</v>
      </c>
      <c r="E661">
        <v>50</v>
      </c>
      <c r="F661">
        <v>49.786052703999999</v>
      </c>
      <c r="G661">
        <v>1375.6746826000001</v>
      </c>
      <c r="H661">
        <v>1363.9060059000001</v>
      </c>
      <c r="I661">
        <v>1304.7142334</v>
      </c>
      <c r="J661">
        <v>1294.0435791</v>
      </c>
      <c r="K661">
        <v>1375</v>
      </c>
      <c r="L661">
        <v>0</v>
      </c>
      <c r="M661">
        <v>0</v>
      </c>
      <c r="N661">
        <v>1375</v>
      </c>
    </row>
    <row r="662" spans="1:14" x14ac:dyDescent="0.25">
      <c r="A662">
        <v>365.65853099999998</v>
      </c>
      <c r="B662" s="1">
        <f>DATE(2011,5,1) + TIME(15,48,17)</f>
        <v>40664.658530092594</v>
      </c>
      <c r="C662">
        <v>80</v>
      </c>
      <c r="D662">
        <v>59.152790070000002</v>
      </c>
      <c r="E662">
        <v>50</v>
      </c>
      <c r="F662">
        <v>49.777362822999997</v>
      </c>
      <c r="G662">
        <v>1375.5012207</v>
      </c>
      <c r="H662">
        <v>1363.8521728999999</v>
      </c>
      <c r="I662">
        <v>1304.7141113</v>
      </c>
      <c r="J662">
        <v>1294.0428466999999</v>
      </c>
      <c r="K662">
        <v>1375</v>
      </c>
      <c r="L662">
        <v>0</v>
      </c>
      <c r="M662">
        <v>0</v>
      </c>
      <c r="N662">
        <v>1375</v>
      </c>
    </row>
    <row r="663" spans="1:14" x14ac:dyDescent="0.25">
      <c r="A663">
        <v>365.70591999999999</v>
      </c>
      <c r="B663" s="1">
        <f>DATE(2011,5,1) + TIME(16,56,31)</f>
        <v>40664.705914351849</v>
      </c>
      <c r="C663">
        <v>80</v>
      </c>
      <c r="D663">
        <v>59.954505920000003</v>
      </c>
      <c r="E663">
        <v>50</v>
      </c>
      <c r="F663">
        <v>49.768531799000002</v>
      </c>
      <c r="G663">
        <v>1375.3345947</v>
      </c>
      <c r="H663">
        <v>1363.8005370999999</v>
      </c>
      <c r="I663">
        <v>1304.7138672000001</v>
      </c>
      <c r="J663">
        <v>1294.0419922000001</v>
      </c>
      <c r="K663">
        <v>1375</v>
      </c>
      <c r="L663">
        <v>0</v>
      </c>
      <c r="M663">
        <v>0</v>
      </c>
      <c r="N663">
        <v>1375</v>
      </c>
    </row>
    <row r="664" spans="1:14" x14ac:dyDescent="0.25">
      <c r="A664">
        <v>365.75453900000002</v>
      </c>
      <c r="B664" s="1">
        <f>DATE(2011,5,1) + TIME(18,6,32)</f>
        <v>40664.754537037035</v>
      </c>
      <c r="C664">
        <v>80</v>
      </c>
      <c r="D664">
        <v>60.745761870999999</v>
      </c>
      <c r="E664">
        <v>50</v>
      </c>
      <c r="F664">
        <v>49.759548187</v>
      </c>
      <c r="G664">
        <v>1375.1748047000001</v>
      </c>
      <c r="H664">
        <v>1363.7512207</v>
      </c>
      <c r="I664">
        <v>1304.713501</v>
      </c>
      <c r="J664">
        <v>1294.0411377</v>
      </c>
      <c r="K664">
        <v>1375</v>
      </c>
      <c r="L664">
        <v>0</v>
      </c>
      <c r="M664">
        <v>0</v>
      </c>
      <c r="N664">
        <v>1375</v>
      </c>
    </row>
    <row r="665" spans="1:14" x14ac:dyDescent="0.25">
      <c r="A665">
        <v>365.80446499999999</v>
      </c>
      <c r="B665" s="1">
        <f>DATE(2011,5,1) + TIME(19,18,25)</f>
        <v>40664.804456018515</v>
      </c>
      <c r="C665">
        <v>80</v>
      </c>
      <c r="D665">
        <v>61.526981354</v>
      </c>
      <c r="E665">
        <v>50</v>
      </c>
      <c r="F665">
        <v>49.750400542999998</v>
      </c>
      <c r="G665">
        <v>1375.0212402</v>
      </c>
      <c r="H665">
        <v>1363.7039795000001</v>
      </c>
      <c r="I665">
        <v>1304.7131348</v>
      </c>
      <c r="J665">
        <v>1294.0401611</v>
      </c>
      <c r="K665">
        <v>1375</v>
      </c>
      <c r="L665">
        <v>0</v>
      </c>
      <c r="M665">
        <v>0</v>
      </c>
      <c r="N665">
        <v>1375</v>
      </c>
    </row>
    <row r="666" spans="1:14" x14ac:dyDescent="0.25">
      <c r="A666">
        <v>365.855774</v>
      </c>
      <c r="B666" s="1">
        <f>DATE(2011,5,1) + TIME(20,32,18)</f>
        <v>40664.855763888889</v>
      </c>
      <c r="C666">
        <v>80</v>
      </c>
      <c r="D666">
        <v>62.297988891999999</v>
      </c>
      <c r="E666">
        <v>50</v>
      </c>
      <c r="F666">
        <v>49.741081238</v>
      </c>
      <c r="G666">
        <v>1374.8736572</v>
      </c>
      <c r="H666">
        <v>1363.6586914</v>
      </c>
      <c r="I666">
        <v>1304.7126464999999</v>
      </c>
      <c r="J666">
        <v>1294.0390625</v>
      </c>
      <c r="K666">
        <v>1375</v>
      </c>
      <c r="L666">
        <v>0</v>
      </c>
      <c r="M666">
        <v>0</v>
      </c>
      <c r="N666">
        <v>1375</v>
      </c>
    </row>
    <row r="667" spans="1:14" x14ac:dyDescent="0.25">
      <c r="A667">
        <v>365.908547</v>
      </c>
      <c r="B667" s="1">
        <f>DATE(2011,5,1) + TIME(21,48,18)</f>
        <v>40664.908541666664</v>
      </c>
      <c r="C667">
        <v>80</v>
      </c>
      <c r="D667">
        <v>63.058567046999997</v>
      </c>
      <c r="E667">
        <v>50</v>
      </c>
      <c r="F667">
        <v>49.731578827</v>
      </c>
      <c r="G667">
        <v>1374.7319336</v>
      </c>
      <c r="H667">
        <v>1363.6151123</v>
      </c>
      <c r="I667">
        <v>1304.7121582</v>
      </c>
      <c r="J667">
        <v>1294.0379639</v>
      </c>
      <c r="K667">
        <v>1375</v>
      </c>
      <c r="L667">
        <v>0</v>
      </c>
      <c r="M667">
        <v>0</v>
      </c>
      <c r="N667">
        <v>1375</v>
      </c>
    </row>
    <row r="668" spans="1:14" x14ac:dyDescent="0.25">
      <c r="A668">
        <v>365.962874</v>
      </c>
      <c r="B668" s="1">
        <f>DATE(2011,5,1) + TIME(23,6,32)</f>
        <v>40664.962870370371</v>
      </c>
      <c r="C668">
        <v>80</v>
      </c>
      <c r="D668">
        <v>63.808467864999997</v>
      </c>
      <c r="E668">
        <v>50</v>
      </c>
      <c r="F668">
        <v>49.721885681000003</v>
      </c>
      <c r="G668">
        <v>1374.5954589999999</v>
      </c>
      <c r="H668">
        <v>1363.5732422000001</v>
      </c>
      <c r="I668">
        <v>1304.7116699000001</v>
      </c>
      <c r="J668">
        <v>1294.0368652</v>
      </c>
      <c r="K668">
        <v>1375</v>
      </c>
      <c r="L668">
        <v>0</v>
      </c>
      <c r="M668">
        <v>0</v>
      </c>
      <c r="N668">
        <v>1375</v>
      </c>
    </row>
    <row r="669" spans="1:14" x14ac:dyDescent="0.25">
      <c r="A669">
        <v>366.01884999999999</v>
      </c>
      <c r="B669" s="1">
        <f>DATE(2011,5,2) + TIME(0,27,8)</f>
        <v>40665.018842592595</v>
      </c>
      <c r="C669">
        <v>80</v>
      </c>
      <c r="D669">
        <v>64.547424316000004</v>
      </c>
      <c r="E669">
        <v>50</v>
      </c>
      <c r="F669">
        <v>49.711982726999999</v>
      </c>
      <c r="G669">
        <v>1374.4642334</v>
      </c>
      <c r="H669">
        <v>1363.5328368999999</v>
      </c>
      <c r="I669">
        <v>1304.7110596</v>
      </c>
      <c r="J669">
        <v>1294.0356445</v>
      </c>
      <c r="K669">
        <v>1375</v>
      </c>
      <c r="L669">
        <v>0</v>
      </c>
      <c r="M669">
        <v>0</v>
      </c>
      <c r="N669">
        <v>1375</v>
      </c>
    </row>
    <row r="670" spans="1:14" x14ac:dyDescent="0.25">
      <c r="A670">
        <v>366.07657899999998</v>
      </c>
      <c r="B670" s="1">
        <f>DATE(2011,5,2) + TIME(1,50,16)</f>
        <v>40665.076574074075</v>
      </c>
      <c r="C670">
        <v>80</v>
      </c>
      <c r="D670">
        <v>65.275207519999995</v>
      </c>
      <c r="E670">
        <v>50</v>
      </c>
      <c r="F670">
        <v>49.701862335000001</v>
      </c>
      <c r="G670">
        <v>1374.3378906</v>
      </c>
      <c r="H670">
        <v>1363.4938964999999</v>
      </c>
      <c r="I670">
        <v>1304.7104492000001</v>
      </c>
      <c r="J670">
        <v>1294.0343018000001</v>
      </c>
      <c r="K670">
        <v>1375</v>
      </c>
      <c r="L670">
        <v>0</v>
      </c>
      <c r="M670">
        <v>0</v>
      </c>
      <c r="N670">
        <v>1375</v>
      </c>
    </row>
    <row r="671" spans="1:14" x14ac:dyDescent="0.25">
      <c r="A671">
        <v>366.13617399999998</v>
      </c>
      <c r="B671" s="1">
        <f>DATE(2011,5,2) + TIME(3,16,5)</f>
        <v>40665.13616898148</v>
      </c>
      <c r="C671">
        <v>80</v>
      </c>
      <c r="D671">
        <v>65.99156189</v>
      </c>
      <c r="E671">
        <v>50</v>
      </c>
      <c r="F671">
        <v>49.691505432</v>
      </c>
      <c r="G671">
        <v>1374.2161865</v>
      </c>
      <c r="H671">
        <v>1363.4560547000001</v>
      </c>
      <c r="I671">
        <v>1304.7097168</v>
      </c>
      <c r="J671">
        <v>1294.0329589999999</v>
      </c>
      <c r="K671">
        <v>1375</v>
      </c>
      <c r="L671">
        <v>0</v>
      </c>
      <c r="M671">
        <v>0</v>
      </c>
      <c r="N671">
        <v>1375</v>
      </c>
    </row>
    <row r="672" spans="1:14" x14ac:dyDescent="0.25">
      <c r="A672">
        <v>366.19776100000001</v>
      </c>
      <c r="B672" s="1">
        <f>DATE(2011,5,2) + TIME(4,44,46)</f>
        <v>40665.197754629633</v>
      </c>
      <c r="C672">
        <v>80</v>
      </c>
      <c r="D672">
        <v>66.696029663000004</v>
      </c>
      <c r="E672">
        <v>50</v>
      </c>
      <c r="F672">
        <v>49.680904388000002</v>
      </c>
      <c r="G672">
        <v>1374.0987548999999</v>
      </c>
      <c r="H672">
        <v>1363.4193115</v>
      </c>
      <c r="I672">
        <v>1304.7089844</v>
      </c>
      <c r="J672">
        <v>1294.0316161999999</v>
      </c>
      <c r="K672">
        <v>1375</v>
      </c>
      <c r="L672">
        <v>0</v>
      </c>
      <c r="M672">
        <v>0</v>
      </c>
      <c r="N672">
        <v>1375</v>
      </c>
    </row>
    <row r="673" spans="1:14" x14ac:dyDescent="0.25">
      <c r="A673">
        <v>366.26147700000001</v>
      </c>
      <c r="B673" s="1">
        <f>DATE(2011,5,2) + TIME(6,16,31)</f>
        <v>40665.261469907404</v>
      </c>
      <c r="C673">
        <v>80</v>
      </c>
      <c r="D673">
        <v>67.388282775999997</v>
      </c>
      <c r="E673">
        <v>50</v>
      </c>
      <c r="F673">
        <v>49.670036316000001</v>
      </c>
      <c r="G673">
        <v>1373.9854736</v>
      </c>
      <c r="H673">
        <v>1363.3834228999999</v>
      </c>
      <c r="I673">
        <v>1304.7081298999999</v>
      </c>
      <c r="J673">
        <v>1294.0301514</v>
      </c>
      <c r="K673">
        <v>1375</v>
      </c>
      <c r="L673">
        <v>0</v>
      </c>
      <c r="M673">
        <v>0</v>
      </c>
      <c r="N673">
        <v>1375</v>
      </c>
    </row>
    <row r="674" spans="1:14" x14ac:dyDescent="0.25">
      <c r="A674">
        <v>366.32749699999999</v>
      </c>
      <c r="B674" s="1">
        <f>DATE(2011,5,2) + TIME(7,51,35)</f>
        <v>40665.327488425923</v>
      </c>
      <c r="C674">
        <v>80</v>
      </c>
      <c r="D674">
        <v>68.068199157999999</v>
      </c>
      <c r="E674">
        <v>50</v>
      </c>
      <c r="F674">
        <v>49.658882140999999</v>
      </c>
      <c r="G674">
        <v>1373.8759766000001</v>
      </c>
      <c r="H674">
        <v>1363.3482666</v>
      </c>
      <c r="I674">
        <v>1304.7073975000001</v>
      </c>
      <c r="J674">
        <v>1294.0285644999999</v>
      </c>
      <c r="K674">
        <v>1375</v>
      </c>
      <c r="L674">
        <v>0</v>
      </c>
      <c r="M674">
        <v>0</v>
      </c>
      <c r="N674">
        <v>1375</v>
      </c>
    </row>
    <row r="675" spans="1:14" x14ac:dyDescent="0.25">
      <c r="A675">
        <v>366.395959</v>
      </c>
      <c r="B675" s="1">
        <f>DATE(2011,5,2) + TIME(9,30,10)</f>
        <v>40665.395949074074</v>
      </c>
      <c r="C675">
        <v>80</v>
      </c>
      <c r="D675">
        <v>68.735076903999996</v>
      </c>
      <c r="E675">
        <v>50</v>
      </c>
      <c r="F675">
        <v>49.647422790999997</v>
      </c>
      <c r="G675">
        <v>1373.7701416</v>
      </c>
      <c r="H675">
        <v>1363.3138428</v>
      </c>
      <c r="I675">
        <v>1304.7064209</v>
      </c>
      <c r="J675">
        <v>1294.0269774999999</v>
      </c>
      <c r="K675">
        <v>1375</v>
      </c>
      <c r="L675">
        <v>0</v>
      </c>
      <c r="M675">
        <v>0</v>
      </c>
      <c r="N675">
        <v>1375</v>
      </c>
    </row>
    <row r="676" spans="1:14" x14ac:dyDescent="0.25">
      <c r="A676">
        <v>366.46704599999998</v>
      </c>
      <c r="B676" s="1">
        <f>DATE(2011,5,2) + TIME(11,12,32)</f>
        <v>40665.467037037037</v>
      </c>
      <c r="C676">
        <v>80</v>
      </c>
      <c r="D676">
        <v>69.388473511000001</v>
      </c>
      <c r="E676">
        <v>50</v>
      </c>
      <c r="F676">
        <v>49.635639191000003</v>
      </c>
      <c r="G676">
        <v>1373.6676024999999</v>
      </c>
      <c r="H676">
        <v>1363.2799072</v>
      </c>
      <c r="I676">
        <v>1304.7055664</v>
      </c>
      <c r="J676">
        <v>1294.0252685999999</v>
      </c>
      <c r="K676">
        <v>1375</v>
      </c>
      <c r="L676">
        <v>0</v>
      </c>
      <c r="M676">
        <v>0</v>
      </c>
      <c r="N676">
        <v>1375</v>
      </c>
    </row>
    <row r="677" spans="1:14" x14ac:dyDescent="0.25">
      <c r="A677">
        <v>366.54095799999999</v>
      </c>
      <c r="B677" s="1">
        <f>DATE(2011,5,2) + TIME(12,58,58)</f>
        <v>40665.540949074071</v>
      </c>
      <c r="C677">
        <v>80</v>
      </c>
      <c r="D677">
        <v>70.027931213000002</v>
      </c>
      <c r="E677">
        <v>50</v>
      </c>
      <c r="F677">
        <v>49.623504638999997</v>
      </c>
      <c r="G677">
        <v>1373.5683594</v>
      </c>
      <c r="H677">
        <v>1363.2462158000001</v>
      </c>
      <c r="I677">
        <v>1304.7044678</v>
      </c>
      <c r="J677">
        <v>1294.0235596</v>
      </c>
      <c r="K677">
        <v>1375</v>
      </c>
      <c r="L677">
        <v>0</v>
      </c>
      <c r="M677">
        <v>0</v>
      </c>
      <c r="N677">
        <v>1375</v>
      </c>
    </row>
    <row r="678" spans="1:14" x14ac:dyDescent="0.25">
      <c r="A678">
        <v>366.61791899999997</v>
      </c>
      <c r="B678" s="1">
        <f>DATE(2011,5,2) + TIME(14,49,48)</f>
        <v>40665.61791666667</v>
      </c>
      <c r="C678">
        <v>80</v>
      </c>
      <c r="D678">
        <v>70.652511597</v>
      </c>
      <c r="E678">
        <v>50</v>
      </c>
      <c r="F678">
        <v>49.610992432000003</v>
      </c>
      <c r="G678">
        <v>1373.4719238</v>
      </c>
      <c r="H678">
        <v>1363.2126464999999</v>
      </c>
      <c r="I678">
        <v>1304.7034911999999</v>
      </c>
      <c r="J678">
        <v>1294.0217285000001</v>
      </c>
      <c r="K678">
        <v>1375</v>
      </c>
      <c r="L678">
        <v>0</v>
      </c>
      <c r="M678">
        <v>0</v>
      </c>
      <c r="N678">
        <v>1375</v>
      </c>
    </row>
    <row r="679" spans="1:14" x14ac:dyDescent="0.25">
      <c r="A679">
        <v>366.69817699999999</v>
      </c>
      <c r="B679" s="1">
        <f>DATE(2011,5,2) + TIME(16,45,22)</f>
        <v>40665.698171296295</v>
      </c>
      <c r="C679">
        <v>80</v>
      </c>
      <c r="D679">
        <v>71.262145996000001</v>
      </c>
      <c r="E679">
        <v>50</v>
      </c>
      <c r="F679">
        <v>49.598075866999999</v>
      </c>
      <c r="G679">
        <v>1373.3781738</v>
      </c>
      <c r="H679">
        <v>1363.1791992000001</v>
      </c>
      <c r="I679">
        <v>1304.7023925999999</v>
      </c>
      <c r="J679">
        <v>1294.0198975000001</v>
      </c>
      <c r="K679">
        <v>1375</v>
      </c>
      <c r="L679">
        <v>0</v>
      </c>
      <c r="M679">
        <v>0</v>
      </c>
      <c r="N679">
        <v>1375</v>
      </c>
    </row>
    <row r="680" spans="1:14" x14ac:dyDescent="0.25">
      <c r="A680">
        <v>366.78201300000001</v>
      </c>
      <c r="B680" s="1">
        <f>DATE(2011,5,2) + TIME(18,46,5)</f>
        <v>40665.782002314816</v>
      </c>
      <c r="C680">
        <v>80</v>
      </c>
      <c r="D680">
        <v>71.856300353999998</v>
      </c>
      <c r="E680">
        <v>50</v>
      </c>
      <c r="F680">
        <v>49.584720611999998</v>
      </c>
      <c r="G680">
        <v>1373.2869873</v>
      </c>
      <c r="H680">
        <v>1363.1455077999999</v>
      </c>
      <c r="I680">
        <v>1304.7011719</v>
      </c>
      <c r="J680">
        <v>1294.0178223</v>
      </c>
      <c r="K680">
        <v>1375</v>
      </c>
      <c r="L680">
        <v>0</v>
      </c>
      <c r="M680">
        <v>0</v>
      </c>
      <c r="N680">
        <v>1375</v>
      </c>
    </row>
    <row r="681" spans="1:14" x14ac:dyDescent="0.25">
      <c r="A681">
        <v>366.86973999999998</v>
      </c>
      <c r="B681" s="1">
        <f>DATE(2011,5,2) + TIME(20,52,25)</f>
        <v>40665.869733796295</v>
      </c>
      <c r="C681">
        <v>80</v>
      </c>
      <c r="D681">
        <v>72.434410095000004</v>
      </c>
      <c r="E681">
        <v>50</v>
      </c>
      <c r="F681">
        <v>49.570892334</v>
      </c>
      <c r="G681">
        <v>1373.197876</v>
      </c>
      <c r="H681">
        <v>1363.1115723</v>
      </c>
      <c r="I681">
        <v>1304.6999512</v>
      </c>
      <c r="J681">
        <v>1294.0157471</v>
      </c>
      <c r="K681">
        <v>1375</v>
      </c>
      <c r="L681">
        <v>0</v>
      </c>
      <c r="M681">
        <v>0</v>
      </c>
      <c r="N681">
        <v>1375</v>
      </c>
    </row>
    <row r="682" spans="1:14" x14ac:dyDescent="0.25">
      <c r="A682">
        <v>366.96171399999997</v>
      </c>
      <c r="B682" s="1">
        <f>DATE(2011,5,2) + TIME(23,4,52)</f>
        <v>40665.961712962962</v>
      </c>
      <c r="C682">
        <v>80</v>
      </c>
      <c r="D682">
        <v>72.995887756000002</v>
      </c>
      <c r="E682">
        <v>50</v>
      </c>
      <c r="F682">
        <v>49.556541443</v>
      </c>
      <c r="G682">
        <v>1373.1108397999999</v>
      </c>
      <c r="H682">
        <v>1363.0770264</v>
      </c>
      <c r="I682">
        <v>1304.6986084</v>
      </c>
      <c r="J682">
        <v>1294.0136719</v>
      </c>
      <c r="K682">
        <v>1375</v>
      </c>
      <c r="L682">
        <v>0</v>
      </c>
      <c r="M682">
        <v>0</v>
      </c>
      <c r="N682">
        <v>1375</v>
      </c>
    </row>
    <row r="683" spans="1:14" x14ac:dyDescent="0.25">
      <c r="A683">
        <v>367.05833799999999</v>
      </c>
      <c r="B683" s="1">
        <f>DATE(2011,5,3) + TIME(1,24,0)</f>
        <v>40666.058333333334</v>
      </c>
      <c r="C683">
        <v>80</v>
      </c>
      <c r="D683">
        <v>73.540138244999994</v>
      </c>
      <c r="E683">
        <v>50</v>
      </c>
      <c r="F683">
        <v>49.541629790999998</v>
      </c>
      <c r="G683">
        <v>1373.0253906</v>
      </c>
      <c r="H683">
        <v>1363.0418701000001</v>
      </c>
      <c r="I683">
        <v>1304.6972656</v>
      </c>
      <c r="J683">
        <v>1294.0113524999999</v>
      </c>
      <c r="K683">
        <v>1375</v>
      </c>
      <c r="L683">
        <v>0</v>
      </c>
      <c r="M683">
        <v>0</v>
      </c>
      <c r="N683">
        <v>1375</v>
      </c>
    </row>
    <row r="684" spans="1:14" x14ac:dyDescent="0.25">
      <c r="A684">
        <v>367.16012499999999</v>
      </c>
      <c r="B684" s="1">
        <f>DATE(2011,5,3) + TIME(3,50,34)</f>
        <v>40666.160115740742</v>
      </c>
      <c r="C684">
        <v>80</v>
      </c>
      <c r="D684">
        <v>74.066772460999999</v>
      </c>
      <c r="E684">
        <v>50</v>
      </c>
      <c r="F684">
        <v>49.526088715</v>
      </c>
      <c r="G684">
        <v>1372.9414062000001</v>
      </c>
      <c r="H684">
        <v>1363.0058594</v>
      </c>
      <c r="I684">
        <v>1304.6958007999999</v>
      </c>
      <c r="J684">
        <v>1294.0090332</v>
      </c>
      <c r="K684">
        <v>1375</v>
      </c>
      <c r="L684">
        <v>0</v>
      </c>
      <c r="M684">
        <v>0</v>
      </c>
      <c r="N684">
        <v>1375</v>
      </c>
    </row>
    <row r="685" spans="1:14" x14ac:dyDescent="0.25">
      <c r="A685">
        <v>367.26758999999998</v>
      </c>
      <c r="B685" s="1">
        <f>DATE(2011,5,3) + TIME(6,25,19)</f>
        <v>40666.267581018517</v>
      </c>
      <c r="C685">
        <v>80</v>
      </c>
      <c r="D685">
        <v>74.575004578000005</v>
      </c>
      <c r="E685">
        <v>50</v>
      </c>
      <c r="F685">
        <v>49.509868621999999</v>
      </c>
      <c r="G685">
        <v>1372.8586425999999</v>
      </c>
      <c r="H685">
        <v>1362.96875</v>
      </c>
      <c r="I685">
        <v>1304.6942139</v>
      </c>
      <c r="J685">
        <v>1294.0065918</v>
      </c>
      <c r="K685">
        <v>1375</v>
      </c>
      <c r="L685">
        <v>0</v>
      </c>
      <c r="M685">
        <v>0</v>
      </c>
      <c r="N685">
        <v>1375</v>
      </c>
    </row>
    <row r="686" spans="1:14" x14ac:dyDescent="0.25">
      <c r="A686">
        <v>367.381327</v>
      </c>
      <c r="B686" s="1">
        <f>DATE(2011,5,3) + TIME(9,9,6)</f>
        <v>40666.381319444445</v>
      </c>
      <c r="C686">
        <v>80</v>
      </c>
      <c r="D686">
        <v>75.064018250000004</v>
      </c>
      <c r="E686">
        <v>50</v>
      </c>
      <c r="F686">
        <v>49.492893219000003</v>
      </c>
      <c r="G686">
        <v>1372.7767334</v>
      </c>
      <c r="H686">
        <v>1362.9301757999999</v>
      </c>
      <c r="I686">
        <v>1304.6926269999999</v>
      </c>
      <c r="J686">
        <v>1294.0039062000001</v>
      </c>
      <c r="K686">
        <v>1375</v>
      </c>
      <c r="L686">
        <v>0</v>
      </c>
      <c r="M686">
        <v>0</v>
      </c>
      <c r="N686">
        <v>1375</v>
      </c>
    </row>
    <row r="687" spans="1:14" x14ac:dyDescent="0.25">
      <c r="A687">
        <v>367.50205499999998</v>
      </c>
      <c r="B687" s="1">
        <f>DATE(2011,5,3) + TIME(12,2,57)</f>
        <v>40666.50204861111</v>
      </c>
      <c r="C687">
        <v>80</v>
      </c>
      <c r="D687">
        <v>75.532852172999995</v>
      </c>
      <c r="E687">
        <v>50</v>
      </c>
      <c r="F687">
        <v>49.475086212000001</v>
      </c>
      <c r="G687">
        <v>1372.6955565999999</v>
      </c>
      <c r="H687">
        <v>1362.8901367000001</v>
      </c>
      <c r="I687">
        <v>1304.6907959</v>
      </c>
      <c r="J687">
        <v>1294.0012207</v>
      </c>
      <c r="K687">
        <v>1375</v>
      </c>
      <c r="L687">
        <v>0</v>
      </c>
      <c r="M687">
        <v>0</v>
      </c>
      <c r="N687">
        <v>1375</v>
      </c>
    </row>
    <row r="688" spans="1:14" x14ac:dyDescent="0.25">
      <c r="A688">
        <v>367.63061800000003</v>
      </c>
      <c r="B688" s="1">
        <f>DATE(2011,5,3) + TIME(15,8,5)</f>
        <v>40666.630613425928</v>
      </c>
      <c r="C688">
        <v>80</v>
      </c>
      <c r="D688">
        <v>75.981101989999999</v>
      </c>
      <c r="E688">
        <v>50</v>
      </c>
      <c r="F688">
        <v>49.456356049</v>
      </c>
      <c r="G688">
        <v>1372.6145019999999</v>
      </c>
      <c r="H688">
        <v>1362.8482666</v>
      </c>
      <c r="I688">
        <v>1304.6889647999999</v>
      </c>
      <c r="J688">
        <v>1293.9982910000001</v>
      </c>
      <c r="K688">
        <v>1375</v>
      </c>
      <c r="L688">
        <v>0</v>
      </c>
      <c r="M688">
        <v>0</v>
      </c>
      <c r="N688">
        <v>1375</v>
      </c>
    </row>
    <row r="689" spans="1:14" x14ac:dyDescent="0.25">
      <c r="A689">
        <v>367.76800500000002</v>
      </c>
      <c r="B689" s="1">
        <f>DATE(2011,5,3) + TIME(18,25,55)</f>
        <v>40666.767997685187</v>
      </c>
      <c r="C689">
        <v>80</v>
      </c>
      <c r="D689">
        <v>76.408042907999999</v>
      </c>
      <c r="E689">
        <v>50</v>
      </c>
      <c r="F689">
        <v>49.436584473000003</v>
      </c>
      <c r="G689">
        <v>1372.5335693</v>
      </c>
      <c r="H689">
        <v>1362.8041992000001</v>
      </c>
      <c r="I689">
        <v>1304.6870117000001</v>
      </c>
      <c r="J689">
        <v>1293.9952393000001</v>
      </c>
      <c r="K689">
        <v>1375</v>
      </c>
      <c r="L689">
        <v>0</v>
      </c>
      <c r="M689">
        <v>0</v>
      </c>
      <c r="N689">
        <v>1375</v>
      </c>
    </row>
    <row r="690" spans="1:14" x14ac:dyDescent="0.25">
      <c r="A690">
        <v>367.91539999999998</v>
      </c>
      <c r="B690" s="1">
        <f>DATE(2011,5,3) + TIME(21,58,10)</f>
        <v>40666.915393518517</v>
      </c>
      <c r="C690">
        <v>80</v>
      </c>
      <c r="D690">
        <v>76.812927246000001</v>
      </c>
      <c r="E690">
        <v>50</v>
      </c>
      <c r="F690">
        <v>49.415645599000001</v>
      </c>
      <c r="G690">
        <v>1372.4520264</v>
      </c>
      <c r="H690">
        <v>1362.7578125</v>
      </c>
      <c r="I690">
        <v>1304.6848144999999</v>
      </c>
      <c r="J690">
        <v>1293.9919434000001</v>
      </c>
      <c r="K690">
        <v>1375</v>
      </c>
      <c r="L690">
        <v>0</v>
      </c>
      <c r="M690">
        <v>0</v>
      </c>
      <c r="N690">
        <v>1375</v>
      </c>
    </row>
    <row r="691" spans="1:14" x14ac:dyDescent="0.25">
      <c r="A691">
        <v>368.06815999999998</v>
      </c>
      <c r="B691" s="1">
        <f>DATE(2011,5,4) + TIME(1,38,8)</f>
        <v>40667.068148148152</v>
      </c>
      <c r="C691">
        <v>80</v>
      </c>
      <c r="D691">
        <v>77.182205199999999</v>
      </c>
      <c r="E691">
        <v>50</v>
      </c>
      <c r="F691">
        <v>49.394157409999998</v>
      </c>
      <c r="G691">
        <v>1372.3730469</v>
      </c>
      <c r="H691">
        <v>1362.7099608999999</v>
      </c>
      <c r="I691">
        <v>1304.6824951000001</v>
      </c>
      <c r="J691">
        <v>1293.9884033000001</v>
      </c>
      <c r="K691">
        <v>1375</v>
      </c>
      <c r="L691">
        <v>0</v>
      </c>
      <c r="M691">
        <v>0</v>
      </c>
      <c r="N691">
        <v>1375</v>
      </c>
    </row>
    <row r="692" spans="1:14" x14ac:dyDescent="0.25">
      <c r="A692">
        <v>368.22270800000001</v>
      </c>
      <c r="B692" s="1">
        <f>DATE(2011,5,4) + TIME(5,20,41)</f>
        <v>40667.222696759258</v>
      </c>
      <c r="C692">
        <v>80</v>
      </c>
      <c r="D692">
        <v>77.510437011999997</v>
      </c>
      <c r="E692">
        <v>50</v>
      </c>
      <c r="F692">
        <v>49.372577667000002</v>
      </c>
      <c r="G692">
        <v>1372.2972411999999</v>
      </c>
      <c r="H692">
        <v>1362.6617432</v>
      </c>
      <c r="I692">
        <v>1304.6799315999999</v>
      </c>
      <c r="J692">
        <v>1293.9848632999999</v>
      </c>
      <c r="K692">
        <v>1375</v>
      </c>
      <c r="L692">
        <v>0</v>
      </c>
      <c r="M692">
        <v>0</v>
      </c>
      <c r="N692">
        <v>1375</v>
      </c>
    </row>
    <row r="693" spans="1:14" x14ac:dyDescent="0.25">
      <c r="A693">
        <v>368.37936200000001</v>
      </c>
      <c r="B693" s="1">
        <f>DATE(2011,5,4) + TIME(9,6,16)</f>
        <v>40667.379351851851</v>
      </c>
      <c r="C693">
        <v>80</v>
      </c>
      <c r="D693">
        <v>77.802177428999997</v>
      </c>
      <c r="E693">
        <v>50</v>
      </c>
      <c r="F693">
        <v>49.35086441</v>
      </c>
      <c r="G693">
        <v>1372.2241211</v>
      </c>
      <c r="H693">
        <v>1362.6132812000001</v>
      </c>
      <c r="I693">
        <v>1304.6774902</v>
      </c>
      <c r="J693">
        <v>1293.9812012</v>
      </c>
      <c r="K693">
        <v>1375</v>
      </c>
      <c r="L693">
        <v>0</v>
      </c>
      <c r="M693">
        <v>0</v>
      </c>
      <c r="N693">
        <v>1375</v>
      </c>
    </row>
    <row r="694" spans="1:14" x14ac:dyDescent="0.25">
      <c r="A694">
        <v>368.53849300000002</v>
      </c>
      <c r="B694" s="1">
        <f>DATE(2011,5,4) + TIME(12,55,25)</f>
        <v>40667.538483796299</v>
      </c>
      <c r="C694">
        <v>80</v>
      </c>
      <c r="D694">
        <v>78.061485290999997</v>
      </c>
      <c r="E694">
        <v>50</v>
      </c>
      <c r="F694">
        <v>49.328968048</v>
      </c>
      <c r="G694">
        <v>1372.1529541</v>
      </c>
      <c r="H694">
        <v>1362.5644531</v>
      </c>
      <c r="I694">
        <v>1304.6749268000001</v>
      </c>
      <c r="J694">
        <v>1293.9775391000001</v>
      </c>
      <c r="K694">
        <v>1375</v>
      </c>
      <c r="L694">
        <v>0</v>
      </c>
      <c r="M694">
        <v>0</v>
      </c>
      <c r="N694">
        <v>1375</v>
      </c>
    </row>
    <row r="695" spans="1:14" x14ac:dyDescent="0.25">
      <c r="A695">
        <v>368.700512</v>
      </c>
      <c r="B695" s="1">
        <f>DATE(2011,5,4) + TIME(16,48,44)</f>
        <v>40667.700509259259</v>
      </c>
      <c r="C695">
        <v>80</v>
      </c>
      <c r="D695">
        <v>78.291931152000004</v>
      </c>
      <c r="E695">
        <v>50</v>
      </c>
      <c r="F695">
        <v>49.306838988999999</v>
      </c>
      <c r="G695">
        <v>1372.0834961</v>
      </c>
      <c r="H695">
        <v>1362.5151367000001</v>
      </c>
      <c r="I695">
        <v>1304.6722411999999</v>
      </c>
      <c r="J695">
        <v>1293.9737548999999</v>
      </c>
      <c r="K695">
        <v>1375</v>
      </c>
      <c r="L695">
        <v>0</v>
      </c>
      <c r="M695">
        <v>0</v>
      </c>
      <c r="N695">
        <v>1375</v>
      </c>
    </row>
    <row r="696" spans="1:14" x14ac:dyDescent="0.25">
      <c r="A696">
        <v>368.86526900000001</v>
      </c>
      <c r="B696" s="1">
        <f>DATE(2011,5,4) + TIME(20,45,59)</f>
        <v>40667.865266203706</v>
      </c>
      <c r="C696">
        <v>80</v>
      </c>
      <c r="D696">
        <v>78.496017456000004</v>
      </c>
      <c r="E696">
        <v>50</v>
      </c>
      <c r="F696">
        <v>49.284492493000002</v>
      </c>
      <c r="G696">
        <v>1372.0155029</v>
      </c>
      <c r="H696">
        <v>1362.4655762</v>
      </c>
      <c r="I696">
        <v>1304.6695557</v>
      </c>
      <c r="J696">
        <v>1293.9699707</v>
      </c>
      <c r="K696">
        <v>1375</v>
      </c>
      <c r="L696">
        <v>0</v>
      </c>
      <c r="M696">
        <v>0</v>
      </c>
      <c r="N696">
        <v>1375</v>
      </c>
    </row>
    <row r="697" spans="1:14" x14ac:dyDescent="0.25">
      <c r="A697">
        <v>369.03315199999997</v>
      </c>
      <c r="B697" s="1">
        <f>DATE(2011,5,5) + TIME(0,47,44)</f>
        <v>40668.033148148148</v>
      </c>
      <c r="C697">
        <v>80</v>
      </c>
      <c r="D697">
        <v>78.676666260000005</v>
      </c>
      <c r="E697">
        <v>50</v>
      </c>
      <c r="F697">
        <v>49.261882782000001</v>
      </c>
      <c r="G697">
        <v>1371.9487305</v>
      </c>
      <c r="H697">
        <v>1362.4156493999999</v>
      </c>
      <c r="I697">
        <v>1304.6668701000001</v>
      </c>
      <c r="J697">
        <v>1293.9660644999999</v>
      </c>
      <c r="K697">
        <v>1375</v>
      </c>
      <c r="L697">
        <v>0</v>
      </c>
      <c r="M697">
        <v>0</v>
      </c>
      <c r="N697">
        <v>1375</v>
      </c>
    </row>
    <row r="698" spans="1:14" x14ac:dyDescent="0.25">
      <c r="A698">
        <v>369.204544</v>
      </c>
      <c r="B698" s="1">
        <f>DATE(2011,5,5) + TIME(4,54,32)</f>
        <v>40668.20453703704</v>
      </c>
      <c r="C698">
        <v>80</v>
      </c>
      <c r="D698">
        <v>78.836441039999997</v>
      </c>
      <c r="E698">
        <v>50</v>
      </c>
      <c r="F698">
        <v>49.238967895999998</v>
      </c>
      <c r="G698">
        <v>1371.8829346</v>
      </c>
      <c r="H698">
        <v>1362.3652344</v>
      </c>
      <c r="I698">
        <v>1304.6640625</v>
      </c>
      <c r="J698">
        <v>1293.9621582</v>
      </c>
      <c r="K698">
        <v>1375</v>
      </c>
      <c r="L698">
        <v>0</v>
      </c>
      <c r="M698">
        <v>0</v>
      </c>
      <c r="N698">
        <v>1375</v>
      </c>
    </row>
    <row r="699" spans="1:14" x14ac:dyDescent="0.25">
      <c r="A699">
        <v>369.37924299999997</v>
      </c>
      <c r="B699" s="1">
        <f>DATE(2011,5,5) + TIME(9,6,6)</f>
        <v>40668.379236111112</v>
      </c>
      <c r="C699">
        <v>80</v>
      </c>
      <c r="D699">
        <v>78.977172851999995</v>
      </c>
      <c r="E699">
        <v>50</v>
      </c>
      <c r="F699">
        <v>49.215770720999998</v>
      </c>
      <c r="G699">
        <v>1371.8181152</v>
      </c>
      <c r="H699">
        <v>1362.3145752</v>
      </c>
      <c r="I699">
        <v>1304.6611327999999</v>
      </c>
      <c r="J699">
        <v>1293.9581298999999</v>
      </c>
      <c r="K699">
        <v>1375</v>
      </c>
      <c r="L699">
        <v>0</v>
      </c>
      <c r="M699">
        <v>0</v>
      </c>
      <c r="N699">
        <v>1375</v>
      </c>
    </row>
    <row r="700" spans="1:14" x14ac:dyDescent="0.25">
      <c r="A700">
        <v>369.55764900000003</v>
      </c>
      <c r="B700" s="1">
        <f>DATE(2011,5,5) + TIME(13,23,0)</f>
        <v>40668.557638888888</v>
      </c>
      <c r="C700">
        <v>80</v>
      </c>
      <c r="D700">
        <v>79.101013183999996</v>
      </c>
      <c r="E700">
        <v>50</v>
      </c>
      <c r="F700">
        <v>49.192241668999998</v>
      </c>
      <c r="G700">
        <v>1371.7540283000001</v>
      </c>
      <c r="H700">
        <v>1362.2635498</v>
      </c>
      <c r="I700">
        <v>1304.6582031</v>
      </c>
      <c r="J700">
        <v>1293.9541016000001</v>
      </c>
      <c r="K700">
        <v>1375</v>
      </c>
      <c r="L700">
        <v>0</v>
      </c>
      <c r="M700">
        <v>0</v>
      </c>
      <c r="N700">
        <v>1375</v>
      </c>
    </row>
    <row r="701" spans="1:14" x14ac:dyDescent="0.25">
      <c r="A701">
        <v>369.74016599999999</v>
      </c>
      <c r="B701" s="1">
        <f>DATE(2011,5,5) + TIME(17,45,50)</f>
        <v>40668.740162037036</v>
      </c>
      <c r="C701">
        <v>80</v>
      </c>
      <c r="D701">
        <v>79.209846497000001</v>
      </c>
      <c r="E701">
        <v>50</v>
      </c>
      <c r="F701">
        <v>49.168342590000002</v>
      </c>
      <c r="G701">
        <v>1371.6904297000001</v>
      </c>
      <c r="H701">
        <v>1362.2121582</v>
      </c>
      <c r="I701">
        <v>1304.6551514</v>
      </c>
      <c r="J701">
        <v>1293.9498291</v>
      </c>
      <c r="K701">
        <v>1375</v>
      </c>
      <c r="L701">
        <v>0</v>
      </c>
      <c r="M701">
        <v>0</v>
      </c>
      <c r="N701">
        <v>1375</v>
      </c>
    </row>
    <row r="702" spans="1:14" x14ac:dyDescent="0.25">
      <c r="A702">
        <v>369.92657400000002</v>
      </c>
      <c r="B702" s="1">
        <f>DATE(2011,5,5) + TIME(22,14,15)</f>
        <v>40668.926562499997</v>
      </c>
      <c r="C702">
        <v>80</v>
      </c>
      <c r="D702">
        <v>79.305076599000003</v>
      </c>
      <c r="E702">
        <v>50</v>
      </c>
      <c r="F702">
        <v>49.144092559999997</v>
      </c>
      <c r="G702">
        <v>1371.6273193</v>
      </c>
      <c r="H702">
        <v>1362.1604004000001</v>
      </c>
      <c r="I702">
        <v>1304.6520995999999</v>
      </c>
      <c r="J702">
        <v>1293.9455565999999</v>
      </c>
      <c r="K702">
        <v>1375</v>
      </c>
      <c r="L702">
        <v>0</v>
      </c>
      <c r="M702">
        <v>0</v>
      </c>
      <c r="N702">
        <v>1375</v>
      </c>
    </row>
    <row r="703" spans="1:14" x14ac:dyDescent="0.25">
      <c r="A703">
        <v>370.117187</v>
      </c>
      <c r="B703" s="1">
        <f>DATE(2011,5,6) + TIME(2,48,44)</f>
        <v>40669.117175925923</v>
      </c>
      <c r="C703">
        <v>80</v>
      </c>
      <c r="D703">
        <v>79.388259887999993</v>
      </c>
      <c r="E703">
        <v>50</v>
      </c>
      <c r="F703">
        <v>49.119464874000002</v>
      </c>
      <c r="G703">
        <v>1371.5648193</v>
      </c>
      <c r="H703">
        <v>1362.1083983999999</v>
      </c>
      <c r="I703">
        <v>1304.6489257999999</v>
      </c>
      <c r="J703">
        <v>1293.9411620999999</v>
      </c>
      <c r="K703">
        <v>1375</v>
      </c>
      <c r="L703">
        <v>0</v>
      </c>
      <c r="M703">
        <v>0</v>
      </c>
      <c r="N703">
        <v>1375</v>
      </c>
    </row>
    <row r="704" spans="1:14" x14ac:dyDescent="0.25">
      <c r="A704">
        <v>370.31244800000002</v>
      </c>
      <c r="B704" s="1">
        <f>DATE(2011,5,6) + TIME(7,29,55)</f>
        <v>40669.312442129631</v>
      </c>
      <c r="C704">
        <v>80</v>
      </c>
      <c r="D704">
        <v>79.460800171000002</v>
      </c>
      <c r="E704">
        <v>50</v>
      </c>
      <c r="F704">
        <v>49.094406128000003</v>
      </c>
      <c r="G704">
        <v>1371.5024414</v>
      </c>
      <c r="H704">
        <v>1362.0561522999999</v>
      </c>
      <c r="I704">
        <v>1304.6456298999999</v>
      </c>
      <c r="J704">
        <v>1293.9367675999999</v>
      </c>
      <c r="K704">
        <v>1375</v>
      </c>
      <c r="L704">
        <v>0</v>
      </c>
      <c r="M704">
        <v>0</v>
      </c>
      <c r="N704">
        <v>1375</v>
      </c>
    </row>
    <row r="705" spans="1:14" x14ac:dyDescent="0.25">
      <c r="A705">
        <v>370.51270699999998</v>
      </c>
      <c r="B705" s="1">
        <f>DATE(2011,5,6) + TIME(12,18,17)</f>
        <v>40669.512696759259</v>
      </c>
      <c r="C705">
        <v>80</v>
      </c>
      <c r="D705">
        <v>79.523933411000002</v>
      </c>
      <c r="E705">
        <v>50</v>
      </c>
      <c r="F705">
        <v>49.068885803000001</v>
      </c>
      <c r="G705">
        <v>1371.4404297000001</v>
      </c>
      <c r="H705">
        <v>1362.0036620999999</v>
      </c>
      <c r="I705">
        <v>1304.6423339999999</v>
      </c>
      <c r="J705">
        <v>1293.9321289</v>
      </c>
      <c r="K705">
        <v>1375</v>
      </c>
      <c r="L705">
        <v>0</v>
      </c>
      <c r="M705">
        <v>0</v>
      </c>
      <c r="N705">
        <v>1375</v>
      </c>
    </row>
    <row r="706" spans="1:14" x14ac:dyDescent="0.25">
      <c r="A706">
        <v>370.71841899999998</v>
      </c>
      <c r="B706" s="1">
        <f>DATE(2011,5,6) + TIME(17,14,31)</f>
        <v>40669.718414351853</v>
      </c>
      <c r="C706">
        <v>80</v>
      </c>
      <c r="D706">
        <v>79.578758239999999</v>
      </c>
      <c r="E706">
        <v>50</v>
      </c>
      <c r="F706">
        <v>49.042850494</v>
      </c>
      <c r="G706">
        <v>1371.378418</v>
      </c>
      <c r="H706">
        <v>1361.9508057</v>
      </c>
      <c r="I706">
        <v>1304.6387939000001</v>
      </c>
      <c r="J706">
        <v>1293.9274902</v>
      </c>
      <c r="K706">
        <v>1375</v>
      </c>
      <c r="L706">
        <v>0</v>
      </c>
      <c r="M706">
        <v>0</v>
      </c>
      <c r="N706">
        <v>1375</v>
      </c>
    </row>
    <row r="707" spans="1:14" x14ac:dyDescent="0.25">
      <c r="A707">
        <v>370.93007499999999</v>
      </c>
      <c r="B707" s="1">
        <f>DATE(2011,5,6) + TIME(22,19,18)</f>
        <v>40669.930069444446</v>
      </c>
      <c r="C707">
        <v>80</v>
      </c>
      <c r="D707">
        <v>79.626266478999995</v>
      </c>
      <c r="E707">
        <v>50</v>
      </c>
      <c r="F707">
        <v>49.01625061</v>
      </c>
      <c r="G707">
        <v>1371.3165283000001</v>
      </c>
      <c r="H707">
        <v>1361.8975829999999</v>
      </c>
      <c r="I707">
        <v>1304.6352539</v>
      </c>
      <c r="J707">
        <v>1293.9226074000001</v>
      </c>
      <c r="K707">
        <v>1375</v>
      </c>
      <c r="L707">
        <v>0</v>
      </c>
      <c r="M707">
        <v>0</v>
      </c>
      <c r="N707">
        <v>1375</v>
      </c>
    </row>
    <row r="708" spans="1:14" x14ac:dyDescent="0.25">
      <c r="A708">
        <v>371.148213</v>
      </c>
      <c r="B708" s="1">
        <f>DATE(2011,5,7) + TIME(3,33,25)</f>
        <v>40670.148206018515</v>
      </c>
      <c r="C708">
        <v>80</v>
      </c>
      <c r="D708">
        <v>79.667335510000001</v>
      </c>
      <c r="E708">
        <v>50</v>
      </c>
      <c r="F708">
        <v>48.989036560000002</v>
      </c>
      <c r="G708">
        <v>1371.2543945</v>
      </c>
      <c r="H708">
        <v>1361.8439940999999</v>
      </c>
      <c r="I708">
        <v>1304.6315918</v>
      </c>
      <c r="J708">
        <v>1293.9177245999999</v>
      </c>
      <c r="K708">
        <v>1375</v>
      </c>
      <c r="L708">
        <v>0</v>
      </c>
      <c r="M708">
        <v>0</v>
      </c>
      <c r="N708">
        <v>1375</v>
      </c>
    </row>
    <row r="709" spans="1:14" x14ac:dyDescent="0.25">
      <c r="A709">
        <v>371.37342999999998</v>
      </c>
      <c r="B709" s="1">
        <f>DATE(2011,5,7) + TIME(8,57,44)</f>
        <v>40670.373425925929</v>
      </c>
      <c r="C709">
        <v>80</v>
      </c>
      <c r="D709">
        <v>79.702743530000006</v>
      </c>
      <c r="E709">
        <v>50</v>
      </c>
      <c r="F709">
        <v>48.961147308000001</v>
      </c>
      <c r="G709">
        <v>1371.1921387</v>
      </c>
      <c r="H709">
        <v>1361.7899170000001</v>
      </c>
      <c r="I709">
        <v>1304.6278076000001</v>
      </c>
      <c r="J709">
        <v>1293.9125977000001</v>
      </c>
      <c r="K709">
        <v>1375</v>
      </c>
      <c r="L709">
        <v>0</v>
      </c>
      <c r="M709">
        <v>0</v>
      </c>
      <c r="N709">
        <v>1375</v>
      </c>
    </row>
    <row r="710" spans="1:14" x14ac:dyDescent="0.25">
      <c r="A710">
        <v>371.60638299999999</v>
      </c>
      <c r="B710" s="1">
        <f>DATE(2011,5,7) + TIME(14,33,11)</f>
        <v>40670.606377314813</v>
      </c>
      <c r="C710">
        <v>80</v>
      </c>
      <c r="D710">
        <v>79.733184813999998</v>
      </c>
      <c r="E710">
        <v>50</v>
      </c>
      <c r="F710">
        <v>48.932514191000003</v>
      </c>
      <c r="G710">
        <v>1371.1296387</v>
      </c>
      <c r="H710">
        <v>1361.7353516000001</v>
      </c>
      <c r="I710">
        <v>1304.6239014</v>
      </c>
      <c r="J710">
        <v>1293.9072266000001</v>
      </c>
      <c r="K710">
        <v>1375</v>
      </c>
      <c r="L710">
        <v>0</v>
      </c>
      <c r="M710">
        <v>0</v>
      </c>
      <c r="N710">
        <v>1375</v>
      </c>
    </row>
    <row r="711" spans="1:14" x14ac:dyDescent="0.25">
      <c r="A711">
        <v>371.84780799999999</v>
      </c>
      <c r="B711" s="1">
        <f>DATE(2011,5,7) + TIME(20,20,50)</f>
        <v>40670.847800925927</v>
      </c>
      <c r="C711">
        <v>80</v>
      </c>
      <c r="D711">
        <v>79.759277343999997</v>
      </c>
      <c r="E711">
        <v>50</v>
      </c>
      <c r="F711">
        <v>48.903072356999999</v>
      </c>
      <c r="G711">
        <v>1371.0665283000001</v>
      </c>
      <c r="H711">
        <v>1361.6802978999999</v>
      </c>
      <c r="I711">
        <v>1304.6198730000001</v>
      </c>
      <c r="J711">
        <v>1293.9018555</v>
      </c>
      <c r="K711">
        <v>1375</v>
      </c>
      <c r="L711">
        <v>0</v>
      </c>
      <c r="M711">
        <v>0</v>
      </c>
      <c r="N711">
        <v>1375</v>
      </c>
    </row>
    <row r="712" spans="1:14" x14ac:dyDescent="0.25">
      <c r="A712">
        <v>372.09808099999998</v>
      </c>
      <c r="B712" s="1">
        <f>DATE(2011,5,8) + TIME(2,21,14)</f>
        <v>40671.098078703704</v>
      </c>
      <c r="C712">
        <v>80</v>
      </c>
      <c r="D712">
        <v>79.781532287999994</v>
      </c>
      <c r="E712">
        <v>50</v>
      </c>
      <c r="F712">
        <v>48.872787475999999</v>
      </c>
      <c r="G712">
        <v>1371.0029297000001</v>
      </c>
      <c r="H712">
        <v>1361.6246338000001</v>
      </c>
      <c r="I712">
        <v>1304.6157227000001</v>
      </c>
      <c r="J712">
        <v>1293.8961182</v>
      </c>
      <c r="K712">
        <v>1375</v>
      </c>
      <c r="L712">
        <v>0</v>
      </c>
      <c r="M712">
        <v>0</v>
      </c>
      <c r="N712">
        <v>1375</v>
      </c>
    </row>
    <row r="713" spans="1:14" x14ac:dyDescent="0.25">
      <c r="A713">
        <v>372.35722500000003</v>
      </c>
      <c r="B713" s="1">
        <f>DATE(2011,5,8) + TIME(8,34,24)</f>
        <v>40671.357222222221</v>
      </c>
      <c r="C713">
        <v>80</v>
      </c>
      <c r="D713">
        <v>79.800415039000001</v>
      </c>
      <c r="E713">
        <v>50</v>
      </c>
      <c r="F713">
        <v>48.841659546000002</v>
      </c>
      <c r="G713">
        <v>1370.9388428</v>
      </c>
      <c r="H713">
        <v>1361.5683594</v>
      </c>
      <c r="I713">
        <v>1304.6113281</v>
      </c>
      <c r="J713">
        <v>1293.8902588000001</v>
      </c>
      <c r="K713">
        <v>1375</v>
      </c>
      <c r="L713">
        <v>0</v>
      </c>
      <c r="M713">
        <v>0</v>
      </c>
      <c r="N713">
        <v>1375</v>
      </c>
    </row>
    <row r="714" spans="1:14" x14ac:dyDescent="0.25">
      <c r="A714">
        <v>372.62610599999999</v>
      </c>
      <c r="B714" s="1">
        <f>DATE(2011,5,8) + TIME(15,1,35)</f>
        <v>40671.626099537039</v>
      </c>
      <c r="C714">
        <v>80</v>
      </c>
      <c r="D714">
        <v>79.816383361999996</v>
      </c>
      <c r="E714">
        <v>50</v>
      </c>
      <c r="F714">
        <v>48.809612274000003</v>
      </c>
      <c r="G714">
        <v>1370.8742675999999</v>
      </c>
      <c r="H714">
        <v>1361.5114745999999</v>
      </c>
      <c r="I714">
        <v>1304.6066894999999</v>
      </c>
      <c r="J714">
        <v>1293.8841553</v>
      </c>
      <c r="K714">
        <v>1375</v>
      </c>
      <c r="L714">
        <v>0</v>
      </c>
      <c r="M714">
        <v>0</v>
      </c>
      <c r="N714">
        <v>1375</v>
      </c>
    </row>
    <row r="715" spans="1:14" x14ac:dyDescent="0.25">
      <c r="A715">
        <v>372.90565900000001</v>
      </c>
      <c r="B715" s="1">
        <f>DATE(2011,5,8) + TIME(21,44,8)</f>
        <v>40671.905648148146</v>
      </c>
      <c r="C715">
        <v>80</v>
      </c>
      <c r="D715">
        <v>79.829849242999998</v>
      </c>
      <c r="E715">
        <v>50</v>
      </c>
      <c r="F715">
        <v>48.776561737000002</v>
      </c>
      <c r="G715">
        <v>1370.809082</v>
      </c>
      <c r="H715">
        <v>1361.4541016000001</v>
      </c>
      <c r="I715">
        <v>1304.6020507999999</v>
      </c>
      <c r="J715">
        <v>1293.8779297000001</v>
      </c>
      <c r="K715">
        <v>1375</v>
      </c>
      <c r="L715">
        <v>0</v>
      </c>
      <c r="M715">
        <v>0</v>
      </c>
      <c r="N715">
        <v>1375</v>
      </c>
    </row>
    <row r="716" spans="1:14" x14ac:dyDescent="0.25">
      <c r="A716">
        <v>373.19694500000003</v>
      </c>
      <c r="B716" s="1">
        <f>DATE(2011,5,9) + TIME(4,43,36)</f>
        <v>40672.196944444448</v>
      </c>
      <c r="C716">
        <v>80</v>
      </c>
      <c r="D716">
        <v>79.841171265</v>
      </c>
      <c r="E716">
        <v>50</v>
      </c>
      <c r="F716">
        <v>48.742412567000002</v>
      </c>
      <c r="G716">
        <v>1370.7431641000001</v>
      </c>
      <c r="H716">
        <v>1361.3959961</v>
      </c>
      <c r="I716">
        <v>1304.5970459</v>
      </c>
      <c r="J716">
        <v>1293.8713379000001</v>
      </c>
      <c r="K716">
        <v>1375</v>
      </c>
      <c r="L716">
        <v>0</v>
      </c>
      <c r="M716">
        <v>0</v>
      </c>
      <c r="N716">
        <v>1375</v>
      </c>
    </row>
    <row r="717" spans="1:14" x14ac:dyDescent="0.25">
      <c r="A717">
        <v>373.50006300000001</v>
      </c>
      <c r="B717" s="1">
        <f>DATE(2011,5,9) + TIME(12,0,5)</f>
        <v>40672.500057870369</v>
      </c>
      <c r="C717">
        <v>80</v>
      </c>
      <c r="D717">
        <v>79.850631714000002</v>
      </c>
      <c r="E717">
        <v>50</v>
      </c>
      <c r="F717">
        <v>48.707160950000002</v>
      </c>
      <c r="G717">
        <v>1370.6763916</v>
      </c>
      <c r="H717">
        <v>1361.3372803</v>
      </c>
      <c r="I717">
        <v>1304.5919189000001</v>
      </c>
      <c r="J717">
        <v>1293.8645019999999</v>
      </c>
      <c r="K717">
        <v>1375</v>
      </c>
      <c r="L717">
        <v>0</v>
      </c>
      <c r="M717">
        <v>0</v>
      </c>
      <c r="N717">
        <v>1375</v>
      </c>
    </row>
    <row r="718" spans="1:14" x14ac:dyDescent="0.25">
      <c r="A718">
        <v>373.81376499999999</v>
      </c>
      <c r="B718" s="1">
        <f>DATE(2011,5,9) + TIME(19,31,49)</f>
        <v>40672.813761574071</v>
      </c>
      <c r="C718">
        <v>80</v>
      </c>
      <c r="D718">
        <v>79.858467102000006</v>
      </c>
      <c r="E718">
        <v>50</v>
      </c>
      <c r="F718">
        <v>48.670940399000003</v>
      </c>
      <c r="G718">
        <v>1370.6088867000001</v>
      </c>
      <c r="H718">
        <v>1361.2777100000001</v>
      </c>
      <c r="I718">
        <v>1304.5865478999999</v>
      </c>
      <c r="J718">
        <v>1293.8574219</v>
      </c>
      <c r="K718">
        <v>1375</v>
      </c>
      <c r="L718">
        <v>0</v>
      </c>
      <c r="M718">
        <v>0</v>
      </c>
      <c r="N718">
        <v>1375</v>
      </c>
    </row>
    <row r="719" spans="1:14" x14ac:dyDescent="0.25">
      <c r="A719">
        <v>374.130989</v>
      </c>
      <c r="B719" s="1">
        <f>DATE(2011,5,10) + TIME(3,8,37)</f>
        <v>40673.130983796298</v>
      </c>
      <c r="C719">
        <v>80</v>
      </c>
      <c r="D719">
        <v>79.864822387999993</v>
      </c>
      <c r="E719">
        <v>50</v>
      </c>
      <c r="F719">
        <v>48.634433745999999</v>
      </c>
      <c r="G719">
        <v>1370.5411377</v>
      </c>
      <c r="H719">
        <v>1361.2180175999999</v>
      </c>
      <c r="I719">
        <v>1304.5808105000001</v>
      </c>
      <c r="J719">
        <v>1293.8500977000001</v>
      </c>
      <c r="K719">
        <v>1375</v>
      </c>
      <c r="L719">
        <v>0</v>
      </c>
      <c r="M719">
        <v>0</v>
      </c>
      <c r="N719">
        <v>1375</v>
      </c>
    </row>
    <row r="720" spans="1:14" x14ac:dyDescent="0.25">
      <c r="A720">
        <v>374.45205499999997</v>
      </c>
      <c r="B720" s="1">
        <f>DATE(2011,5,10) + TIME(10,50,57)</f>
        <v>40673.452048611114</v>
      </c>
      <c r="C720">
        <v>80</v>
      </c>
      <c r="D720">
        <v>79.869987488000007</v>
      </c>
      <c r="E720">
        <v>50</v>
      </c>
      <c r="F720">
        <v>48.597633362000003</v>
      </c>
      <c r="G720">
        <v>1370.4743652</v>
      </c>
      <c r="H720">
        <v>1361.1593018000001</v>
      </c>
      <c r="I720">
        <v>1304.5751952999999</v>
      </c>
      <c r="J720">
        <v>1293.8426514</v>
      </c>
      <c r="K720">
        <v>1375</v>
      </c>
      <c r="L720">
        <v>0</v>
      </c>
      <c r="M720">
        <v>0</v>
      </c>
      <c r="N720">
        <v>1375</v>
      </c>
    </row>
    <row r="721" spans="1:14" x14ac:dyDescent="0.25">
      <c r="A721">
        <v>374.77770900000002</v>
      </c>
      <c r="B721" s="1">
        <f>DATE(2011,5,10) + TIME(18,39,54)</f>
        <v>40673.777708333335</v>
      </c>
      <c r="C721">
        <v>80</v>
      </c>
      <c r="D721">
        <v>79.874198914000004</v>
      </c>
      <c r="E721">
        <v>50</v>
      </c>
      <c r="F721">
        <v>48.560489654999998</v>
      </c>
      <c r="G721">
        <v>1370.4088135</v>
      </c>
      <c r="H721">
        <v>1361.1015625</v>
      </c>
      <c r="I721">
        <v>1304.5693358999999</v>
      </c>
      <c r="J721">
        <v>1293.8350829999999</v>
      </c>
      <c r="K721">
        <v>1375</v>
      </c>
      <c r="L721">
        <v>0</v>
      </c>
      <c r="M721">
        <v>0</v>
      </c>
      <c r="N721">
        <v>1375</v>
      </c>
    </row>
    <row r="722" spans="1:14" x14ac:dyDescent="0.25">
      <c r="A722">
        <v>375.10846700000002</v>
      </c>
      <c r="B722" s="1">
        <f>DATE(2011,5,11) + TIME(2,36,11)</f>
        <v>40674.108460648145</v>
      </c>
      <c r="C722">
        <v>80</v>
      </c>
      <c r="D722">
        <v>79.877655028999996</v>
      </c>
      <c r="E722">
        <v>50</v>
      </c>
      <c r="F722">
        <v>48.522972107000001</v>
      </c>
      <c r="G722">
        <v>1370.3439940999999</v>
      </c>
      <c r="H722">
        <v>1361.0446777</v>
      </c>
      <c r="I722">
        <v>1304.5634766000001</v>
      </c>
      <c r="J722">
        <v>1293.8275146000001</v>
      </c>
      <c r="K722">
        <v>1375</v>
      </c>
      <c r="L722">
        <v>0</v>
      </c>
      <c r="M722">
        <v>0</v>
      </c>
      <c r="N722">
        <v>1375</v>
      </c>
    </row>
    <row r="723" spans="1:14" x14ac:dyDescent="0.25">
      <c r="A723">
        <v>375.44383399999998</v>
      </c>
      <c r="B723" s="1">
        <f>DATE(2011,5,11) + TIME(10,39,7)</f>
        <v>40674.443831018521</v>
      </c>
      <c r="C723">
        <v>80</v>
      </c>
      <c r="D723">
        <v>79.880493164000001</v>
      </c>
      <c r="E723">
        <v>50</v>
      </c>
      <c r="F723">
        <v>48.485145568999997</v>
      </c>
      <c r="G723">
        <v>1370.2799072</v>
      </c>
      <c r="H723">
        <v>1360.9885254000001</v>
      </c>
      <c r="I723">
        <v>1304.5574951000001</v>
      </c>
      <c r="J723">
        <v>1293.8197021000001</v>
      </c>
      <c r="K723">
        <v>1375</v>
      </c>
      <c r="L723">
        <v>0</v>
      </c>
      <c r="M723">
        <v>0</v>
      </c>
      <c r="N723">
        <v>1375</v>
      </c>
    </row>
    <row r="724" spans="1:14" x14ac:dyDescent="0.25">
      <c r="A724">
        <v>375.78454599999998</v>
      </c>
      <c r="B724" s="1">
        <f>DATE(2011,5,11) + TIME(18,49,44)</f>
        <v>40674.784537037034</v>
      </c>
      <c r="C724">
        <v>80</v>
      </c>
      <c r="D724">
        <v>79.882827758999994</v>
      </c>
      <c r="E724">
        <v>50</v>
      </c>
      <c r="F724">
        <v>48.44695282</v>
      </c>
      <c r="G724">
        <v>1370.2166748</v>
      </c>
      <c r="H724">
        <v>1360.9331055</v>
      </c>
      <c r="I724">
        <v>1304.5513916</v>
      </c>
      <c r="J724">
        <v>1293.8117675999999</v>
      </c>
      <c r="K724">
        <v>1375</v>
      </c>
      <c r="L724">
        <v>0</v>
      </c>
      <c r="M724">
        <v>0</v>
      </c>
      <c r="N724">
        <v>1375</v>
      </c>
    </row>
    <row r="725" spans="1:14" x14ac:dyDescent="0.25">
      <c r="A725">
        <v>376.13105100000001</v>
      </c>
      <c r="B725" s="1">
        <f>DATE(2011,5,12) + TIME(3,8,42)</f>
        <v>40675.131041666667</v>
      </c>
      <c r="C725">
        <v>80</v>
      </c>
      <c r="D725">
        <v>79.884757996000005</v>
      </c>
      <c r="E725">
        <v>50</v>
      </c>
      <c r="F725">
        <v>48.408367157000001</v>
      </c>
      <c r="G725">
        <v>1370.1541748</v>
      </c>
      <c r="H725">
        <v>1360.8782959</v>
      </c>
      <c r="I725">
        <v>1304.5452881000001</v>
      </c>
      <c r="J725">
        <v>1293.8038329999999</v>
      </c>
      <c r="K725">
        <v>1375</v>
      </c>
      <c r="L725">
        <v>0</v>
      </c>
      <c r="M725">
        <v>0</v>
      </c>
      <c r="N725">
        <v>1375</v>
      </c>
    </row>
    <row r="726" spans="1:14" x14ac:dyDescent="0.25">
      <c r="A726">
        <v>376.48280599999998</v>
      </c>
      <c r="B726" s="1">
        <f>DATE(2011,5,12) + TIME(11,35,14)</f>
        <v>40675.482800925929</v>
      </c>
      <c r="C726">
        <v>80</v>
      </c>
      <c r="D726">
        <v>79.886367797999995</v>
      </c>
      <c r="E726">
        <v>50</v>
      </c>
      <c r="F726">
        <v>48.369445800999998</v>
      </c>
      <c r="G726">
        <v>1370.0921631000001</v>
      </c>
      <c r="H726">
        <v>1360.8240966999999</v>
      </c>
      <c r="I726">
        <v>1304.5389404</v>
      </c>
      <c r="J726">
        <v>1293.7956543</v>
      </c>
      <c r="K726">
        <v>1375</v>
      </c>
      <c r="L726">
        <v>0</v>
      </c>
      <c r="M726">
        <v>0</v>
      </c>
      <c r="N726">
        <v>1375</v>
      </c>
    </row>
    <row r="727" spans="1:14" x14ac:dyDescent="0.25">
      <c r="A727">
        <v>376.840463</v>
      </c>
      <c r="B727" s="1">
        <f>DATE(2011,5,12) + TIME(20,10,16)</f>
        <v>40675.840462962966</v>
      </c>
      <c r="C727">
        <v>80</v>
      </c>
      <c r="D727">
        <v>79.887702942000004</v>
      </c>
      <c r="E727">
        <v>50</v>
      </c>
      <c r="F727">
        <v>48.330146790000001</v>
      </c>
      <c r="G727">
        <v>1370.0307617000001</v>
      </c>
      <c r="H727">
        <v>1360.7705077999999</v>
      </c>
      <c r="I727">
        <v>1304.5325928</v>
      </c>
      <c r="J727">
        <v>1293.7873535000001</v>
      </c>
      <c r="K727">
        <v>1375</v>
      </c>
      <c r="L727">
        <v>0</v>
      </c>
      <c r="M727">
        <v>0</v>
      </c>
      <c r="N727">
        <v>1375</v>
      </c>
    </row>
    <row r="728" spans="1:14" x14ac:dyDescent="0.25">
      <c r="A728">
        <v>377.20478900000001</v>
      </c>
      <c r="B728" s="1">
        <f>DATE(2011,5,13) + TIME(4,54,53)</f>
        <v>40676.204780092594</v>
      </c>
      <c r="C728">
        <v>80</v>
      </c>
      <c r="D728">
        <v>79.888824463000006</v>
      </c>
      <c r="E728">
        <v>50</v>
      </c>
      <c r="F728">
        <v>48.290409087999997</v>
      </c>
      <c r="G728">
        <v>1369.9699707</v>
      </c>
      <c r="H728">
        <v>1360.7175293</v>
      </c>
      <c r="I728">
        <v>1304.5261230000001</v>
      </c>
      <c r="J728">
        <v>1293.7789307</v>
      </c>
      <c r="K728">
        <v>1375</v>
      </c>
      <c r="L728">
        <v>0</v>
      </c>
      <c r="M728">
        <v>0</v>
      </c>
      <c r="N728">
        <v>1375</v>
      </c>
    </row>
    <row r="729" spans="1:14" x14ac:dyDescent="0.25">
      <c r="A729">
        <v>377.57473599999997</v>
      </c>
      <c r="B729" s="1">
        <f>DATE(2011,5,13) + TIME(13,47,37)</f>
        <v>40676.574733796297</v>
      </c>
      <c r="C729">
        <v>80</v>
      </c>
      <c r="D729">
        <v>79.889770507999998</v>
      </c>
      <c r="E729">
        <v>50</v>
      </c>
      <c r="F729">
        <v>48.250331879000001</v>
      </c>
      <c r="G729">
        <v>1369.9094238</v>
      </c>
      <c r="H729">
        <v>1360.6649170000001</v>
      </c>
      <c r="I729">
        <v>1304.5194091999999</v>
      </c>
      <c r="J729">
        <v>1293.7702637</v>
      </c>
      <c r="K729">
        <v>1375</v>
      </c>
      <c r="L729">
        <v>0</v>
      </c>
      <c r="M729">
        <v>0</v>
      </c>
      <c r="N729">
        <v>1375</v>
      </c>
    </row>
    <row r="730" spans="1:14" x14ac:dyDescent="0.25">
      <c r="A730">
        <v>377.95094999999998</v>
      </c>
      <c r="B730" s="1">
        <f>DATE(2011,5,13) + TIME(22,49,22)</f>
        <v>40676.950949074075</v>
      </c>
      <c r="C730">
        <v>80</v>
      </c>
      <c r="D730">
        <v>79.890563964999998</v>
      </c>
      <c r="E730">
        <v>50</v>
      </c>
      <c r="F730">
        <v>48.209869384999998</v>
      </c>
      <c r="G730">
        <v>1369.8496094</v>
      </c>
      <c r="H730">
        <v>1360.6129149999999</v>
      </c>
      <c r="I730">
        <v>1304.5126952999999</v>
      </c>
      <c r="J730">
        <v>1293.7615966999999</v>
      </c>
      <c r="K730">
        <v>1375</v>
      </c>
      <c r="L730">
        <v>0</v>
      </c>
      <c r="M730">
        <v>0</v>
      </c>
      <c r="N730">
        <v>1375</v>
      </c>
    </row>
    <row r="731" spans="1:14" x14ac:dyDescent="0.25">
      <c r="A731">
        <v>378.33407299999999</v>
      </c>
      <c r="B731" s="1">
        <f>DATE(2011,5,14) + TIME(8,1,3)</f>
        <v>40677.334062499998</v>
      </c>
      <c r="C731">
        <v>80</v>
      </c>
      <c r="D731">
        <v>79.891235351999995</v>
      </c>
      <c r="E731">
        <v>50</v>
      </c>
      <c r="F731">
        <v>48.168979645</v>
      </c>
      <c r="G731">
        <v>1369.7901611</v>
      </c>
      <c r="H731">
        <v>1360.5614014</v>
      </c>
      <c r="I731">
        <v>1304.5057373</v>
      </c>
      <c r="J731">
        <v>1293.7526855000001</v>
      </c>
      <c r="K731">
        <v>1375</v>
      </c>
      <c r="L731">
        <v>0</v>
      </c>
      <c r="M731">
        <v>0</v>
      </c>
      <c r="N731">
        <v>1375</v>
      </c>
    </row>
    <row r="732" spans="1:14" x14ac:dyDescent="0.25">
      <c r="A732">
        <v>378.72490699999997</v>
      </c>
      <c r="B732" s="1">
        <f>DATE(2011,5,14) + TIME(17,23,51)</f>
        <v>40677.724895833337</v>
      </c>
      <c r="C732">
        <v>80</v>
      </c>
      <c r="D732">
        <v>79.891815186000002</v>
      </c>
      <c r="E732">
        <v>50</v>
      </c>
      <c r="F732">
        <v>48.127597809000001</v>
      </c>
      <c r="G732">
        <v>1369.7310791</v>
      </c>
      <c r="H732">
        <v>1360.5101318</v>
      </c>
      <c r="I732">
        <v>1304.4986572</v>
      </c>
      <c r="J732">
        <v>1293.7436522999999</v>
      </c>
      <c r="K732">
        <v>1375</v>
      </c>
      <c r="L732">
        <v>0</v>
      </c>
      <c r="M732">
        <v>0</v>
      </c>
      <c r="N732">
        <v>1375</v>
      </c>
    </row>
    <row r="733" spans="1:14" x14ac:dyDescent="0.25">
      <c r="A733">
        <v>379.12430799999998</v>
      </c>
      <c r="B733" s="1">
        <f>DATE(2011,5,15) + TIME(2,59,0)</f>
        <v>40678.124305555553</v>
      </c>
      <c r="C733">
        <v>80</v>
      </c>
      <c r="D733">
        <v>79.892311096</v>
      </c>
      <c r="E733">
        <v>50</v>
      </c>
      <c r="F733">
        <v>48.085662841999998</v>
      </c>
      <c r="G733">
        <v>1369.6723632999999</v>
      </c>
      <c r="H733">
        <v>1360.4592285000001</v>
      </c>
      <c r="I733">
        <v>1304.4914550999999</v>
      </c>
      <c r="J733">
        <v>1293.734375</v>
      </c>
      <c r="K733">
        <v>1375</v>
      </c>
      <c r="L733">
        <v>0</v>
      </c>
      <c r="M733">
        <v>0</v>
      </c>
      <c r="N733">
        <v>1375</v>
      </c>
    </row>
    <row r="734" spans="1:14" x14ac:dyDescent="0.25">
      <c r="A734">
        <v>379.53320000000002</v>
      </c>
      <c r="B734" s="1">
        <f>DATE(2011,5,15) + TIME(12,47,48)</f>
        <v>40678.533194444448</v>
      </c>
      <c r="C734">
        <v>80</v>
      </c>
      <c r="D734">
        <v>79.892730713000006</v>
      </c>
      <c r="E734">
        <v>50</v>
      </c>
      <c r="F734">
        <v>48.043098450000002</v>
      </c>
      <c r="G734">
        <v>1369.6136475000001</v>
      </c>
      <c r="H734">
        <v>1360.4085693</v>
      </c>
      <c r="I734">
        <v>1304.4841309000001</v>
      </c>
      <c r="J734">
        <v>1293.7248535000001</v>
      </c>
      <c r="K734">
        <v>1375</v>
      </c>
      <c r="L734">
        <v>0</v>
      </c>
      <c r="M734">
        <v>0</v>
      </c>
      <c r="N734">
        <v>1375</v>
      </c>
    </row>
    <row r="735" spans="1:14" x14ac:dyDescent="0.25">
      <c r="A735">
        <v>379.95259099999998</v>
      </c>
      <c r="B735" s="1">
        <f>DATE(2011,5,15) + TIME(22,51,43)</f>
        <v>40678.952581018515</v>
      </c>
      <c r="C735">
        <v>80</v>
      </c>
      <c r="D735">
        <v>79.893096924000005</v>
      </c>
      <c r="E735">
        <v>50</v>
      </c>
      <c r="F735">
        <v>47.999835967999999</v>
      </c>
      <c r="G735">
        <v>1369.5549315999999</v>
      </c>
      <c r="H735">
        <v>1360.3579102000001</v>
      </c>
      <c r="I735">
        <v>1304.4765625</v>
      </c>
      <c r="J735">
        <v>1293.7152100000001</v>
      </c>
      <c r="K735">
        <v>1375</v>
      </c>
      <c r="L735">
        <v>0</v>
      </c>
      <c r="M735">
        <v>0</v>
      </c>
      <c r="N735">
        <v>1375</v>
      </c>
    </row>
    <row r="736" spans="1:14" x14ac:dyDescent="0.25">
      <c r="A736">
        <v>380.38358499999998</v>
      </c>
      <c r="B736" s="1">
        <f>DATE(2011,5,16) + TIME(9,12,21)</f>
        <v>40679.383576388886</v>
      </c>
      <c r="C736">
        <v>80</v>
      </c>
      <c r="D736">
        <v>79.893409728999998</v>
      </c>
      <c r="E736">
        <v>50</v>
      </c>
      <c r="F736">
        <v>47.955783844000003</v>
      </c>
      <c r="G736">
        <v>1369.4962158000001</v>
      </c>
      <c r="H736">
        <v>1360.307251</v>
      </c>
      <c r="I736">
        <v>1304.46875</v>
      </c>
      <c r="J736">
        <v>1293.7052002</v>
      </c>
      <c r="K736">
        <v>1375</v>
      </c>
      <c r="L736">
        <v>0</v>
      </c>
      <c r="M736">
        <v>0</v>
      </c>
      <c r="N736">
        <v>1375</v>
      </c>
    </row>
    <row r="737" spans="1:14" x14ac:dyDescent="0.25">
      <c r="A737">
        <v>380.82740100000001</v>
      </c>
      <c r="B737" s="1">
        <f>DATE(2011,5,16) + TIME(19,51,27)</f>
        <v>40679.82739583333</v>
      </c>
      <c r="C737">
        <v>80</v>
      </c>
      <c r="D737">
        <v>79.893684386999993</v>
      </c>
      <c r="E737">
        <v>50</v>
      </c>
      <c r="F737">
        <v>47.910858154000003</v>
      </c>
      <c r="G737">
        <v>1369.4371338000001</v>
      </c>
      <c r="H737">
        <v>1360.2564697</v>
      </c>
      <c r="I737">
        <v>1304.4608154</v>
      </c>
      <c r="J737">
        <v>1293.6949463000001</v>
      </c>
      <c r="K737">
        <v>1375</v>
      </c>
      <c r="L737">
        <v>0</v>
      </c>
      <c r="M737">
        <v>0</v>
      </c>
      <c r="N737">
        <v>1375</v>
      </c>
    </row>
    <row r="738" spans="1:14" x14ac:dyDescent="0.25">
      <c r="A738">
        <v>381.28539699999999</v>
      </c>
      <c r="B738" s="1">
        <f>DATE(2011,5,17) + TIME(6,50,58)</f>
        <v>40680.285393518519</v>
      </c>
      <c r="C738">
        <v>80</v>
      </c>
      <c r="D738">
        <v>79.893920898000005</v>
      </c>
      <c r="E738">
        <v>50</v>
      </c>
      <c r="F738">
        <v>47.864948273000003</v>
      </c>
      <c r="G738">
        <v>1369.3778076000001</v>
      </c>
      <c r="H738">
        <v>1360.2054443</v>
      </c>
      <c r="I738">
        <v>1304.4525146000001</v>
      </c>
      <c r="J738">
        <v>1293.6843262</v>
      </c>
      <c r="K738">
        <v>1375</v>
      </c>
      <c r="L738">
        <v>0</v>
      </c>
      <c r="M738">
        <v>0</v>
      </c>
      <c r="N738">
        <v>1375</v>
      </c>
    </row>
    <row r="739" spans="1:14" x14ac:dyDescent="0.25">
      <c r="A739">
        <v>381.75861600000002</v>
      </c>
      <c r="B739" s="1">
        <f>DATE(2011,5,17) + TIME(18,12,24)</f>
        <v>40680.758611111109</v>
      </c>
      <c r="C739">
        <v>80</v>
      </c>
      <c r="D739">
        <v>79.894126892000003</v>
      </c>
      <c r="E739">
        <v>50</v>
      </c>
      <c r="F739">
        <v>47.817989349000001</v>
      </c>
      <c r="G739">
        <v>1369.3179932</v>
      </c>
      <c r="H739">
        <v>1360.1541748</v>
      </c>
      <c r="I739">
        <v>1304.4439697</v>
      </c>
      <c r="J739">
        <v>1293.6734618999999</v>
      </c>
      <c r="K739">
        <v>1375</v>
      </c>
      <c r="L739">
        <v>0</v>
      </c>
      <c r="M739">
        <v>0</v>
      </c>
      <c r="N739">
        <v>1375</v>
      </c>
    </row>
    <row r="740" spans="1:14" x14ac:dyDescent="0.25">
      <c r="A740">
        <v>382.24516299999999</v>
      </c>
      <c r="B740" s="1">
        <f>DATE(2011,5,18) + TIME(5,53,2)</f>
        <v>40681.245162037034</v>
      </c>
      <c r="C740">
        <v>80</v>
      </c>
      <c r="D740">
        <v>79.894302367999998</v>
      </c>
      <c r="E740">
        <v>50</v>
      </c>
      <c r="F740">
        <v>47.770118713000002</v>
      </c>
      <c r="G740">
        <v>1369.2576904</v>
      </c>
      <c r="H740">
        <v>1360.1024170000001</v>
      </c>
      <c r="I740">
        <v>1304.4350586</v>
      </c>
      <c r="J740">
        <v>1293.6621094</v>
      </c>
      <c r="K740">
        <v>1375</v>
      </c>
      <c r="L740">
        <v>0</v>
      </c>
      <c r="M740">
        <v>0</v>
      </c>
      <c r="N740">
        <v>1375</v>
      </c>
    </row>
    <row r="741" spans="1:14" x14ac:dyDescent="0.25">
      <c r="A741">
        <v>382.744055</v>
      </c>
      <c r="B741" s="1">
        <f>DATE(2011,5,18) + TIME(17,51,26)</f>
        <v>40681.744050925925</v>
      </c>
      <c r="C741">
        <v>80</v>
      </c>
      <c r="D741">
        <v>79.894454956000004</v>
      </c>
      <c r="E741">
        <v>50</v>
      </c>
      <c r="F741">
        <v>47.721427917</v>
      </c>
      <c r="G741">
        <v>1369.1971435999999</v>
      </c>
      <c r="H741">
        <v>1360.0505370999999</v>
      </c>
      <c r="I741">
        <v>1304.4259033000001</v>
      </c>
      <c r="J741">
        <v>1293.6505127</v>
      </c>
      <c r="K741">
        <v>1375</v>
      </c>
      <c r="L741">
        <v>0</v>
      </c>
      <c r="M741">
        <v>0</v>
      </c>
      <c r="N741">
        <v>1375</v>
      </c>
    </row>
    <row r="742" spans="1:14" x14ac:dyDescent="0.25">
      <c r="A742">
        <v>383.24934999999999</v>
      </c>
      <c r="B742" s="1">
        <f>DATE(2011,5,19) + TIME(5,59,3)</f>
        <v>40682.249340277776</v>
      </c>
      <c r="C742">
        <v>80</v>
      </c>
      <c r="D742">
        <v>79.894577025999993</v>
      </c>
      <c r="E742">
        <v>50</v>
      </c>
      <c r="F742">
        <v>47.672370911000002</v>
      </c>
      <c r="G742">
        <v>1369.1364745999999</v>
      </c>
      <c r="H742">
        <v>1359.9986572</v>
      </c>
      <c r="I742">
        <v>1304.4163818</v>
      </c>
      <c r="J742">
        <v>1293.6385498</v>
      </c>
      <c r="K742">
        <v>1375</v>
      </c>
      <c r="L742">
        <v>0</v>
      </c>
      <c r="M742">
        <v>0</v>
      </c>
      <c r="N742">
        <v>1375</v>
      </c>
    </row>
    <row r="743" spans="1:14" x14ac:dyDescent="0.25">
      <c r="A743">
        <v>383.760378</v>
      </c>
      <c r="B743" s="1">
        <f>DATE(2011,5,19) + TIME(18,14,56)</f>
        <v>40682.760370370372</v>
      </c>
      <c r="C743">
        <v>80</v>
      </c>
      <c r="D743">
        <v>79.894676208000007</v>
      </c>
      <c r="E743">
        <v>50</v>
      </c>
      <c r="F743">
        <v>47.623039245999998</v>
      </c>
      <c r="G743">
        <v>1369.0764160000001</v>
      </c>
      <c r="H743">
        <v>1359.9472656</v>
      </c>
      <c r="I743">
        <v>1304.4067382999999</v>
      </c>
      <c r="J743">
        <v>1293.6263428</v>
      </c>
      <c r="K743">
        <v>1375</v>
      </c>
      <c r="L743">
        <v>0</v>
      </c>
      <c r="M743">
        <v>0</v>
      </c>
      <c r="N743">
        <v>1375</v>
      </c>
    </row>
    <row r="744" spans="1:14" x14ac:dyDescent="0.25">
      <c r="A744">
        <v>384.27743600000002</v>
      </c>
      <c r="B744" s="1">
        <f>DATE(2011,5,20) + TIME(6,39,30)</f>
        <v>40683.277430555558</v>
      </c>
      <c r="C744">
        <v>80</v>
      </c>
      <c r="D744">
        <v>79.894760132000002</v>
      </c>
      <c r="E744">
        <v>50</v>
      </c>
      <c r="F744">
        <v>47.573451996000003</v>
      </c>
      <c r="G744">
        <v>1369.0170897999999</v>
      </c>
      <c r="H744">
        <v>1359.8967285000001</v>
      </c>
      <c r="I744">
        <v>1304.3969727000001</v>
      </c>
      <c r="J744">
        <v>1293.6140137</v>
      </c>
      <c r="K744">
        <v>1375</v>
      </c>
      <c r="L744">
        <v>0</v>
      </c>
      <c r="M744">
        <v>0</v>
      </c>
      <c r="N744">
        <v>1375</v>
      </c>
    </row>
    <row r="745" spans="1:14" x14ac:dyDescent="0.25">
      <c r="A745">
        <v>384.80169100000001</v>
      </c>
      <c r="B745" s="1">
        <f>DATE(2011,5,20) + TIME(19,14,26)</f>
        <v>40683.801689814813</v>
      </c>
      <c r="C745">
        <v>80</v>
      </c>
      <c r="D745">
        <v>79.894836425999998</v>
      </c>
      <c r="E745">
        <v>50</v>
      </c>
      <c r="F745">
        <v>47.523559570000003</v>
      </c>
      <c r="G745">
        <v>1368.958374</v>
      </c>
      <c r="H745">
        <v>1359.8466797000001</v>
      </c>
      <c r="I745">
        <v>1304.3870850000001</v>
      </c>
      <c r="J745">
        <v>1293.6015625</v>
      </c>
      <c r="K745">
        <v>1375</v>
      </c>
      <c r="L745">
        <v>0</v>
      </c>
      <c r="M745">
        <v>0</v>
      </c>
      <c r="N745">
        <v>1375</v>
      </c>
    </row>
    <row r="746" spans="1:14" x14ac:dyDescent="0.25">
      <c r="A746">
        <v>385.332671</v>
      </c>
      <c r="B746" s="1">
        <f>DATE(2011,5,21) + TIME(7,59,2)</f>
        <v>40684.332662037035</v>
      </c>
      <c r="C746">
        <v>80</v>
      </c>
      <c r="D746">
        <v>79.894889832000004</v>
      </c>
      <c r="E746">
        <v>50</v>
      </c>
      <c r="F746">
        <v>47.473407745000003</v>
      </c>
      <c r="G746">
        <v>1368.9002685999999</v>
      </c>
      <c r="H746">
        <v>1359.7972411999999</v>
      </c>
      <c r="I746">
        <v>1304.3769531</v>
      </c>
      <c r="J746">
        <v>1293.5887451000001</v>
      </c>
      <c r="K746">
        <v>1375</v>
      </c>
      <c r="L746">
        <v>0</v>
      </c>
      <c r="M746">
        <v>0</v>
      </c>
      <c r="N746">
        <v>1375</v>
      </c>
    </row>
    <row r="747" spans="1:14" x14ac:dyDescent="0.25">
      <c r="A747">
        <v>385.87021499999997</v>
      </c>
      <c r="B747" s="1">
        <f>DATE(2011,5,21) + TIME(20,53,6)</f>
        <v>40684.870208333334</v>
      </c>
      <c r="C747">
        <v>80</v>
      </c>
      <c r="D747">
        <v>79.894935607999997</v>
      </c>
      <c r="E747">
        <v>50</v>
      </c>
      <c r="F747">
        <v>47.423027038999997</v>
      </c>
      <c r="G747">
        <v>1368.8426514</v>
      </c>
      <c r="H747">
        <v>1359.7481689000001</v>
      </c>
      <c r="I747">
        <v>1304.3666992000001</v>
      </c>
      <c r="J747">
        <v>1293.5758057</v>
      </c>
      <c r="K747">
        <v>1375</v>
      </c>
      <c r="L747">
        <v>0</v>
      </c>
      <c r="M747">
        <v>0</v>
      </c>
      <c r="N747">
        <v>1375</v>
      </c>
    </row>
    <row r="748" spans="1:14" x14ac:dyDescent="0.25">
      <c r="A748">
        <v>386.4153</v>
      </c>
      <c r="B748" s="1">
        <f>DATE(2011,5,22) + TIME(9,58,1)</f>
        <v>40685.415289351855</v>
      </c>
      <c r="C748">
        <v>80</v>
      </c>
      <c r="D748">
        <v>79.894973754999995</v>
      </c>
      <c r="E748">
        <v>50</v>
      </c>
      <c r="F748">
        <v>47.372375488000003</v>
      </c>
      <c r="G748">
        <v>1368.7856445</v>
      </c>
      <c r="H748">
        <v>1359.699707</v>
      </c>
      <c r="I748">
        <v>1304.3562012</v>
      </c>
      <c r="J748">
        <v>1293.5627440999999</v>
      </c>
      <c r="K748">
        <v>1375</v>
      </c>
      <c r="L748">
        <v>0</v>
      </c>
      <c r="M748">
        <v>0</v>
      </c>
      <c r="N748">
        <v>1375</v>
      </c>
    </row>
    <row r="749" spans="1:14" x14ac:dyDescent="0.25">
      <c r="A749">
        <v>386.96910200000002</v>
      </c>
      <c r="B749" s="1">
        <f>DATE(2011,5,22) + TIME(23,15,30)</f>
        <v>40685.969097222223</v>
      </c>
      <c r="C749">
        <v>80</v>
      </c>
      <c r="D749">
        <v>79.894996642999999</v>
      </c>
      <c r="E749">
        <v>50</v>
      </c>
      <c r="F749">
        <v>47.321372986</v>
      </c>
      <c r="G749">
        <v>1368.7290039</v>
      </c>
      <c r="H749">
        <v>1359.6517334</v>
      </c>
      <c r="I749">
        <v>1304.3455810999999</v>
      </c>
      <c r="J749">
        <v>1293.5493164</v>
      </c>
      <c r="K749">
        <v>1375</v>
      </c>
      <c r="L749">
        <v>0</v>
      </c>
      <c r="M749">
        <v>0</v>
      </c>
      <c r="N749">
        <v>1375</v>
      </c>
    </row>
    <row r="750" spans="1:14" x14ac:dyDescent="0.25">
      <c r="A750">
        <v>387.53042799999997</v>
      </c>
      <c r="B750" s="1">
        <f>DATE(2011,5,23) + TIME(12,43,48)</f>
        <v>40686.530416666668</v>
      </c>
      <c r="C750">
        <v>80</v>
      </c>
      <c r="D750">
        <v>79.895019531000003</v>
      </c>
      <c r="E750">
        <v>50</v>
      </c>
      <c r="F750">
        <v>47.270103454999997</v>
      </c>
      <c r="G750">
        <v>1368.6727295000001</v>
      </c>
      <c r="H750">
        <v>1359.6040039</v>
      </c>
      <c r="I750">
        <v>1304.3347168</v>
      </c>
      <c r="J750">
        <v>1293.5356445</v>
      </c>
      <c r="K750">
        <v>1375</v>
      </c>
      <c r="L750">
        <v>0</v>
      </c>
      <c r="M750">
        <v>0</v>
      </c>
      <c r="N750">
        <v>1375</v>
      </c>
    </row>
    <row r="751" spans="1:14" x14ac:dyDescent="0.25">
      <c r="A751">
        <v>388.09932300000003</v>
      </c>
      <c r="B751" s="1">
        <f>DATE(2011,5,24) + TIME(2,23,1)</f>
        <v>40687.099317129629</v>
      </c>
      <c r="C751">
        <v>80</v>
      </c>
      <c r="D751">
        <v>79.895034789999997</v>
      </c>
      <c r="E751">
        <v>50</v>
      </c>
      <c r="F751">
        <v>47.218582153</v>
      </c>
      <c r="G751">
        <v>1368.6168213000001</v>
      </c>
      <c r="H751">
        <v>1359.5566406</v>
      </c>
      <c r="I751">
        <v>1304.3237305</v>
      </c>
      <c r="J751">
        <v>1293.5218506000001</v>
      </c>
      <c r="K751">
        <v>1375</v>
      </c>
      <c r="L751">
        <v>0</v>
      </c>
      <c r="M751">
        <v>0</v>
      </c>
      <c r="N751">
        <v>1375</v>
      </c>
    </row>
    <row r="752" spans="1:14" x14ac:dyDescent="0.25">
      <c r="A752">
        <v>388.67678000000001</v>
      </c>
      <c r="B752" s="1">
        <f>DATE(2011,5,24) + TIME(16,14,33)</f>
        <v>40687.676770833335</v>
      </c>
      <c r="C752">
        <v>80</v>
      </c>
      <c r="D752">
        <v>79.895042419000006</v>
      </c>
      <c r="E752">
        <v>50</v>
      </c>
      <c r="F752">
        <v>47.166748046999999</v>
      </c>
      <c r="G752">
        <v>1368.5614014</v>
      </c>
      <c r="H752">
        <v>1359.5097656</v>
      </c>
      <c r="I752">
        <v>1304.3123779</v>
      </c>
      <c r="J752">
        <v>1293.5076904</v>
      </c>
      <c r="K752">
        <v>1375</v>
      </c>
      <c r="L752">
        <v>0</v>
      </c>
      <c r="M752">
        <v>0</v>
      </c>
      <c r="N752">
        <v>1375</v>
      </c>
    </row>
    <row r="753" spans="1:14" x14ac:dyDescent="0.25">
      <c r="A753">
        <v>389.26396499999998</v>
      </c>
      <c r="B753" s="1">
        <f>DATE(2011,5,25) + TIME(6,20,6)</f>
        <v>40688.263958333337</v>
      </c>
      <c r="C753">
        <v>80</v>
      </c>
      <c r="D753">
        <v>79.895050049000005</v>
      </c>
      <c r="E753">
        <v>50</v>
      </c>
      <c r="F753">
        <v>47.114532470999997</v>
      </c>
      <c r="G753">
        <v>1368.5062256000001</v>
      </c>
      <c r="H753">
        <v>1359.4631348</v>
      </c>
      <c r="I753">
        <v>1304.3009033000001</v>
      </c>
      <c r="J753">
        <v>1293.4932861</v>
      </c>
      <c r="K753">
        <v>1375</v>
      </c>
      <c r="L753">
        <v>0</v>
      </c>
      <c r="M753">
        <v>0</v>
      </c>
      <c r="N753">
        <v>1375</v>
      </c>
    </row>
    <row r="754" spans="1:14" x14ac:dyDescent="0.25">
      <c r="A754">
        <v>389.86214999999999</v>
      </c>
      <c r="B754" s="1">
        <f>DATE(2011,5,25) + TIME(20,41,29)</f>
        <v>40688.862141203703</v>
      </c>
      <c r="C754">
        <v>80</v>
      </c>
      <c r="D754">
        <v>79.895057678000001</v>
      </c>
      <c r="E754">
        <v>50</v>
      </c>
      <c r="F754">
        <v>47.061851501</v>
      </c>
      <c r="G754">
        <v>1368.4512939000001</v>
      </c>
      <c r="H754">
        <v>1359.4167480000001</v>
      </c>
      <c r="I754">
        <v>1304.2891846</v>
      </c>
      <c r="J754">
        <v>1293.4785156</v>
      </c>
      <c r="K754">
        <v>1375</v>
      </c>
      <c r="L754">
        <v>0</v>
      </c>
      <c r="M754">
        <v>0</v>
      </c>
      <c r="N754">
        <v>1375</v>
      </c>
    </row>
    <row r="755" spans="1:14" x14ac:dyDescent="0.25">
      <c r="A755">
        <v>390.47270099999997</v>
      </c>
      <c r="B755" s="1">
        <f>DATE(2011,5,26) + TIME(11,20,41)</f>
        <v>40689.472696759258</v>
      </c>
      <c r="C755">
        <v>80</v>
      </c>
      <c r="D755">
        <v>79.895057678000001</v>
      </c>
      <c r="E755">
        <v>50</v>
      </c>
      <c r="F755">
        <v>47.008613586000003</v>
      </c>
      <c r="G755">
        <v>1368.3964844</v>
      </c>
      <c r="H755">
        <v>1359.3704834</v>
      </c>
      <c r="I755">
        <v>1304.2772216999999</v>
      </c>
      <c r="J755">
        <v>1293.463501</v>
      </c>
      <c r="K755">
        <v>1375</v>
      </c>
      <c r="L755">
        <v>0</v>
      </c>
      <c r="M755">
        <v>0</v>
      </c>
      <c r="N755">
        <v>1375</v>
      </c>
    </row>
    <row r="756" spans="1:14" x14ac:dyDescent="0.25">
      <c r="A756">
        <v>391.09708599999999</v>
      </c>
      <c r="B756" s="1">
        <f>DATE(2011,5,27) + TIME(2,19,48)</f>
        <v>40690.097083333334</v>
      </c>
      <c r="C756">
        <v>80</v>
      </c>
      <c r="D756">
        <v>79.895057678000001</v>
      </c>
      <c r="E756">
        <v>50</v>
      </c>
      <c r="F756">
        <v>46.954727173000002</v>
      </c>
      <c r="G756">
        <v>1368.3416748</v>
      </c>
      <c r="H756">
        <v>1359.3242187999999</v>
      </c>
      <c r="I756">
        <v>1304.2648925999999</v>
      </c>
      <c r="J756">
        <v>1293.4479980000001</v>
      </c>
      <c r="K756">
        <v>1375</v>
      </c>
      <c r="L756">
        <v>0</v>
      </c>
      <c r="M756">
        <v>0</v>
      </c>
      <c r="N756">
        <v>1375</v>
      </c>
    </row>
    <row r="757" spans="1:14" x14ac:dyDescent="0.25">
      <c r="A757">
        <v>391.73690399999998</v>
      </c>
      <c r="B757" s="1">
        <f>DATE(2011,5,27) + TIME(17,41,8)</f>
        <v>40690.736898148149</v>
      </c>
      <c r="C757">
        <v>80</v>
      </c>
      <c r="D757">
        <v>79.895050049000005</v>
      </c>
      <c r="E757">
        <v>50</v>
      </c>
      <c r="F757">
        <v>46.900085449000002</v>
      </c>
      <c r="G757">
        <v>1368.2867432</v>
      </c>
      <c r="H757">
        <v>1359.2779541</v>
      </c>
      <c r="I757">
        <v>1304.2521973</v>
      </c>
      <c r="J757">
        <v>1293.4321289</v>
      </c>
      <c r="K757">
        <v>1375</v>
      </c>
      <c r="L757">
        <v>0</v>
      </c>
      <c r="M757">
        <v>0</v>
      </c>
      <c r="N757">
        <v>1375</v>
      </c>
    </row>
    <row r="758" spans="1:14" x14ac:dyDescent="0.25">
      <c r="A758">
        <v>392.39391799999999</v>
      </c>
      <c r="B758" s="1">
        <f>DATE(2011,5,28) + TIME(9,27,14)</f>
        <v>40691.393912037034</v>
      </c>
      <c r="C758">
        <v>80</v>
      </c>
      <c r="D758">
        <v>79.895050049000005</v>
      </c>
      <c r="E758">
        <v>50</v>
      </c>
      <c r="F758">
        <v>46.844570160000004</v>
      </c>
      <c r="G758">
        <v>1368.2315673999999</v>
      </c>
      <c r="H758">
        <v>1359.2314452999999</v>
      </c>
      <c r="I758">
        <v>1304.2391356999999</v>
      </c>
      <c r="J758">
        <v>1293.4156493999999</v>
      </c>
      <c r="K758">
        <v>1375</v>
      </c>
      <c r="L758">
        <v>0</v>
      </c>
      <c r="M758">
        <v>0</v>
      </c>
      <c r="N758">
        <v>1375</v>
      </c>
    </row>
    <row r="759" spans="1:14" x14ac:dyDescent="0.25">
      <c r="A759">
        <v>393.07007499999997</v>
      </c>
      <c r="B759" s="1">
        <f>DATE(2011,5,29) + TIME(1,40,54)</f>
        <v>40692.070069444446</v>
      </c>
      <c r="C759">
        <v>80</v>
      </c>
      <c r="D759">
        <v>79.895042419000006</v>
      </c>
      <c r="E759">
        <v>50</v>
      </c>
      <c r="F759">
        <v>46.788055419999999</v>
      </c>
      <c r="G759">
        <v>1368.1760254000001</v>
      </c>
      <c r="H759">
        <v>1359.1848144999999</v>
      </c>
      <c r="I759">
        <v>1304.2255858999999</v>
      </c>
      <c r="J759">
        <v>1293.3988036999999</v>
      </c>
      <c r="K759">
        <v>1375</v>
      </c>
      <c r="L759">
        <v>0</v>
      </c>
      <c r="M759">
        <v>0</v>
      </c>
      <c r="N759">
        <v>1375</v>
      </c>
    </row>
    <row r="760" spans="1:14" x14ac:dyDescent="0.25">
      <c r="A760">
        <v>393.75923799999998</v>
      </c>
      <c r="B760" s="1">
        <f>DATE(2011,5,29) + TIME(18,13,18)</f>
        <v>40692.759236111109</v>
      </c>
      <c r="C760">
        <v>80</v>
      </c>
      <c r="D760">
        <v>79.895034789999997</v>
      </c>
      <c r="E760">
        <v>50</v>
      </c>
      <c r="F760">
        <v>46.730884551999999</v>
      </c>
      <c r="G760">
        <v>1368.1199951000001</v>
      </c>
      <c r="H760">
        <v>1359.1376952999999</v>
      </c>
      <c r="I760">
        <v>1304.2115478999999</v>
      </c>
      <c r="J760">
        <v>1293.3812256000001</v>
      </c>
      <c r="K760">
        <v>1375</v>
      </c>
      <c r="L760">
        <v>0</v>
      </c>
      <c r="M760">
        <v>0</v>
      </c>
      <c r="N760">
        <v>1375</v>
      </c>
    </row>
    <row r="761" spans="1:14" x14ac:dyDescent="0.25">
      <c r="A761">
        <v>394.45449600000001</v>
      </c>
      <c r="B761" s="1">
        <f>DATE(2011,5,30) + TIME(10,54,28)</f>
        <v>40693.45449074074</v>
      </c>
      <c r="C761">
        <v>80</v>
      </c>
      <c r="D761">
        <v>79.895027161000002</v>
      </c>
      <c r="E761">
        <v>50</v>
      </c>
      <c r="F761">
        <v>46.673480988000001</v>
      </c>
      <c r="G761">
        <v>1368.0639647999999</v>
      </c>
      <c r="H761">
        <v>1359.0906981999999</v>
      </c>
      <c r="I761">
        <v>1304.1971435999999</v>
      </c>
      <c r="J761">
        <v>1293.3632812000001</v>
      </c>
      <c r="K761">
        <v>1375</v>
      </c>
      <c r="L761">
        <v>0</v>
      </c>
      <c r="M761">
        <v>0</v>
      </c>
      <c r="N761">
        <v>1375</v>
      </c>
    </row>
    <row r="762" spans="1:14" x14ac:dyDescent="0.25">
      <c r="A762">
        <v>395.15691500000003</v>
      </c>
      <c r="B762" s="1">
        <f>DATE(2011,5,31) + TIME(3,45,57)</f>
        <v>40694.156909722224</v>
      </c>
      <c r="C762">
        <v>80</v>
      </c>
      <c r="D762">
        <v>79.895019531000003</v>
      </c>
      <c r="E762">
        <v>50</v>
      </c>
      <c r="F762">
        <v>46.615856170999997</v>
      </c>
      <c r="G762">
        <v>1368.0086670000001</v>
      </c>
      <c r="H762">
        <v>1359.0441894999999</v>
      </c>
      <c r="I762">
        <v>1304.1824951000001</v>
      </c>
      <c r="J762">
        <v>1293.3449707</v>
      </c>
      <c r="K762">
        <v>1375</v>
      </c>
      <c r="L762">
        <v>0</v>
      </c>
      <c r="M762">
        <v>0</v>
      </c>
      <c r="N762">
        <v>1375</v>
      </c>
    </row>
    <row r="763" spans="1:14" x14ac:dyDescent="0.25">
      <c r="A763">
        <v>395.86796399999997</v>
      </c>
      <c r="B763" s="1">
        <f>DATE(2011,5,31) + TIME(20,49,52)</f>
        <v>40694.867962962962</v>
      </c>
      <c r="C763">
        <v>80</v>
      </c>
      <c r="D763">
        <v>79.895011901999993</v>
      </c>
      <c r="E763">
        <v>50</v>
      </c>
      <c r="F763">
        <v>46.55796814</v>
      </c>
      <c r="G763">
        <v>1367.9538574000001</v>
      </c>
      <c r="H763">
        <v>1358.9981689000001</v>
      </c>
      <c r="I763">
        <v>1304.1676024999999</v>
      </c>
      <c r="J763">
        <v>1293.3264160000001</v>
      </c>
      <c r="K763">
        <v>1375</v>
      </c>
      <c r="L763">
        <v>0</v>
      </c>
      <c r="M763">
        <v>0</v>
      </c>
      <c r="N763">
        <v>1375</v>
      </c>
    </row>
    <row r="764" spans="1:14" x14ac:dyDescent="0.25">
      <c r="A764">
        <v>396.588213</v>
      </c>
      <c r="B764" s="1">
        <f>DATE(2011,6,1) + TIME(14,7,1)</f>
        <v>40695.588206018518</v>
      </c>
      <c r="C764">
        <v>80</v>
      </c>
      <c r="D764">
        <v>79.895004271999994</v>
      </c>
      <c r="E764">
        <v>50</v>
      </c>
      <c r="F764">
        <v>46.499809265000003</v>
      </c>
      <c r="G764">
        <v>1367.8994141000001</v>
      </c>
      <c r="H764">
        <v>1358.9526367000001</v>
      </c>
      <c r="I764">
        <v>1304.1524658000001</v>
      </c>
      <c r="J764">
        <v>1293.3073730000001</v>
      </c>
      <c r="K764">
        <v>1375</v>
      </c>
      <c r="L764">
        <v>0</v>
      </c>
      <c r="M764">
        <v>0</v>
      </c>
      <c r="N764">
        <v>1375</v>
      </c>
    </row>
    <row r="765" spans="1:14" x14ac:dyDescent="0.25">
      <c r="A765">
        <v>397.315538</v>
      </c>
      <c r="B765" s="1">
        <f>DATE(2011,6,2) + TIME(7,34,22)</f>
        <v>40696.315532407411</v>
      </c>
      <c r="C765">
        <v>80</v>
      </c>
      <c r="D765">
        <v>79.895004271999994</v>
      </c>
      <c r="E765">
        <v>50</v>
      </c>
      <c r="F765">
        <v>46.441505432</v>
      </c>
      <c r="G765">
        <v>1367.8453368999999</v>
      </c>
      <c r="H765">
        <v>1358.9073486</v>
      </c>
      <c r="I765">
        <v>1304.1368408000001</v>
      </c>
      <c r="J765">
        <v>1293.2879639</v>
      </c>
      <c r="K765">
        <v>1375</v>
      </c>
      <c r="L765">
        <v>0</v>
      </c>
      <c r="M765">
        <v>0</v>
      </c>
      <c r="N765">
        <v>1375</v>
      </c>
    </row>
    <row r="766" spans="1:14" x14ac:dyDescent="0.25">
      <c r="A766">
        <v>398.051446</v>
      </c>
      <c r="B766" s="1">
        <f>DATE(2011,6,3) + TIME(1,14,4)</f>
        <v>40697.051435185182</v>
      </c>
      <c r="C766">
        <v>80</v>
      </c>
      <c r="D766">
        <v>79.894996642999999</v>
      </c>
      <c r="E766">
        <v>50</v>
      </c>
      <c r="F766">
        <v>46.382995604999998</v>
      </c>
      <c r="G766">
        <v>1367.7917480000001</v>
      </c>
      <c r="H766">
        <v>1358.8624268000001</v>
      </c>
      <c r="I766">
        <v>1304.1210937999999</v>
      </c>
      <c r="J766">
        <v>1293.2681885</v>
      </c>
      <c r="K766">
        <v>1375</v>
      </c>
      <c r="L766">
        <v>0</v>
      </c>
      <c r="M766">
        <v>0</v>
      </c>
      <c r="N766">
        <v>1375</v>
      </c>
    </row>
    <row r="767" spans="1:14" x14ac:dyDescent="0.25">
      <c r="A767">
        <v>398.797349</v>
      </c>
      <c r="B767" s="1">
        <f>DATE(2011,6,3) + TIME(19,8,10)</f>
        <v>40697.797337962962</v>
      </c>
      <c r="C767">
        <v>80</v>
      </c>
      <c r="D767">
        <v>79.894989014000004</v>
      </c>
      <c r="E767">
        <v>50</v>
      </c>
      <c r="F767">
        <v>46.324211120999998</v>
      </c>
      <c r="G767">
        <v>1367.7386475000001</v>
      </c>
      <c r="H767">
        <v>1358.8178711</v>
      </c>
      <c r="I767">
        <v>1304.1049805</v>
      </c>
      <c r="J767">
        <v>1293.2480469</v>
      </c>
      <c r="K767">
        <v>1375</v>
      </c>
      <c r="L767">
        <v>0</v>
      </c>
      <c r="M767">
        <v>0</v>
      </c>
      <c r="N767">
        <v>1375</v>
      </c>
    </row>
    <row r="768" spans="1:14" x14ac:dyDescent="0.25">
      <c r="A768">
        <v>399.55485800000002</v>
      </c>
      <c r="B768" s="1">
        <f>DATE(2011,6,4) + TIME(13,18,59)</f>
        <v>40698.554849537039</v>
      </c>
      <c r="C768">
        <v>80</v>
      </c>
      <c r="D768">
        <v>79.894989014000004</v>
      </c>
      <c r="E768">
        <v>50</v>
      </c>
      <c r="F768">
        <v>46.265060425000001</v>
      </c>
      <c r="G768">
        <v>1367.6856689000001</v>
      </c>
      <c r="H768">
        <v>1358.7736815999999</v>
      </c>
      <c r="I768">
        <v>1304.088501</v>
      </c>
      <c r="J768">
        <v>1293.2272949000001</v>
      </c>
      <c r="K768">
        <v>1375</v>
      </c>
      <c r="L768">
        <v>0</v>
      </c>
      <c r="M768">
        <v>0</v>
      </c>
      <c r="N768">
        <v>1375</v>
      </c>
    </row>
    <row r="769" spans="1:14" x14ac:dyDescent="0.25">
      <c r="A769">
        <v>400.32478099999997</v>
      </c>
      <c r="B769" s="1">
        <f>DATE(2011,6,5) + TIME(7,47,41)</f>
        <v>40699.324780092589</v>
      </c>
      <c r="C769">
        <v>80</v>
      </c>
      <c r="D769">
        <v>79.894981384000005</v>
      </c>
      <c r="E769">
        <v>50</v>
      </c>
      <c r="F769">
        <v>46.205482482999997</v>
      </c>
      <c r="G769">
        <v>1367.6329346</v>
      </c>
      <c r="H769">
        <v>1358.7296143000001</v>
      </c>
      <c r="I769">
        <v>1304.0716553</v>
      </c>
      <c r="J769">
        <v>1293.2061768000001</v>
      </c>
      <c r="K769">
        <v>1375</v>
      </c>
      <c r="L769">
        <v>0</v>
      </c>
      <c r="M769">
        <v>0</v>
      </c>
      <c r="N769">
        <v>1375</v>
      </c>
    </row>
    <row r="770" spans="1:14" x14ac:dyDescent="0.25">
      <c r="A770">
        <v>401.10366299999998</v>
      </c>
      <c r="B770" s="1">
        <f>DATE(2011,6,6) + TIME(2,29,16)</f>
        <v>40700.10365740741</v>
      </c>
      <c r="C770">
        <v>80</v>
      </c>
      <c r="D770">
        <v>79.894981384000005</v>
      </c>
      <c r="E770">
        <v>50</v>
      </c>
      <c r="F770">
        <v>46.145648956000002</v>
      </c>
      <c r="G770">
        <v>1367.5803223</v>
      </c>
      <c r="H770">
        <v>1358.6855469</v>
      </c>
      <c r="I770">
        <v>1304.0543213000001</v>
      </c>
      <c r="J770">
        <v>1293.1844481999999</v>
      </c>
      <c r="K770">
        <v>1375</v>
      </c>
      <c r="L770">
        <v>0</v>
      </c>
      <c r="M770">
        <v>0</v>
      </c>
      <c r="N770">
        <v>1375</v>
      </c>
    </row>
    <row r="771" spans="1:14" x14ac:dyDescent="0.25">
      <c r="A771">
        <v>401.893327</v>
      </c>
      <c r="B771" s="1">
        <f>DATE(2011,6,6) + TIME(21,26,23)</f>
        <v>40700.893321759257</v>
      </c>
      <c r="C771">
        <v>80</v>
      </c>
      <c r="D771">
        <v>79.894981384000005</v>
      </c>
      <c r="E771">
        <v>50</v>
      </c>
      <c r="F771">
        <v>46.085475922000001</v>
      </c>
      <c r="G771">
        <v>1367.5279541</v>
      </c>
      <c r="H771">
        <v>1358.6419678</v>
      </c>
      <c r="I771">
        <v>1304.0366211</v>
      </c>
      <c r="J771">
        <v>1293.1622314000001</v>
      </c>
      <c r="K771">
        <v>1375</v>
      </c>
      <c r="L771">
        <v>0</v>
      </c>
      <c r="M771">
        <v>0</v>
      </c>
      <c r="N771">
        <v>1375</v>
      </c>
    </row>
    <row r="772" spans="1:14" x14ac:dyDescent="0.25">
      <c r="A772">
        <v>402.69528000000003</v>
      </c>
      <c r="B772" s="1">
        <f>DATE(2011,6,7) + TIME(16,41,12)</f>
        <v>40701.695277777777</v>
      </c>
      <c r="C772">
        <v>80</v>
      </c>
      <c r="D772">
        <v>79.894981384000005</v>
      </c>
      <c r="E772">
        <v>50</v>
      </c>
      <c r="F772">
        <v>46.024887085000003</v>
      </c>
      <c r="G772">
        <v>1367.4759521000001</v>
      </c>
      <c r="H772">
        <v>1358.5985106999999</v>
      </c>
      <c r="I772">
        <v>1304.0184326000001</v>
      </c>
      <c r="J772">
        <v>1293.1394043</v>
      </c>
      <c r="K772">
        <v>1375</v>
      </c>
      <c r="L772">
        <v>0</v>
      </c>
      <c r="M772">
        <v>0</v>
      </c>
      <c r="N772">
        <v>1375</v>
      </c>
    </row>
    <row r="773" spans="1:14" x14ac:dyDescent="0.25">
      <c r="A773">
        <v>403.511259</v>
      </c>
      <c r="B773" s="1">
        <f>DATE(2011,6,8) + TIME(12,16,12)</f>
        <v>40702.511250000003</v>
      </c>
      <c r="C773">
        <v>80</v>
      </c>
      <c r="D773">
        <v>79.894981384000005</v>
      </c>
      <c r="E773">
        <v>50</v>
      </c>
      <c r="F773">
        <v>45.963779449</v>
      </c>
      <c r="G773">
        <v>1367.4239502</v>
      </c>
      <c r="H773">
        <v>1358.5551757999999</v>
      </c>
      <c r="I773">
        <v>1303.9998779</v>
      </c>
      <c r="J773">
        <v>1293.1160889</v>
      </c>
      <c r="K773">
        <v>1375</v>
      </c>
      <c r="L773">
        <v>0</v>
      </c>
      <c r="M773">
        <v>0</v>
      </c>
      <c r="N773">
        <v>1375</v>
      </c>
    </row>
    <row r="774" spans="1:14" x14ac:dyDescent="0.25">
      <c r="A774">
        <v>404.34311600000001</v>
      </c>
      <c r="B774" s="1">
        <f>DATE(2011,6,9) + TIME(8,14,5)</f>
        <v>40703.343113425923</v>
      </c>
      <c r="C774">
        <v>80</v>
      </c>
      <c r="D774">
        <v>79.894989014000004</v>
      </c>
      <c r="E774">
        <v>50</v>
      </c>
      <c r="F774">
        <v>45.902046204000001</v>
      </c>
      <c r="G774">
        <v>1367.3720702999999</v>
      </c>
      <c r="H774">
        <v>1358.5118408000001</v>
      </c>
      <c r="I774">
        <v>1303.9808350000001</v>
      </c>
      <c r="J774">
        <v>1293.0920410000001</v>
      </c>
      <c r="K774">
        <v>1375</v>
      </c>
      <c r="L774">
        <v>0</v>
      </c>
      <c r="M774">
        <v>0</v>
      </c>
      <c r="N774">
        <v>1375</v>
      </c>
    </row>
    <row r="775" spans="1:14" x14ac:dyDescent="0.25">
      <c r="A775">
        <v>405.192836</v>
      </c>
      <c r="B775" s="1">
        <f>DATE(2011,6,10) + TIME(4,37,41)</f>
        <v>40704.192835648151</v>
      </c>
      <c r="C775">
        <v>80</v>
      </c>
      <c r="D775">
        <v>79.894996642999999</v>
      </c>
      <c r="E775">
        <v>50</v>
      </c>
      <c r="F775">
        <v>45.839565276999998</v>
      </c>
      <c r="G775">
        <v>1367.3200684000001</v>
      </c>
      <c r="H775">
        <v>1358.4685059000001</v>
      </c>
      <c r="I775">
        <v>1303.9611815999999</v>
      </c>
      <c r="J775">
        <v>1293.0671387</v>
      </c>
      <c r="K775">
        <v>1375</v>
      </c>
      <c r="L775">
        <v>0</v>
      </c>
      <c r="M775">
        <v>0</v>
      </c>
      <c r="N775">
        <v>1375</v>
      </c>
    </row>
    <row r="776" spans="1:14" x14ac:dyDescent="0.25">
      <c r="A776">
        <v>406.06259299999999</v>
      </c>
      <c r="B776" s="1">
        <f>DATE(2011,6,11) + TIME(1,30,8)</f>
        <v>40705.062592592592</v>
      </c>
      <c r="C776">
        <v>80</v>
      </c>
      <c r="D776">
        <v>79.895004271999994</v>
      </c>
      <c r="E776">
        <v>50</v>
      </c>
      <c r="F776">
        <v>45.776199341000002</v>
      </c>
      <c r="G776">
        <v>1367.2679443</v>
      </c>
      <c r="H776">
        <v>1358.4250488</v>
      </c>
      <c r="I776">
        <v>1303.940918</v>
      </c>
      <c r="J776">
        <v>1293.0415039</v>
      </c>
      <c r="K776">
        <v>1375</v>
      </c>
      <c r="L776">
        <v>0</v>
      </c>
      <c r="M776">
        <v>0</v>
      </c>
      <c r="N776">
        <v>1375</v>
      </c>
    </row>
    <row r="777" spans="1:14" x14ac:dyDescent="0.25">
      <c r="A777">
        <v>406.945875</v>
      </c>
      <c r="B777" s="1">
        <f>DATE(2011,6,11) + TIME(22,42,3)</f>
        <v>40705.945868055554</v>
      </c>
      <c r="C777">
        <v>80</v>
      </c>
      <c r="D777">
        <v>79.895011901999993</v>
      </c>
      <c r="E777">
        <v>50</v>
      </c>
      <c r="F777">
        <v>45.712215424</v>
      </c>
      <c r="G777">
        <v>1367.2155762</v>
      </c>
      <c r="H777">
        <v>1358.3813477000001</v>
      </c>
      <c r="I777">
        <v>1303.9197998</v>
      </c>
      <c r="J777">
        <v>1293.0150146000001</v>
      </c>
      <c r="K777">
        <v>1375</v>
      </c>
      <c r="L777">
        <v>0</v>
      </c>
      <c r="M777">
        <v>0</v>
      </c>
      <c r="N777">
        <v>1375</v>
      </c>
    </row>
    <row r="778" spans="1:14" x14ac:dyDescent="0.25">
      <c r="A778">
        <v>407.83712700000001</v>
      </c>
      <c r="B778" s="1">
        <f>DATE(2011,6,12) + TIME(20,5,27)</f>
        <v>40706.837118055555</v>
      </c>
      <c r="C778">
        <v>80</v>
      </c>
      <c r="D778">
        <v>79.895019531000003</v>
      </c>
      <c r="E778">
        <v>50</v>
      </c>
      <c r="F778">
        <v>45.647899627999998</v>
      </c>
      <c r="G778">
        <v>1367.1632079999999</v>
      </c>
      <c r="H778">
        <v>1358.3378906</v>
      </c>
      <c r="I778">
        <v>1303.8981934000001</v>
      </c>
      <c r="J778">
        <v>1292.9876709</v>
      </c>
      <c r="K778">
        <v>1375</v>
      </c>
      <c r="L778">
        <v>0</v>
      </c>
      <c r="M778">
        <v>0</v>
      </c>
      <c r="N778">
        <v>1375</v>
      </c>
    </row>
    <row r="779" spans="1:14" x14ac:dyDescent="0.25">
      <c r="A779">
        <v>408.73814399999998</v>
      </c>
      <c r="B779" s="1">
        <f>DATE(2011,6,13) + TIME(17,42,55)</f>
        <v>40707.738136574073</v>
      </c>
      <c r="C779">
        <v>80</v>
      </c>
      <c r="D779">
        <v>79.895027161000002</v>
      </c>
      <c r="E779">
        <v>50</v>
      </c>
      <c r="F779">
        <v>45.583236694</v>
      </c>
      <c r="G779">
        <v>1367.1113281</v>
      </c>
      <c r="H779">
        <v>1358.2946777</v>
      </c>
      <c r="I779">
        <v>1303.8762207</v>
      </c>
      <c r="J779">
        <v>1292.9597168</v>
      </c>
      <c r="K779">
        <v>1375</v>
      </c>
      <c r="L779">
        <v>0</v>
      </c>
      <c r="M779">
        <v>0</v>
      </c>
      <c r="N779">
        <v>1375</v>
      </c>
    </row>
    <row r="780" spans="1:14" x14ac:dyDescent="0.25">
      <c r="A780">
        <v>409.65091799999999</v>
      </c>
      <c r="B780" s="1">
        <f>DATE(2011,6,14) + TIME(15,37,19)</f>
        <v>40708.650914351849</v>
      </c>
      <c r="C780">
        <v>80</v>
      </c>
      <c r="D780">
        <v>79.895042419000006</v>
      </c>
      <c r="E780">
        <v>50</v>
      </c>
      <c r="F780">
        <v>45.518157959</v>
      </c>
      <c r="G780">
        <v>1367.0598144999999</v>
      </c>
      <c r="H780">
        <v>1358.2517089999999</v>
      </c>
      <c r="I780">
        <v>1303.8536377</v>
      </c>
      <c r="J780">
        <v>1292.9310303</v>
      </c>
      <c r="K780">
        <v>1375</v>
      </c>
      <c r="L780">
        <v>0</v>
      </c>
      <c r="M780">
        <v>0</v>
      </c>
      <c r="N780">
        <v>1375</v>
      </c>
    </row>
    <row r="781" spans="1:14" x14ac:dyDescent="0.25">
      <c r="A781">
        <v>410.57252</v>
      </c>
      <c r="B781" s="1">
        <f>DATE(2011,6,15) + TIME(13,44,25)</f>
        <v>40709.572511574072</v>
      </c>
      <c r="C781">
        <v>80</v>
      </c>
      <c r="D781">
        <v>79.895057678000001</v>
      </c>
      <c r="E781">
        <v>50</v>
      </c>
      <c r="F781">
        <v>45.452785491999997</v>
      </c>
      <c r="G781">
        <v>1367.0085449000001</v>
      </c>
      <c r="H781">
        <v>1358.2091064000001</v>
      </c>
      <c r="I781">
        <v>1303.8305664</v>
      </c>
      <c r="J781">
        <v>1292.9016113</v>
      </c>
      <c r="K781">
        <v>1375</v>
      </c>
      <c r="L781">
        <v>0</v>
      </c>
      <c r="M781">
        <v>0</v>
      </c>
      <c r="N781">
        <v>1375</v>
      </c>
    </row>
    <row r="782" spans="1:14" x14ac:dyDescent="0.25">
      <c r="A782">
        <v>411.503491</v>
      </c>
      <c r="B782" s="1">
        <f>DATE(2011,6,16) + TIME(12,5,1)</f>
        <v>40710.503483796296</v>
      </c>
      <c r="C782">
        <v>80</v>
      </c>
      <c r="D782">
        <v>79.895072936999995</v>
      </c>
      <c r="E782">
        <v>50</v>
      </c>
      <c r="F782">
        <v>45.387123107999997</v>
      </c>
      <c r="G782">
        <v>1366.9576416</v>
      </c>
      <c r="H782">
        <v>1358.1667480000001</v>
      </c>
      <c r="I782">
        <v>1303.8068848</v>
      </c>
      <c r="J782">
        <v>1292.8714600000001</v>
      </c>
      <c r="K782">
        <v>1375</v>
      </c>
      <c r="L782">
        <v>0</v>
      </c>
      <c r="M782">
        <v>0</v>
      </c>
      <c r="N782">
        <v>1375</v>
      </c>
    </row>
    <row r="783" spans="1:14" x14ac:dyDescent="0.25">
      <c r="A783">
        <v>412.445404</v>
      </c>
      <c r="B783" s="1">
        <f>DATE(2011,6,17) + TIME(10,41,22)</f>
        <v>40711.445393518516</v>
      </c>
      <c r="C783">
        <v>80</v>
      </c>
      <c r="D783">
        <v>79.895088196000003</v>
      </c>
      <c r="E783">
        <v>50</v>
      </c>
      <c r="F783">
        <v>45.321098327999998</v>
      </c>
      <c r="G783">
        <v>1366.9069824000001</v>
      </c>
      <c r="H783">
        <v>1358.1246338000001</v>
      </c>
      <c r="I783">
        <v>1303.7827147999999</v>
      </c>
      <c r="J783">
        <v>1292.8405762</v>
      </c>
      <c r="K783">
        <v>1375</v>
      </c>
      <c r="L783">
        <v>0</v>
      </c>
      <c r="M783">
        <v>0</v>
      </c>
      <c r="N783">
        <v>1375</v>
      </c>
    </row>
    <row r="784" spans="1:14" x14ac:dyDescent="0.25">
      <c r="A784">
        <v>413.40026499999999</v>
      </c>
      <c r="B784" s="1">
        <f>DATE(2011,6,18) + TIME(9,36,22)</f>
        <v>40712.400254629632</v>
      </c>
      <c r="C784">
        <v>80</v>
      </c>
      <c r="D784">
        <v>79.895103454999997</v>
      </c>
      <c r="E784">
        <v>50</v>
      </c>
      <c r="F784">
        <v>45.254608154000003</v>
      </c>
      <c r="G784">
        <v>1366.8566894999999</v>
      </c>
      <c r="H784">
        <v>1358.0828856999999</v>
      </c>
      <c r="I784">
        <v>1303.7579346</v>
      </c>
      <c r="J784">
        <v>1292.8088379000001</v>
      </c>
      <c r="K784">
        <v>1375</v>
      </c>
      <c r="L784">
        <v>0</v>
      </c>
      <c r="M784">
        <v>0</v>
      </c>
      <c r="N784">
        <v>1375</v>
      </c>
    </row>
    <row r="785" spans="1:14" x14ac:dyDescent="0.25">
      <c r="A785">
        <v>414.37016899999998</v>
      </c>
      <c r="B785" s="1">
        <f>DATE(2011,6,19) + TIME(8,53,2)</f>
        <v>40713.370162037034</v>
      </c>
      <c r="C785">
        <v>80</v>
      </c>
      <c r="D785">
        <v>79.895126343000001</v>
      </c>
      <c r="E785">
        <v>50</v>
      </c>
      <c r="F785">
        <v>45.187530518000003</v>
      </c>
      <c r="G785">
        <v>1366.8066406</v>
      </c>
      <c r="H785">
        <v>1358.0411377</v>
      </c>
      <c r="I785">
        <v>1303.7325439000001</v>
      </c>
      <c r="J785">
        <v>1292.7761230000001</v>
      </c>
      <c r="K785">
        <v>1375</v>
      </c>
      <c r="L785">
        <v>0</v>
      </c>
      <c r="M785">
        <v>0</v>
      </c>
      <c r="N785">
        <v>1375</v>
      </c>
    </row>
    <row r="786" spans="1:14" x14ac:dyDescent="0.25">
      <c r="A786">
        <v>415.35733800000003</v>
      </c>
      <c r="B786" s="1">
        <f>DATE(2011,6,20) + TIME(8,34,34)</f>
        <v>40714.35733796296</v>
      </c>
      <c r="C786">
        <v>80</v>
      </c>
      <c r="D786">
        <v>79.895149231000005</v>
      </c>
      <c r="E786">
        <v>50</v>
      </c>
      <c r="F786">
        <v>45.119728088000002</v>
      </c>
      <c r="G786">
        <v>1366.7564697</v>
      </c>
      <c r="H786">
        <v>1357.9995117000001</v>
      </c>
      <c r="I786">
        <v>1303.7062988</v>
      </c>
      <c r="J786">
        <v>1292.7424315999999</v>
      </c>
      <c r="K786">
        <v>1375</v>
      </c>
      <c r="L786">
        <v>0</v>
      </c>
      <c r="M786">
        <v>0</v>
      </c>
      <c r="N786">
        <v>1375</v>
      </c>
    </row>
    <row r="787" spans="1:14" x14ac:dyDescent="0.25">
      <c r="A787">
        <v>416.35866800000002</v>
      </c>
      <c r="B787" s="1">
        <f>DATE(2011,6,21) + TIME(8,36,28)</f>
        <v>40715.358657407407</v>
      </c>
      <c r="C787">
        <v>80</v>
      </c>
      <c r="D787">
        <v>79.895172118999994</v>
      </c>
      <c r="E787">
        <v>50</v>
      </c>
      <c r="F787">
        <v>45.051277161000002</v>
      </c>
      <c r="G787">
        <v>1366.7062988</v>
      </c>
      <c r="H787">
        <v>1357.9578856999999</v>
      </c>
      <c r="I787">
        <v>1303.6793213000001</v>
      </c>
      <c r="J787">
        <v>1292.7076416</v>
      </c>
      <c r="K787">
        <v>1375</v>
      </c>
      <c r="L787">
        <v>0</v>
      </c>
      <c r="M787">
        <v>0</v>
      </c>
      <c r="N787">
        <v>1375</v>
      </c>
    </row>
    <row r="788" spans="1:14" x14ac:dyDescent="0.25">
      <c r="A788">
        <v>417.37308999999999</v>
      </c>
      <c r="B788" s="1">
        <f>DATE(2011,6,22) + TIME(8,57,15)</f>
        <v>40716.373090277775</v>
      </c>
      <c r="C788">
        <v>80</v>
      </c>
      <c r="D788">
        <v>79.895195006999998</v>
      </c>
      <c r="E788">
        <v>50</v>
      </c>
      <c r="F788">
        <v>44.982215881000002</v>
      </c>
      <c r="G788">
        <v>1366.65625</v>
      </c>
      <c r="H788">
        <v>1357.9162598</v>
      </c>
      <c r="I788">
        <v>1303.6516113</v>
      </c>
      <c r="J788">
        <v>1292.6717529</v>
      </c>
      <c r="K788">
        <v>1375</v>
      </c>
      <c r="L788">
        <v>0</v>
      </c>
      <c r="M788">
        <v>0</v>
      </c>
      <c r="N788">
        <v>1375</v>
      </c>
    </row>
    <row r="789" spans="1:14" x14ac:dyDescent="0.25">
      <c r="A789">
        <v>418.40286300000002</v>
      </c>
      <c r="B789" s="1">
        <f>DATE(2011,6,23) + TIME(9,40,7)</f>
        <v>40717.402858796297</v>
      </c>
      <c r="C789">
        <v>80</v>
      </c>
      <c r="D789">
        <v>79.895225525000001</v>
      </c>
      <c r="E789">
        <v>50</v>
      </c>
      <c r="F789">
        <v>44.912448883000003</v>
      </c>
      <c r="G789">
        <v>1366.6064452999999</v>
      </c>
      <c r="H789">
        <v>1357.8748779</v>
      </c>
      <c r="I789">
        <v>1303.6230469</v>
      </c>
      <c r="J789">
        <v>1292.6347656</v>
      </c>
      <c r="K789">
        <v>1375</v>
      </c>
      <c r="L789">
        <v>0</v>
      </c>
      <c r="M789">
        <v>0</v>
      </c>
      <c r="N789">
        <v>1375</v>
      </c>
    </row>
    <row r="790" spans="1:14" x14ac:dyDescent="0.25">
      <c r="A790">
        <v>419.45027199999998</v>
      </c>
      <c r="B790" s="1">
        <f>DATE(2011,6,24) + TIME(10,48,23)</f>
        <v>40718.450266203705</v>
      </c>
      <c r="C790">
        <v>80</v>
      </c>
      <c r="D790">
        <v>79.895248413000004</v>
      </c>
      <c r="E790">
        <v>50</v>
      </c>
      <c r="F790">
        <v>44.841854095000002</v>
      </c>
      <c r="G790">
        <v>1366.5566406</v>
      </c>
      <c r="H790">
        <v>1357.8334961</v>
      </c>
      <c r="I790">
        <v>1303.59375</v>
      </c>
      <c r="J790">
        <v>1292.5965576000001</v>
      </c>
      <c r="K790">
        <v>1375</v>
      </c>
      <c r="L790">
        <v>0</v>
      </c>
      <c r="M790">
        <v>0</v>
      </c>
      <c r="N790">
        <v>1375</v>
      </c>
    </row>
    <row r="791" spans="1:14" x14ac:dyDescent="0.25">
      <c r="A791">
        <v>420.51775900000001</v>
      </c>
      <c r="B791" s="1">
        <f>DATE(2011,6,25) + TIME(12,25,34)</f>
        <v>40719.517754629633</v>
      </c>
      <c r="C791">
        <v>80</v>
      </c>
      <c r="D791">
        <v>79.895286560000002</v>
      </c>
      <c r="E791">
        <v>50</v>
      </c>
      <c r="F791">
        <v>44.770286560000002</v>
      </c>
      <c r="G791">
        <v>1366.5068358999999</v>
      </c>
      <c r="H791">
        <v>1357.7921143000001</v>
      </c>
      <c r="I791">
        <v>1303.5634766000001</v>
      </c>
      <c r="J791">
        <v>1292.5571289</v>
      </c>
      <c r="K791">
        <v>1375</v>
      </c>
      <c r="L791">
        <v>0</v>
      </c>
      <c r="M791">
        <v>0</v>
      </c>
      <c r="N791">
        <v>1375</v>
      </c>
    </row>
    <row r="792" spans="1:14" x14ac:dyDescent="0.25">
      <c r="A792">
        <v>421.60617500000001</v>
      </c>
      <c r="B792" s="1">
        <f>DATE(2011,6,26) + TIME(14,32,53)</f>
        <v>40720.606168981481</v>
      </c>
      <c r="C792">
        <v>80</v>
      </c>
      <c r="D792">
        <v>79.895317078000005</v>
      </c>
      <c r="E792">
        <v>50</v>
      </c>
      <c r="F792">
        <v>44.697650908999996</v>
      </c>
      <c r="G792">
        <v>1366.4569091999999</v>
      </c>
      <c r="H792">
        <v>1357.7506103999999</v>
      </c>
      <c r="I792">
        <v>1303.5321045000001</v>
      </c>
      <c r="J792">
        <v>1292.5161132999999</v>
      </c>
      <c r="K792">
        <v>1375</v>
      </c>
      <c r="L792">
        <v>0</v>
      </c>
      <c r="M792">
        <v>0</v>
      </c>
      <c r="N792">
        <v>1375</v>
      </c>
    </row>
    <row r="793" spans="1:14" x14ac:dyDescent="0.25">
      <c r="A793">
        <v>422.70362399999999</v>
      </c>
      <c r="B793" s="1">
        <f>DATE(2011,6,27) + TIME(16,53,13)</f>
        <v>40721.703622685185</v>
      </c>
      <c r="C793">
        <v>80</v>
      </c>
      <c r="D793">
        <v>79.895347595000004</v>
      </c>
      <c r="E793">
        <v>50</v>
      </c>
      <c r="F793">
        <v>44.624362945999998</v>
      </c>
      <c r="G793">
        <v>1366.4067382999999</v>
      </c>
      <c r="H793">
        <v>1357.7089844</v>
      </c>
      <c r="I793">
        <v>1303.4997559000001</v>
      </c>
      <c r="J793">
        <v>1292.4737548999999</v>
      </c>
      <c r="K793">
        <v>1375</v>
      </c>
      <c r="L793">
        <v>0</v>
      </c>
      <c r="M793">
        <v>0</v>
      </c>
      <c r="N793">
        <v>1375</v>
      </c>
    </row>
    <row r="794" spans="1:14" x14ac:dyDescent="0.25">
      <c r="A794">
        <v>423.81210700000003</v>
      </c>
      <c r="B794" s="1">
        <f>DATE(2011,6,28) + TIME(19,29,26)</f>
        <v>40722.812106481484</v>
      </c>
      <c r="C794">
        <v>80</v>
      </c>
      <c r="D794">
        <v>79.895385742000002</v>
      </c>
      <c r="E794">
        <v>50</v>
      </c>
      <c r="F794">
        <v>44.550434113000001</v>
      </c>
      <c r="G794">
        <v>1366.3570557</v>
      </c>
      <c r="H794">
        <v>1357.6676024999999</v>
      </c>
      <c r="I794">
        <v>1303.4665527</v>
      </c>
      <c r="J794">
        <v>1292.4301757999999</v>
      </c>
      <c r="K794">
        <v>1375</v>
      </c>
      <c r="L794">
        <v>0</v>
      </c>
      <c r="M794">
        <v>0</v>
      </c>
      <c r="N794">
        <v>1375</v>
      </c>
    </row>
    <row r="795" spans="1:14" x14ac:dyDescent="0.25">
      <c r="A795">
        <v>424.934056</v>
      </c>
      <c r="B795" s="1">
        <f>DATE(2011,6,29) + TIME(22,25,2)</f>
        <v>40723.934050925927</v>
      </c>
      <c r="C795">
        <v>80</v>
      </c>
      <c r="D795">
        <v>79.895423889</v>
      </c>
      <c r="E795">
        <v>50</v>
      </c>
      <c r="F795">
        <v>44.475784302000001</v>
      </c>
      <c r="G795">
        <v>1366.3076172000001</v>
      </c>
      <c r="H795">
        <v>1357.6265868999999</v>
      </c>
      <c r="I795">
        <v>1303.4324951000001</v>
      </c>
      <c r="J795">
        <v>1292.385376</v>
      </c>
      <c r="K795">
        <v>1375</v>
      </c>
      <c r="L795">
        <v>0</v>
      </c>
      <c r="M795">
        <v>0</v>
      </c>
      <c r="N795">
        <v>1375</v>
      </c>
    </row>
    <row r="796" spans="1:14" x14ac:dyDescent="0.25">
      <c r="A796">
        <v>426</v>
      </c>
      <c r="B796" s="1">
        <f>DATE(2011,7,1) + TIME(0,0,0)</f>
        <v>40725</v>
      </c>
      <c r="C796">
        <v>80</v>
      </c>
      <c r="D796">
        <v>79.895454407000003</v>
      </c>
      <c r="E796">
        <v>50</v>
      </c>
      <c r="F796">
        <v>44.403163910000004</v>
      </c>
      <c r="G796">
        <v>1366.2583007999999</v>
      </c>
      <c r="H796">
        <v>1357.5856934000001</v>
      </c>
      <c r="I796">
        <v>1303.3974608999999</v>
      </c>
      <c r="J796">
        <v>1292.3394774999999</v>
      </c>
      <c r="K796">
        <v>1375</v>
      </c>
      <c r="L796">
        <v>0</v>
      </c>
      <c r="M796">
        <v>0</v>
      </c>
      <c r="N796">
        <v>1375</v>
      </c>
    </row>
    <row r="797" spans="1:14" x14ac:dyDescent="0.25">
      <c r="A797">
        <v>426.000001</v>
      </c>
      <c r="B797" s="1">
        <f>DATE(2011,7,1) + TIME(0,0,0)</f>
        <v>40725</v>
      </c>
      <c r="C797">
        <v>80</v>
      </c>
      <c r="D797">
        <v>79.895484924000002</v>
      </c>
      <c r="E797">
        <v>50</v>
      </c>
      <c r="F797">
        <v>44.403141022</v>
      </c>
      <c r="G797">
        <v>1371.8513184000001</v>
      </c>
      <c r="H797">
        <v>1357.7717285000001</v>
      </c>
      <c r="I797">
        <v>1303.2210693</v>
      </c>
      <c r="J797">
        <v>1283.6903076000001</v>
      </c>
      <c r="K797">
        <v>2400</v>
      </c>
      <c r="L797">
        <v>0</v>
      </c>
      <c r="M797">
        <v>0</v>
      </c>
      <c r="N797">
        <v>2400</v>
      </c>
    </row>
    <row r="798" spans="1:14" x14ac:dyDescent="0.25">
      <c r="A798">
        <v>426.00000399999999</v>
      </c>
      <c r="B798" s="1">
        <f>DATE(2011,7,1) + TIME(0,0,0)</f>
        <v>40725</v>
      </c>
      <c r="C798">
        <v>80</v>
      </c>
      <c r="D798">
        <v>79.895553589000002</v>
      </c>
      <c r="E798">
        <v>50</v>
      </c>
      <c r="F798">
        <v>44.403083801000001</v>
      </c>
      <c r="G798">
        <v>1372.3217772999999</v>
      </c>
      <c r="H798">
        <v>1358.2419434000001</v>
      </c>
      <c r="I798">
        <v>1302.7441406</v>
      </c>
      <c r="J798">
        <v>1283.1889647999999</v>
      </c>
      <c r="K798">
        <v>2400</v>
      </c>
      <c r="L798">
        <v>0</v>
      </c>
      <c r="M798">
        <v>0</v>
      </c>
      <c r="N798">
        <v>2400</v>
      </c>
    </row>
    <row r="799" spans="1:14" x14ac:dyDescent="0.25">
      <c r="A799">
        <v>426.00001300000002</v>
      </c>
      <c r="B799" s="1">
        <f>DATE(2011,7,1) + TIME(0,0,1)</f>
        <v>40725.000011574077</v>
      </c>
      <c r="C799">
        <v>80</v>
      </c>
      <c r="D799">
        <v>79.895683289000004</v>
      </c>
      <c r="E799">
        <v>50</v>
      </c>
      <c r="F799">
        <v>44.402946471999996</v>
      </c>
      <c r="G799">
        <v>1373.2713623</v>
      </c>
      <c r="H799">
        <v>1359.1914062000001</v>
      </c>
      <c r="I799">
        <v>1301.6451416</v>
      </c>
      <c r="J799">
        <v>1282.0561522999999</v>
      </c>
      <c r="K799">
        <v>2400</v>
      </c>
      <c r="L799">
        <v>0</v>
      </c>
      <c r="M799">
        <v>0</v>
      </c>
      <c r="N799">
        <v>2400</v>
      </c>
    </row>
    <row r="800" spans="1:14" x14ac:dyDescent="0.25">
      <c r="A800">
        <v>426.00004000000001</v>
      </c>
      <c r="B800" s="1">
        <f>DATE(2011,7,1) + TIME(0,0,3)</f>
        <v>40725.000034722223</v>
      </c>
      <c r="C800">
        <v>80</v>
      </c>
      <c r="D800">
        <v>79.895881653000004</v>
      </c>
      <c r="E800">
        <v>50</v>
      </c>
      <c r="F800">
        <v>44.402709960999999</v>
      </c>
      <c r="G800">
        <v>1374.6580810999999</v>
      </c>
      <c r="H800">
        <v>1360.5784911999999</v>
      </c>
      <c r="I800">
        <v>1299.7458495999999</v>
      </c>
      <c r="J800">
        <v>1280.1431885</v>
      </c>
      <c r="K800">
        <v>2400</v>
      </c>
      <c r="L800">
        <v>0</v>
      </c>
      <c r="M800">
        <v>0</v>
      </c>
      <c r="N800">
        <v>2400</v>
      </c>
    </row>
    <row r="801" spans="1:14" x14ac:dyDescent="0.25">
      <c r="A801">
        <v>426.00012099999998</v>
      </c>
      <c r="B801" s="1">
        <f>DATE(2011,7,1) + TIME(0,0,10)</f>
        <v>40725.000115740739</v>
      </c>
      <c r="C801">
        <v>80</v>
      </c>
      <c r="D801">
        <v>79.896110535000005</v>
      </c>
      <c r="E801">
        <v>50</v>
      </c>
      <c r="F801">
        <v>44.402404785000002</v>
      </c>
      <c r="G801">
        <v>1376.2037353999999</v>
      </c>
      <c r="H801">
        <v>1362.1242675999999</v>
      </c>
      <c r="I801">
        <v>1297.3710937999999</v>
      </c>
      <c r="J801">
        <v>1277.7845459</v>
      </c>
      <c r="K801">
        <v>2400</v>
      </c>
      <c r="L801">
        <v>0</v>
      </c>
      <c r="M801">
        <v>0</v>
      </c>
      <c r="N801">
        <v>2400</v>
      </c>
    </row>
    <row r="802" spans="1:14" x14ac:dyDescent="0.25">
      <c r="A802">
        <v>426.00036399999999</v>
      </c>
      <c r="B802" s="1">
        <f>DATE(2011,7,1) + TIME(0,0,31)</f>
        <v>40725.000358796293</v>
      </c>
      <c r="C802">
        <v>80</v>
      </c>
      <c r="D802">
        <v>79.896347046000002</v>
      </c>
      <c r="E802">
        <v>50</v>
      </c>
      <c r="F802">
        <v>44.402057648000003</v>
      </c>
      <c r="G802">
        <v>1377.8024902</v>
      </c>
      <c r="H802">
        <v>1363.7113036999999</v>
      </c>
      <c r="I802">
        <v>1294.8979492000001</v>
      </c>
      <c r="J802">
        <v>1275.3327637</v>
      </c>
      <c r="K802">
        <v>2400</v>
      </c>
      <c r="L802">
        <v>0</v>
      </c>
      <c r="M802">
        <v>0</v>
      </c>
      <c r="N802">
        <v>2400</v>
      </c>
    </row>
    <row r="803" spans="1:14" x14ac:dyDescent="0.25">
      <c r="A803">
        <v>426.00109300000003</v>
      </c>
      <c r="B803" s="1">
        <f>DATE(2011,7,1) + TIME(0,1,34)</f>
        <v>40725.001087962963</v>
      </c>
      <c r="C803">
        <v>80</v>
      </c>
      <c r="D803">
        <v>79.896636963000006</v>
      </c>
      <c r="E803">
        <v>50</v>
      </c>
      <c r="F803">
        <v>44.401618958</v>
      </c>
      <c r="G803">
        <v>1379.6241454999999</v>
      </c>
      <c r="H803">
        <v>1365.4921875</v>
      </c>
      <c r="I803">
        <v>1292.3636475000001</v>
      </c>
      <c r="J803">
        <v>1272.8105469</v>
      </c>
      <c r="K803">
        <v>2400</v>
      </c>
      <c r="L803">
        <v>0</v>
      </c>
      <c r="M803">
        <v>0</v>
      </c>
      <c r="N803">
        <v>2400</v>
      </c>
    </row>
    <row r="804" spans="1:14" x14ac:dyDescent="0.25">
      <c r="A804">
        <v>426.00328000000002</v>
      </c>
      <c r="B804" s="1">
        <f>DATE(2011,7,1) + TIME(0,4,43)</f>
        <v>40725.003275462965</v>
      </c>
      <c r="C804">
        <v>80</v>
      </c>
      <c r="D804">
        <v>79.897079468000001</v>
      </c>
      <c r="E804">
        <v>50</v>
      </c>
      <c r="F804">
        <v>44.400890349999997</v>
      </c>
      <c r="G804">
        <v>1381.9587402</v>
      </c>
      <c r="H804">
        <v>1367.7703856999999</v>
      </c>
      <c r="I804">
        <v>1289.6081543</v>
      </c>
      <c r="J804">
        <v>1270.0529785000001</v>
      </c>
      <c r="K804">
        <v>2400</v>
      </c>
      <c r="L804">
        <v>0</v>
      </c>
      <c r="M804">
        <v>0</v>
      </c>
      <c r="N804">
        <v>2400</v>
      </c>
    </row>
    <row r="805" spans="1:14" x14ac:dyDescent="0.25">
      <c r="A805">
        <v>426.00984099999999</v>
      </c>
      <c r="B805" s="1">
        <f>DATE(2011,7,1) + TIME(0,14,10)</f>
        <v>40725.009837962964</v>
      </c>
      <c r="C805">
        <v>80</v>
      </c>
      <c r="D805">
        <v>79.897827148000005</v>
      </c>
      <c r="E805">
        <v>50</v>
      </c>
      <c r="F805">
        <v>44.399360657000003</v>
      </c>
      <c r="G805">
        <v>1384.7889404</v>
      </c>
      <c r="H805">
        <v>1370.5579834</v>
      </c>
      <c r="I805">
        <v>1286.6040039</v>
      </c>
      <c r="J805">
        <v>1267.0390625</v>
      </c>
      <c r="K805">
        <v>2400</v>
      </c>
      <c r="L805">
        <v>0</v>
      </c>
      <c r="M805">
        <v>0</v>
      </c>
      <c r="N805">
        <v>2400</v>
      </c>
    </row>
    <row r="806" spans="1:14" x14ac:dyDescent="0.25">
      <c r="A806">
        <v>426.02952399999998</v>
      </c>
      <c r="B806" s="1">
        <f>DATE(2011,7,1) + TIME(0,42,30)</f>
        <v>40725.029513888891</v>
      </c>
      <c r="C806">
        <v>80</v>
      </c>
      <c r="D806">
        <v>79.899200438999998</v>
      </c>
      <c r="E806">
        <v>50</v>
      </c>
      <c r="F806">
        <v>44.395622252999999</v>
      </c>
      <c r="G806">
        <v>1387.3758545000001</v>
      </c>
      <c r="H806">
        <v>1373.1231689000001</v>
      </c>
      <c r="I806">
        <v>1284.0220947</v>
      </c>
      <c r="J806">
        <v>1264.4482422000001</v>
      </c>
      <c r="K806">
        <v>2400</v>
      </c>
      <c r="L806">
        <v>0</v>
      </c>
      <c r="M806">
        <v>0</v>
      </c>
      <c r="N806">
        <v>2400</v>
      </c>
    </row>
    <row r="807" spans="1:14" x14ac:dyDescent="0.25">
      <c r="A807">
        <v>426.088573</v>
      </c>
      <c r="B807" s="1">
        <f>DATE(2011,7,1) + TIME(2,7,32)</f>
        <v>40725.088564814818</v>
      </c>
      <c r="C807">
        <v>80</v>
      </c>
      <c r="D807">
        <v>79.902206421000002</v>
      </c>
      <c r="E807">
        <v>50</v>
      </c>
      <c r="F807">
        <v>44.385704040999997</v>
      </c>
      <c r="G807">
        <v>1388.8378906</v>
      </c>
      <c r="H807">
        <v>1374.5777588000001</v>
      </c>
      <c r="I807">
        <v>1282.7596435999999</v>
      </c>
      <c r="J807">
        <v>1263.1795654</v>
      </c>
      <c r="K807">
        <v>2400</v>
      </c>
      <c r="L807">
        <v>0</v>
      </c>
      <c r="M807">
        <v>0</v>
      </c>
      <c r="N807">
        <v>2400</v>
      </c>
    </row>
    <row r="808" spans="1:14" x14ac:dyDescent="0.25">
      <c r="A808">
        <v>426.26571999999999</v>
      </c>
      <c r="B808" s="1">
        <f>DATE(2011,7,1) + TIME(6,22,38)</f>
        <v>40725.265717592592</v>
      </c>
      <c r="C808">
        <v>80</v>
      </c>
      <c r="D808">
        <v>79.908996582</v>
      </c>
      <c r="E808">
        <v>50</v>
      </c>
      <c r="F808">
        <v>44.360195160000004</v>
      </c>
      <c r="G808">
        <v>1389.2519531</v>
      </c>
      <c r="H808">
        <v>1374.9914550999999</v>
      </c>
      <c r="I808">
        <v>1282.519043</v>
      </c>
      <c r="J808">
        <v>1262.9307861</v>
      </c>
      <c r="K808">
        <v>2400</v>
      </c>
      <c r="L808">
        <v>0</v>
      </c>
      <c r="M808">
        <v>0</v>
      </c>
      <c r="N808">
        <v>2400</v>
      </c>
    </row>
    <row r="809" spans="1:14" x14ac:dyDescent="0.25">
      <c r="A809">
        <v>426.79716100000002</v>
      </c>
      <c r="B809" s="1">
        <f>DATE(2011,7,1) + TIME(19,7,54)</f>
        <v>40725.797152777777</v>
      </c>
      <c r="C809">
        <v>80</v>
      </c>
      <c r="D809">
        <v>79.920631408999995</v>
      </c>
      <c r="E809">
        <v>50</v>
      </c>
      <c r="F809">
        <v>44.305469512999998</v>
      </c>
      <c r="G809">
        <v>1389.2830810999999</v>
      </c>
      <c r="H809">
        <v>1375.026001</v>
      </c>
      <c r="I809">
        <v>1282.4976807</v>
      </c>
      <c r="J809">
        <v>1262.8930664</v>
      </c>
      <c r="K809">
        <v>2400</v>
      </c>
      <c r="L809">
        <v>0</v>
      </c>
      <c r="M809">
        <v>0</v>
      </c>
      <c r="N809">
        <v>2400</v>
      </c>
    </row>
    <row r="810" spans="1:14" x14ac:dyDescent="0.25">
      <c r="A810">
        <v>427.42537800000002</v>
      </c>
      <c r="B810" s="1">
        <f>DATE(2011,7,2) + TIME(10,12,32)</f>
        <v>40726.425370370373</v>
      </c>
      <c r="C810">
        <v>80</v>
      </c>
      <c r="D810">
        <v>79.927986145000006</v>
      </c>
      <c r="E810">
        <v>50</v>
      </c>
      <c r="F810">
        <v>44.245517731</v>
      </c>
      <c r="G810">
        <v>1389.2163086</v>
      </c>
      <c r="H810">
        <v>1374.9680175999999</v>
      </c>
      <c r="I810">
        <v>1282.4517822</v>
      </c>
      <c r="J810">
        <v>1262.8288574000001</v>
      </c>
      <c r="K810">
        <v>2400</v>
      </c>
      <c r="L810">
        <v>0</v>
      </c>
      <c r="M810">
        <v>0</v>
      </c>
      <c r="N810">
        <v>2400</v>
      </c>
    </row>
    <row r="811" spans="1:14" x14ac:dyDescent="0.25">
      <c r="A811">
        <v>428.05912999999998</v>
      </c>
      <c r="B811" s="1">
        <f>DATE(2011,7,3) + TIME(1,25,8)</f>
        <v>40727.059120370373</v>
      </c>
      <c r="C811">
        <v>80</v>
      </c>
      <c r="D811">
        <v>79.931945800999998</v>
      </c>
      <c r="E811">
        <v>50</v>
      </c>
      <c r="F811">
        <v>44.184009551999999</v>
      </c>
      <c r="G811">
        <v>1389.1348877</v>
      </c>
      <c r="H811">
        <v>1374.8967285000001</v>
      </c>
      <c r="I811">
        <v>1282.3955077999999</v>
      </c>
      <c r="J811">
        <v>1262.753418</v>
      </c>
      <c r="K811">
        <v>2400</v>
      </c>
      <c r="L811">
        <v>0</v>
      </c>
      <c r="M811">
        <v>0</v>
      </c>
      <c r="N811">
        <v>2400</v>
      </c>
    </row>
    <row r="812" spans="1:14" x14ac:dyDescent="0.25">
      <c r="A812">
        <v>428.69553100000002</v>
      </c>
      <c r="B812" s="1">
        <f>DATE(2011,7,3) + TIME(16,41,33)</f>
        <v>40727.695520833331</v>
      </c>
      <c r="C812">
        <v>80</v>
      </c>
      <c r="D812">
        <v>79.934074401999993</v>
      </c>
      <c r="E812">
        <v>50</v>
      </c>
      <c r="F812">
        <v>44.121417999000002</v>
      </c>
      <c r="G812">
        <v>1389.0539550999999</v>
      </c>
      <c r="H812">
        <v>1374.8258057</v>
      </c>
      <c r="I812">
        <v>1282.3375243999999</v>
      </c>
      <c r="J812">
        <v>1262.6755370999999</v>
      </c>
      <c r="K812">
        <v>2400</v>
      </c>
      <c r="L812">
        <v>0</v>
      </c>
      <c r="M812">
        <v>0</v>
      </c>
      <c r="N812">
        <v>2400</v>
      </c>
    </row>
    <row r="813" spans="1:14" x14ac:dyDescent="0.25">
      <c r="A813">
        <v>429.33603199999999</v>
      </c>
      <c r="B813" s="1">
        <f>DATE(2011,7,4) + TIME(8,3,53)</f>
        <v>40728.336030092592</v>
      </c>
      <c r="C813">
        <v>80</v>
      </c>
      <c r="D813">
        <v>79.935218810999999</v>
      </c>
      <c r="E813">
        <v>50</v>
      </c>
      <c r="F813">
        <v>44.057868958</v>
      </c>
      <c r="G813">
        <v>1388.9738769999999</v>
      </c>
      <c r="H813">
        <v>1374.7556152</v>
      </c>
      <c r="I813">
        <v>1282.2784423999999</v>
      </c>
      <c r="J813">
        <v>1262.5955810999999</v>
      </c>
      <c r="K813">
        <v>2400</v>
      </c>
      <c r="L813">
        <v>0</v>
      </c>
      <c r="M813">
        <v>0</v>
      </c>
      <c r="N813">
        <v>2400</v>
      </c>
    </row>
    <row r="814" spans="1:14" x14ac:dyDescent="0.25">
      <c r="A814">
        <v>429.98187200000001</v>
      </c>
      <c r="B814" s="1">
        <f>DATE(2011,7,4) + TIME(23,33,53)</f>
        <v>40728.981863425928</v>
      </c>
      <c r="C814">
        <v>80</v>
      </c>
      <c r="D814">
        <v>79.935829162999994</v>
      </c>
      <c r="E814">
        <v>50</v>
      </c>
      <c r="F814">
        <v>43.993385314999998</v>
      </c>
      <c r="G814">
        <v>1388.8946533000001</v>
      </c>
      <c r="H814">
        <v>1374.6861572</v>
      </c>
      <c r="I814">
        <v>1282.2181396000001</v>
      </c>
      <c r="J814">
        <v>1262.5135498</v>
      </c>
      <c r="K814">
        <v>2400</v>
      </c>
      <c r="L814">
        <v>0</v>
      </c>
      <c r="M814">
        <v>0</v>
      </c>
      <c r="N814">
        <v>2400</v>
      </c>
    </row>
    <row r="815" spans="1:14" x14ac:dyDescent="0.25">
      <c r="A815">
        <v>430.63446800000003</v>
      </c>
      <c r="B815" s="1">
        <f>DATE(2011,7,5) + TIME(15,13,38)</f>
        <v>40729.634467592594</v>
      </c>
      <c r="C815">
        <v>80</v>
      </c>
      <c r="D815">
        <v>79.936164856000005</v>
      </c>
      <c r="E815">
        <v>50</v>
      </c>
      <c r="F815">
        <v>43.927906036000003</v>
      </c>
      <c r="G815">
        <v>1388.815918</v>
      </c>
      <c r="H815">
        <v>1374.6171875</v>
      </c>
      <c r="I815">
        <v>1282.1563721</v>
      </c>
      <c r="J815">
        <v>1262.4293213000001</v>
      </c>
      <c r="K815">
        <v>2400</v>
      </c>
      <c r="L815">
        <v>0</v>
      </c>
      <c r="M815">
        <v>0</v>
      </c>
      <c r="N815">
        <v>2400</v>
      </c>
    </row>
    <row r="816" spans="1:14" x14ac:dyDescent="0.25">
      <c r="A816">
        <v>431.29510699999997</v>
      </c>
      <c r="B816" s="1">
        <f>DATE(2011,7,6) + TIME(7,4,57)</f>
        <v>40730.295104166667</v>
      </c>
      <c r="C816">
        <v>80</v>
      </c>
      <c r="D816">
        <v>79.936355590999995</v>
      </c>
      <c r="E816">
        <v>50</v>
      </c>
      <c r="F816">
        <v>43.861328125</v>
      </c>
      <c r="G816">
        <v>1388.7374268000001</v>
      </c>
      <c r="H816">
        <v>1374.5485839999999</v>
      </c>
      <c r="I816">
        <v>1282.0930175999999</v>
      </c>
      <c r="J816">
        <v>1262.3425293</v>
      </c>
      <c r="K816">
        <v>2400</v>
      </c>
      <c r="L816">
        <v>0</v>
      </c>
      <c r="M816">
        <v>0</v>
      </c>
      <c r="N816">
        <v>2400</v>
      </c>
    </row>
    <row r="817" spans="1:14" x14ac:dyDescent="0.25">
      <c r="A817">
        <v>431.96462200000002</v>
      </c>
      <c r="B817" s="1">
        <f>DATE(2011,7,6) + TIME(23,9,3)</f>
        <v>40730.964618055557</v>
      </c>
      <c r="C817">
        <v>80</v>
      </c>
      <c r="D817">
        <v>79.936454772999994</v>
      </c>
      <c r="E817">
        <v>50</v>
      </c>
      <c r="F817">
        <v>43.793548584</v>
      </c>
      <c r="G817">
        <v>1388.6593018000001</v>
      </c>
      <c r="H817">
        <v>1374.4801024999999</v>
      </c>
      <c r="I817">
        <v>1282.0279541</v>
      </c>
      <c r="J817">
        <v>1262.2531738</v>
      </c>
      <c r="K817">
        <v>2400</v>
      </c>
      <c r="L817">
        <v>0</v>
      </c>
      <c r="M817">
        <v>0</v>
      </c>
      <c r="N817">
        <v>2400</v>
      </c>
    </row>
    <row r="818" spans="1:14" x14ac:dyDescent="0.25">
      <c r="A818">
        <v>432.64352100000002</v>
      </c>
      <c r="B818" s="1">
        <f>DATE(2011,7,7) + TIME(15,26,40)</f>
        <v>40731.643518518518</v>
      </c>
      <c r="C818">
        <v>80</v>
      </c>
      <c r="D818">
        <v>79.936515807999996</v>
      </c>
      <c r="E818">
        <v>50</v>
      </c>
      <c r="F818">
        <v>43.724468231000003</v>
      </c>
      <c r="G818">
        <v>1388.5812988</v>
      </c>
      <c r="H818">
        <v>1374.4117432</v>
      </c>
      <c r="I818">
        <v>1281.9609375</v>
      </c>
      <c r="J818">
        <v>1262.1610106999999</v>
      </c>
      <c r="K818">
        <v>2400</v>
      </c>
      <c r="L818">
        <v>0</v>
      </c>
      <c r="M818">
        <v>0</v>
      </c>
      <c r="N818">
        <v>2400</v>
      </c>
    </row>
    <row r="819" spans="1:14" x14ac:dyDescent="0.25">
      <c r="A819">
        <v>433.333234</v>
      </c>
      <c r="B819" s="1">
        <f>DATE(2011,7,8) + TIME(7,59,51)</f>
        <v>40732.333229166667</v>
      </c>
      <c r="C819">
        <v>80</v>
      </c>
      <c r="D819">
        <v>79.936553954999994</v>
      </c>
      <c r="E819">
        <v>50</v>
      </c>
      <c r="F819">
        <v>43.653942108000003</v>
      </c>
      <c r="G819">
        <v>1388.5032959</v>
      </c>
      <c r="H819">
        <v>1374.3433838000001</v>
      </c>
      <c r="I819">
        <v>1281.8920897999999</v>
      </c>
      <c r="J819">
        <v>1262.0657959</v>
      </c>
      <c r="K819">
        <v>2400</v>
      </c>
      <c r="L819">
        <v>0</v>
      </c>
      <c r="M819">
        <v>0</v>
      </c>
      <c r="N819">
        <v>2400</v>
      </c>
    </row>
    <row r="820" spans="1:14" x14ac:dyDescent="0.25">
      <c r="A820">
        <v>434.03526499999998</v>
      </c>
      <c r="B820" s="1">
        <f>DATE(2011,7,9) + TIME(0,50,46)</f>
        <v>40733.035254629627</v>
      </c>
      <c r="C820">
        <v>80</v>
      </c>
      <c r="D820">
        <v>79.936576842999997</v>
      </c>
      <c r="E820">
        <v>50</v>
      </c>
      <c r="F820">
        <v>43.581798552999999</v>
      </c>
      <c r="G820">
        <v>1388.4251709</v>
      </c>
      <c r="H820">
        <v>1374.2749022999999</v>
      </c>
      <c r="I820">
        <v>1281.8211670000001</v>
      </c>
      <c r="J820">
        <v>1261.9674072</v>
      </c>
      <c r="K820">
        <v>2400</v>
      </c>
      <c r="L820">
        <v>0</v>
      </c>
      <c r="M820">
        <v>0</v>
      </c>
      <c r="N820">
        <v>2400</v>
      </c>
    </row>
    <row r="821" spans="1:14" x14ac:dyDescent="0.25">
      <c r="A821">
        <v>434.75124099999999</v>
      </c>
      <c r="B821" s="1">
        <f>DATE(2011,7,9) + TIME(18,1,47)</f>
        <v>40733.751238425924</v>
      </c>
      <c r="C821">
        <v>80</v>
      </c>
      <c r="D821">
        <v>79.936592102000006</v>
      </c>
      <c r="E821">
        <v>50</v>
      </c>
      <c r="F821">
        <v>43.507831572999997</v>
      </c>
      <c r="G821">
        <v>1388.3468018000001</v>
      </c>
      <c r="H821">
        <v>1374.2062988</v>
      </c>
      <c r="I821">
        <v>1281.7478027</v>
      </c>
      <c r="J821">
        <v>1261.8654785000001</v>
      </c>
      <c r="K821">
        <v>2400</v>
      </c>
      <c r="L821">
        <v>0</v>
      </c>
      <c r="M821">
        <v>0</v>
      </c>
      <c r="N821">
        <v>2400</v>
      </c>
    </row>
    <row r="822" spans="1:14" x14ac:dyDescent="0.25">
      <c r="A822">
        <v>435.47865300000001</v>
      </c>
      <c r="B822" s="1">
        <f>DATE(2011,7,10) + TIME(11,29,15)</f>
        <v>40734.478645833333</v>
      </c>
      <c r="C822">
        <v>80</v>
      </c>
      <c r="D822">
        <v>79.936607361</v>
      </c>
      <c r="E822">
        <v>50</v>
      </c>
      <c r="F822">
        <v>43.432067871000001</v>
      </c>
      <c r="G822">
        <v>1388.2680664</v>
      </c>
      <c r="H822">
        <v>1374.1373291</v>
      </c>
      <c r="I822">
        <v>1281.671875</v>
      </c>
      <c r="J822">
        <v>1261.7596435999999</v>
      </c>
      <c r="K822">
        <v>2400</v>
      </c>
      <c r="L822">
        <v>0</v>
      </c>
      <c r="M822">
        <v>0</v>
      </c>
      <c r="N822">
        <v>2400</v>
      </c>
    </row>
    <row r="823" spans="1:14" x14ac:dyDescent="0.25">
      <c r="A823">
        <v>436.20987200000002</v>
      </c>
      <c r="B823" s="1">
        <f>DATE(2011,7,11) + TIME(5,2,12)</f>
        <v>40735.209861111114</v>
      </c>
      <c r="C823">
        <v>80</v>
      </c>
      <c r="D823">
        <v>79.936622619999994</v>
      </c>
      <c r="E823">
        <v>50</v>
      </c>
      <c r="F823">
        <v>43.354915619000003</v>
      </c>
      <c r="G823">
        <v>1388.1892089999999</v>
      </c>
      <c r="H823">
        <v>1374.0682373</v>
      </c>
      <c r="I823">
        <v>1281.5936279</v>
      </c>
      <c r="J823">
        <v>1261.6503906</v>
      </c>
      <c r="K823">
        <v>2400</v>
      </c>
      <c r="L823">
        <v>0</v>
      </c>
      <c r="M823">
        <v>0</v>
      </c>
      <c r="N823">
        <v>2400</v>
      </c>
    </row>
    <row r="824" spans="1:14" x14ac:dyDescent="0.25">
      <c r="A824">
        <v>436.94641300000001</v>
      </c>
      <c r="B824" s="1">
        <f>DATE(2011,7,11) + TIME(22,42,50)</f>
        <v>40735.946412037039</v>
      </c>
      <c r="C824">
        <v>80</v>
      </c>
      <c r="D824">
        <v>79.936637877999999</v>
      </c>
      <c r="E824">
        <v>50</v>
      </c>
      <c r="F824">
        <v>43.276409149000003</v>
      </c>
      <c r="G824">
        <v>1388.1110839999999</v>
      </c>
      <c r="H824">
        <v>1373.9996338000001</v>
      </c>
      <c r="I824">
        <v>1281.5137939000001</v>
      </c>
      <c r="J824">
        <v>1261.5383300999999</v>
      </c>
      <c r="K824">
        <v>2400</v>
      </c>
      <c r="L824">
        <v>0</v>
      </c>
      <c r="M824">
        <v>0</v>
      </c>
      <c r="N824">
        <v>2400</v>
      </c>
    </row>
    <row r="825" spans="1:14" x14ac:dyDescent="0.25">
      <c r="A825">
        <v>437.68994700000002</v>
      </c>
      <c r="B825" s="1">
        <f>DATE(2011,7,12) + TIME(16,33,31)</f>
        <v>40736.689942129633</v>
      </c>
      <c r="C825">
        <v>80</v>
      </c>
      <c r="D825">
        <v>79.936645507999998</v>
      </c>
      <c r="E825">
        <v>50</v>
      </c>
      <c r="F825">
        <v>43.196464538999997</v>
      </c>
      <c r="G825">
        <v>1388.0334473</v>
      </c>
      <c r="H825">
        <v>1373.9316406</v>
      </c>
      <c r="I825">
        <v>1281.4321289</v>
      </c>
      <c r="J825">
        <v>1261.4233397999999</v>
      </c>
      <c r="K825">
        <v>2400</v>
      </c>
      <c r="L825">
        <v>0</v>
      </c>
      <c r="M825">
        <v>0</v>
      </c>
      <c r="N825">
        <v>2400</v>
      </c>
    </row>
    <row r="826" spans="1:14" x14ac:dyDescent="0.25">
      <c r="A826">
        <v>438.44169499999998</v>
      </c>
      <c r="B826" s="1">
        <f>DATE(2011,7,13) + TIME(10,36,2)</f>
        <v>40737.441689814812</v>
      </c>
      <c r="C826">
        <v>80</v>
      </c>
      <c r="D826">
        <v>79.936660767000006</v>
      </c>
      <c r="E826">
        <v>50</v>
      </c>
      <c r="F826">
        <v>43.114971161</v>
      </c>
      <c r="G826">
        <v>1387.9562988</v>
      </c>
      <c r="H826">
        <v>1373.8638916</v>
      </c>
      <c r="I826">
        <v>1281.3483887</v>
      </c>
      <c r="J826">
        <v>1261.3051757999999</v>
      </c>
      <c r="K826">
        <v>2400</v>
      </c>
      <c r="L826">
        <v>0</v>
      </c>
      <c r="M826">
        <v>0</v>
      </c>
      <c r="N826">
        <v>2400</v>
      </c>
    </row>
    <row r="827" spans="1:14" x14ac:dyDescent="0.25">
      <c r="A827">
        <v>439.20319499999999</v>
      </c>
      <c r="B827" s="1">
        <f>DATE(2011,7,14) + TIME(4,52,36)</f>
        <v>40738.203194444446</v>
      </c>
      <c r="C827">
        <v>80</v>
      </c>
      <c r="D827">
        <v>79.936676024999997</v>
      </c>
      <c r="E827">
        <v>50</v>
      </c>
      <c r="F827">
        <v>43.031745911000002</v>
      </c>
      <c r="G827">
        <v>1387.8792725000001</v>
      </c>
      <c r="H827">
        <v>1373.7963867000001</v>
      </c>
      <c r="I827">
        <v>1281.2626952999999</v>
      </c>
      <c r="J827">
        <v>1261.1835937999999</v>
      </c>
      <c r="K827">
        <v>2400</v>
      </c>
      <c r="L827">
        <v>0</v>
      </c>
      <c r="M827">
        <v>0</v>
      </c>
      <c r="N827">
        <v>2400</v>
      </c>
    </row>
    <row r="828" spans="1:14" x14ac:dyDescent="0.25">
      <c r="A828">
        <v>439.97203300000001</v>
      </c>
      <c r="B828" s="1">
        <f>DATE(2011,7,14) + TIME(23,19,43)</f>
        <v>40738.972025462965</v>
      </c>
      <c r="C828">
        <v>80</v>
      </c>
      <c r="D828">
        <v>79.936691284000005</v>
      </c>
      <c r="E828">
        <v>50</v>
      </c>
      <c r="F828">
        <v>42.946834564</v>
      </c>
      <c r="G828">
        <v>1387.8023682</v>
      </c>
      <c r="H828">
        <v>1373.7288818</v>
      </c>
      <c r="I828">
        <v>1281.1744385</v>
      </c>
      <c r="J828">
        <v>1261.0583495999999</v>
      </c>
      <c r="K828">
        <v>2400</v>
      </c>
      <c r="L828">
        <v>0</v>
      </c>
      <c r="M828">
        <v>0</v>
      </c>
      <c r="N828">
        <v>2400</v>
      </c>
    </row>
    <row r="829" spans="1:14" x14ac:dyDescent="0.25">
      <c r="A829">
        <v>440.74594500000001</v>
      </c>
      <c r="B829" s="1">
        <f>DATE(2011,7,15) + TIME(17,54,9)</f>
        <v>40739.745937500003</v>
      </c>
      <c r="C829">
        <v>80</v>
      </c>
      <c r="D829">
        <v>79.936706543</v>
      </c>
      <c r="E829">
        <v>50</v>
      </c>
      <c r="F829">
        <v>42.860347748000002</v>
      </c>
      <c r="G829">
        <v>1387.7258300999999</v>
      </c>
      <c r="H829">
        <v>1373.6616211</v>
      </c>
      <c r="I829">
        <v>1281.0841064000001</v>
      </c>
      <c r="J829">
        <v>1260.9296875</v>
      </c>
      <c r="K829">
        <v>2400</v>
      </c>
      <c r="L829">
        <v>0</v>
      </c>
      <c r="M829">
        <v>0</v>
      </c>
      <c r="N829">
        <v>2400</v>
      </c>
    </row>
    <row r="830" spans="1:14" x14ac:dyDescent="0.25">
      <c r="A830">
        <v>441.52686799999998</v>
      </c>
      <c r="B830" s="1">
        <f>DATE(2011,7,16) + TIME(12,38,41)</f>
        <v>40740.526863425926</v>
      </c>
      <c r="C830">
        <v>80</v>
      </c>
      <c r="D830">
        <v>79.936721801999994</v>
      </c>
      <c r="E830">
        <v>50</v>
      </c>
      <c r="F830">
        <v>42.772186279000003</v>
      </c>
      <c r="G830">
        <v>1387.6499022999999</v>
      </c>
      <c r="H830">
        <v>1373.5948486</v>
      </c>
      <c r="I830">
        <v>1280.9919434000001</v>
      </c>
      <c r="J830">
        <v>1260.7977295000001</v>
      </c>
      <c r="K830">
        <v>2400</v>
      </c>
      <c r="L830">
        <v>0</v>
      </c>
      <c r="M830">
        <v>0</v>
      </c>
      <c r="N830">
        <v>2400</v>
      </c>
    </row>
    <row r="831" spans="1:14" x14ac:dyDescent="0.25">
      <c r="A831">
        <v>442.31663900000001</v>
      </c>
      <c r="B831" s="1">
        <f>DATE(2011,7,17) + TIME(7,35,57)</f>
        <v>40741.316631944443</v>
      </c>
      <c r="C831">
        <v>80</v>
      </c>
      <c r="D831">
        <v>79.936737061000002</v>
      </c>
      <c r="E831">
        <v>50</v>
      </c>
      <c r="F831">
        <v>42.682178497000002</v>
      </c>
      <c r="G831">
        <v>1387.5742187999999</v>
      </c>
      <c r="H831">
        <v>1373.5284423999999</v>
      </c>
      <c r="I831">
        <v>1280.8975829999999</v>
      </c>
      <c r="J831">
        <v>1260.6623535000001</v>
      </c>
      <c r="K831">
        <v>2400</v>
      </c>
      <c r="L831">
        <v>0</v>
      </c>
      <c r="M831">
        <v>0</v>
      </c>
      <c r="N831">
        <v>2400</v>
      </c>
    </row>
    <row r="832" spans="1:14" x14ac:dyDescent="0.25">
      <c r="A832">
        <v>443.116578</v>
      </c>
      <c r="B832" s="1">
        <f>DATE(2011,7,18) + TIME(2,47,52)</f>
        <v>40742.116574074076</v>
      </c>
      <c r="C832">
        <v>80</v>
      </c>
      <c r="D832">
        <v>79.936752318999993</v>
      </c>
      <c r="E832">
        <v>50</v>
      </c>
      <c r="F832">
        <v>42.590137482000003</v>
      </c>
      <c r="G832">
        <v>1387.4987793</v>
      </c>
      <c r="H832">
        <v>1373.4620361</v>
      </c>
      <c r="I832">
        <v>1280.8007812000001</v>
      </c>
      <c r="J832">
        <v>1260.5229492000001</v>
      </c>
      <c r="K832">
        <v>2400</v>
      </c>
      <c r="L832">
        <v>0</v>
      </c>
      <c r="M832">
        <v>0</v>
      </c>
      <c r="N832">
        <v>2400</v>
      </c>
    </row>
    <row r="833" spans="1:14" x14ac:dyDescent="0.25">
      <c r="A833">
        <v>443.92831100000001</v>
      </c>
      <c r="B833" s="1">
        <f>DATE(2011,7,18) + TIME(22,16,46)</f>
        <v>40742.928310185183</v>
      </c>
      <c r="C833">
        <v>80</v>
      </c>
      <c r="D833">
        <v>79.936767578000001</v>
      </c>
      <c r="E833">
        <v>50</v>
      </c>
      <c r="F833">
        <v>42.495838165000002</v>
      </c>
      <c r="G833">
        <v>1387.4233397999999</v>
      </c>
      <c r="H833">
        <v>1373.3957519999999</v>
      </c>
      <c r="I833">
        <v>1280.7015381000001</v>
      </c>
      <c r="J833">
        <v>1260.3795166</v>
      </c>
      <c r="K833">
        <v>2400</v>
      </c>
      <c r="L833">
        <v>0</v>
      </c>
      <c r="M833">
        <v>0</v>
      </c>
      <c r="N833">
        <v>2400</v>
      </c>
    </row>
    <row r="834" spans="1:14" x14ac:dyDescent="0.25">
      <c r="A834">
        <v>444.75358699999998</v>
      </c>
      <c r="B834" s="1">
        <f>DATE(2011,7,19) + TIME(18,5,9)</f>
        <v>40743.753576388888</v>
      </c>
      <c r="C834">
        <v>80</v>
      </c>
      <c r="D834">
        <v>79.936790466000005</v>
      </c>
      <c r="E834">
        <v>50</v>
      </c>
      <c r="F834">
        <v>42.399028778000002</v>
      </c>
      <c r="G834">
        <v>1387.3479004000001</v>
      </c>
      <c r="H834">
        <v>1373.3293457</v>
      </c>
      <c r="I834">
        <v>1280.5993652</v>
      </c>
      <c r="J834">
        <v>1260.2314452999999</v>
      </c>
      <c r="K834">
        <v>2400</v>
      </c>
      <c r="L834">
        <v>0</v>
      </c>
      <c r="M834">
        <v>0</v>
      </c>
      <c r="N834">
        <v>2400</v>
      </c>
    </row>
    <row r="835" spans="1:14" x14ac:dyDescent="0.25">
      <c r="A835">
        <v>445.59427199999999</v>
      </c>
      <c r="B835" s="1">
        <f>DATE(2011,7,20) + TIME(14,15,45)</f>
        <v>40744.594270833331</v>
      </c>
      <c r="C835">
        <v>80</v>
      </c>
      <c r="D835">
        <v>79.936813353999995</v>
      </c>
      <c r="E835">
        <v>50</v>
      </c>
      <c r="F835">
        <v>42.299430846999996</v>
      </c>
      <c r="G835">
        <v>1387.2720947</v>
      </c>
      <c r="H835">
        <v>1373.2626952999999</v>
      </c>
      <c r="I835">
        <v>1280.4940185999999</v>
      </c>
      <c r="J835">
        <v>1260.0783690999999</v>
      </c>
      <c r="K835">
        <v>2400</v>
      </c>
      <c r="L835">
        <v>0</v>
      </c>
      <c r="M835">
        <v>0</v>
      </c>
      <c r="N835">
        <v>2400</v>
      </c>
    </row>
    <row r="836" spans="1:14" x14ac:dyDescent="0.25">
      <c r="A836">
        <v>446.44020699999999</v>
      </c>
      <c r="B836" s="1">
        <f>DATE(2011,7,21) + TIME(10,33,53)</f>
        <v>40745.440196759257</v>
      </c>
      <c r="C836">
        <v>80</v>
      </c>
      <c r="D836">
        <v>79.936828613000003</v>
      </c>
      <c r="E836">
        <v>50</v>
      </c>
      <c r="F836">
        <v>42.197490692000002</v>
      </c>
      <c r="G836">
        <v>1387.1960449000001</v>
      </c>
      <c r="H836">
        <v>1373.1956786999999</v>
      </c>
      <c r="I836">
        <v>1280.385376</v>
      </c>
      <c r="J836">
        <v>1259.9201660000001</v>
      </c>
      <c r="K836">
        <v>2400</v>
      </c>
      <c r="L836">
        <v>0</v>
      </c>
      <c r="M836">
        <v>0</v>
      </c>
      <c r="N836">
        <v>2400</v>
      </c>
    </row>
    <row r="837" spans="1:14" x14ac:dyDescent="0.25">
      <c r="A837">
        <v>447.29091699999998</v>
      </c>
      <c r="B837" s="1">
        <f>DATE(2011,7,22) + TIME(6,58,55)</f>
        <v>40746.290914351855</v>
      </c>
      <c r="C837">
        <v>80</v>
      </c>
      <c r="D837">
        <v>79.936851501000007</v>
      </c>
      <c r="E837">
        <v>50</v>
      </c>
      <c r="F837">
        <v>42.093406676999997</v>
      </c>
      <c r="G837">
        <v>1387.1204834</v>
      </c>
      <c r="H837">
        <v>1373.1291504000001</v>
      </c>
      <c r="I837">
        <v>1280.2745361</v>
      </c>
      <c r="J837">
        <v>1259.7581786999999</v>
      </c>
      <c r="K837">
        <v>2400</v>
      </c>
      <c r="L837">
        <v>0</v>
      </c>
      <c r="M837">
        <v>0</v>
      </c>
      <c r="N837">
        <v>2400</v>
      </c>
    </row>
    <row r="838" spans="1:14" x14ac:dyDescent="0.25">
      <c r="A838">
        <v>448.14814999999999</v>
      </c>
      <c r="B838" s="1">
        <f>DATE(2011,7,23) + TIME(3,33,20)</f>
        <v>40747.148148148146</v>
      </c>
      <c r="C838">
        <v>80</v>
      </c>
      <c r="D838">
        <v>79.93687439</v>
      </c>
      <c r="E838">
        <v>50</v>
      </c>
      <c r="F838">
        <v>41.987163543999998</v>
      </c>
      <c r="G838">
        <v>1387.0455322</v>
      </c>
      <c r="H838">
        <v>1373.0631103999999</v>
      </c>
      <c r="I838">
        <v>1280.1616211</v>
      </c>
      <c r="J838">
        <v>1259.5924072</v>
      </c>
      <c r="K838">
        <v>2400</v>
      </c>
      <c r="L838">
        <v>0</v>
      </c>
      <c r="M838">
        <v>0</v>
      </c>
      <c r="N838">
        <v>2400</v>
      </c>
    </row>
    <row r="839" spans="1:14" x14ac:dyDescent="0.25">
      <c r="A839">
        <v>449.01378699999998</v>
      </c>
      <c r="B839" s="1">
        <f>DATE(2011,7,24) + TIME(0,19,51)</f>
        <v>40748.013784722221</v>
      </c>
      <c r="C839">
        <v>80</v>
      </c>
      <c r="D839">
        <v>79.936897278000004</v>
      </c>
      <c r="E839">
        <v>50</v>
      </c>
      <c r="F839">
        <v>41.878597259999999</v>
      </c>
      <c r="G839">
        <v>1386.9709473</v>
      </c>
      <c r="H839">
        <v>1372.9973144999999</v>
      </c>
      <c r="I839">
        <v>1280.0463867000001</v>
      </c>
      <c r="J839">
        <v>1259.4226074000001</v>
      </c>
      <c r="K839">
        <v>2400</v>
      </c>
      <c r="L839">
        <v>0</v>
      </c>
      <c r="M839">
        <v>0</v>
      </c>
      <c r="N839">
        <v>2400</v>
      </c>
    </row>
    <row r="840" spans="1:14" x14ac:dyDescent="0.25">
      <c r="A840">
        <v>449.88927200000001</v>
      </c>
      <c r="B840" s="1">
        <f>DATE(2011,7,24) + TIME(21,20,33)</f>
        <v>40748.889270833337</v>
      </c>
      <c r="C840">
        <v>80</v>
      </c>
      <c r="D840">
        <v>79.936920165999993</v>
      </c>
      <c r="E840">
        <v>50</v>
      </c>
      <c r="F840">
        <v>41.767517089999998</v>
      </c>
      <c r="G840">
        <v>1386.8966064000001</v>
      </c>
      <c r="H840">
        <v>1372.9317627</v>
      </c>
      <c r="I840">
        <v>1279.9284668</v>
      </c>
      <c r="J840">
        <v>1259.2485352000001</v>
      </c>
      <c r="K840">
        <v>2400</v>
      </c>
      <c r="L840">
        <v>0</v>
      </c>
      <c r="M840">
        <v>0</v>
      </c>
      <c r="N840">
        <v>2400</v>
      </c>
    </row>
    <row r="841" spans="1:14" x14ac:dyDescent="0.25">
      <c r="A841">
        <v>450.77639199999999</v>
      </c>
      <c r="B841" s="1">
        <f>DATE(2011,7,25) + TIME(18,38,0)</f>
        <v>40749.776388888888</v>
      </c>
      <c r="C841">
        <v>80</v>
      </c>
      <c r="D841">
        <v>79.936943053999997</v>
      </c>
      <c r="E841">
        <v>50</v>
      </c>
      <c r="F841">
        <v>41.653671265</v>
      </c>
      <c r="G841">
        <v>1386.8225098</v>
      </c>
      <c r="H841">
        <v>1372.8663329999999</v>
      </c>
      <c r="I841">
        <v>1279.8077393000001</v>
      </c>
      <c r="J841">
        <v>1259.0695800999999</v>
      </c>
      <c r="K841">
        <v>2400</v>
      </c>
      <c r="L841">
        <v>0</v>
      </c>
      <c r="M841">
        <v>0</v>
      </c>
      <c r="N841">
        <v>2400</v>
      </c>
    </row>
    <row r="842" spans="1:14" x14ac:dyDescent="0.25">
      <c r="A842">
        <v>451.67703599999999</v>
      </c>
      <c r="B842" s="1">
        <f>DATE(2011,7,26) + TIME(16,14,55)</f>
        <v>40750.677025462966</v>
      </c>
      <c r="C842">
        <v>80</v>
      </c>
      <c r="D842">
        <v>79.936965942</v>
      </c>
      <c r="E842">
        <v>50</v>
      </c>
      <c r="F842">
        <v>41.536777495999999</v>
      </c>
      <c r="G842">
        <v>1386.7482910000001</v>
      </c>
      <c r="H842">
        <v>1372.8009033000001</v>
      </c>
      <c r="I842">
        <v>1279.684082</v>
      </c>
      <c r="J842">
        <v>1258.8854980000001</v>
      </c>
      <c r="K842">
        <v>2400</v>
      </c>
      <c r="L842">
        <v>0</v>
      </c>
      <c r="M842">
        <v>0</v>
      </c>
      <c r="N842">
        <v>2400</v>
      </c>
    </row>
    <row r="843" spans="1:14" x14ac:dyDescent="0.25">
      <c r="A843">
        <v>452.58732099999997</v>
      </c>
      <c r="B843" s="1">
        <f>DATE(2011,7,27) + TIME(14,5,44)</f>
        <v>40751.587314814817</v>
      </c>
      <c r="C843">
        <v>80</v>
      </c>
      <c r="D843">
        <v>79.936996460000003</v>
      </c>
      <c r="E843">
        <v>50</v>
      </c>
      <c r="F843">
        <v>41.416893004999999</v>
      </c>
      <c r="G843">
        <v>1386.6739502</v>
      </c>
      <c r="H843">
        <v>1372.7352295000001</v>
      </c>
      <c r="I843">
        <v>1279.5568848</v>
      </c>
      <c r="J843">
        <v>1258.6960449000001</v>
      </c>
      <c r="K843">
        <v>2400</v>
      </c>
      <c r="L843">
        <v>0</v>
      </c>
      <c r="M843">
        <v>0</v>
      </c>
      <c r="N843">
        <v>2400</v>
      </c>
    </row>
    <row r="844" spans="1:14" x14ac:dyDescent="0.25">
      <c r="A844">
        <v>453.50502999999998</v>
      </c>
      <c r="B844" s="1">
        <f>DATE(2011,7,28) + TIME(12,7,14)</f>
        <v>40752.505023148151</v>
      </c>
      <c r="C844">
        <v>80</v>
      </c>
      <c r="D844">
        <v>79.937019348000007</v>
      </c>
      <c r="E844">
        <v>50</v>
      </c>
      <c r="F844">
        <v>41.294178008999999</v>
      </c>
      <c r="G844">
        <v>1386.5997314000001</v>
      </c>
      <c r="H844">
        <v>1372.6696777</v>
      </c>
      <c r="I844">
        <v>1279.4268798999999</v>
      </c>
      <c r="J844">
        <v>1258.5015868999999</v>
      </c>
      <c r="K844">
        <v>2400</v>
      </c>
      <c r="L844">
        <v>0</v>
      </c>
      <c r="M844">
        <v>0</v>
      </c>
      <c r="N844">
        <v>2400</v>
      </c>
    </row>
    <row r="845" spans="1:14" x14ac:dyDescent="0.25">
      <c r="A845">
        <v>454.43310700000001</v>
      </c>
      <c r="B845" s="1">
        <f>DATE(2011,7,29) + TIME(10,23,40)</f>
        <v>40753.43310185185</v>
      </c>
      <c r="C845">
        <v>80</v>
      </c>
      <c r="D845">
        <v>79.937049865999995</v>
      </c>
      <c r="E845">
        <v>50</v>
      </c>
      <c r="F845">
        <v>41.168483733999999</v>
      </c>
      <c r="G845">
        <v>1386.5258789</v>
      </c>
      <c r="H845">
        <v>1372.6043701000001</v>
      </c>
      <c r="I845">
        <v>1279.2943115</v>
      </c>
      <c r="J845">
        <v>1258.3024902</v>
      </c>
      <c r="K845">
        <v>2400</v>
      </c>
      <c r="L845">
        <v>0</v>
      </c>
      <c r="M845">
        <v>0</v>
      </c>
      <c r="N845">
        <v>2400</v>
      </c>
    </row>
    <row r="846" spans="1:14" x14ac:dyDescent="0.25">
      <c r="A846">
        <v>455.37327900000003</v>
      </c>
      <c r="B846" s="1">
        <f>DATE(2011,7,30) + TIME(8,57,31)</f>
        <v>40754.37327546296</v>
      </c>
      <c r="C846">
        <v>80</v>
      </c>
      <c r="D846">
        <v>79.937080382999994</v>
      </c>
      <c r="E846">
        <v>50</v>
      </c>
      <c r="F846">
        <v>41.039588928000001</v>
      </c>
      <c r="G846">
        <v>1386.4521483999999</v>
      </c>
      <c r="H846">
        <v>1372.5391846</v>
      </c>
      <c r="I846">
        <v>1279.1586914</v>
      </c>
      <c r="J846">
        <v>1258.0982666</v>
      </c>
      <c r="K846">
        <v>2400</v>
      </c>
      <c r="L846">
        <v>0</v>
      </c>
      <c r="M846">
        <v>0</v>
      </c>
      <c r="N846">
        <v>2400</v>
      </c>
    </row>
    <row r="847" spans="1:14" x14ac:dyDescent="0.25">
      <c r="A847">
        <v>456.32739299999997</v>
      </c>
      <c r="B847" s="1">
        <f>DATE(2011,7,31) + TIME(7,51,26)</f>
        <v>40755.327384259261</v>
      </c>
      <c r="C847">
        <v>80</v>
      </c>
      <c r="D847">
        <v>79.937103270999998</v>
      </c>
      <c r="E847">
        <v>50</v>
      </c>
      <c r="F847">
        <v>40.907215118000003</v>
      </c>
      <c r="G847">
        <v>1386.378418</v>
      </c>
      <c r="H847">
        <v>1372.4738769999999</v>
      </c>
      <c r="I847">
        <v>1279.0198975000001</v>
      </c>
      <c r="J847">
        <v>1257.8884277</v>
      </c>
      <c r="K847">
        <v>2400</v>
      </c>
      <c r="L847">
        <v>0</v>
      </c>
      <c r="M847">
        <v>0</v>
      </c>
      <c r="N847">
        <v>2400</v>
      </c>
    </row>
    <row r="848" spans="1:14" x14ac:dyDescent="0.25">
      <c r="A848">
        <v>457.29107199999999</v>
      </c>
      <c r="B848" s="1">
        <f>DATE(2011,8,1) + TIME(6,59,8)</f>
        <v>40756.291064814817</v>
      </c>
      <c r="C848">
        <v>80</v>
      </c>
      <c r="D848">
        <v>79.937133789000001</v>
      </c>
      <c r="E848">
        <v>50</v>
      </c>
      <c r="F848">
        <v>40.771469115999999</v>
      </c>
      <c r="G848">
        <v>1386.3044434000001</v>
      </c>
      <c r="H848">
        <v>1372.4084473</v>
      </c>
      <c r="I848">
        <v>1278.8774414</v>
      </c>
      <c r="J848">
        <v>1257.6726074000001</v>
      </c>
      <c r="K848">
        <v>2400</v>
      </c>
      <c r="L848">
        <v>0</v>
      </c>
      <c r="M848">
        <v>0</v>
      </c>
      <c r="N848">
        <v>2400</v>
      </c>
    </row>
    <row r="849" spans="1:14" x14ac:dyDescent="0.25">
      <c r="A849">
        <v>458.26175699999999</v>
      </c>
      <c r="B849" s="1">
        <f>DATE(2011,8,2) + TIME(6,16,55)</f>
        <v>40757.261747685188</v>
      </c>
      <c r="C849">
        <v>80</v>
      </c>
      <c r="D849">
        <v>79.937164307000003</v>
      </c>
      <c r="E849">
        <v>50</v>
      </c>
      <c r="F849">
        <v>40.632575989000003</v>
      </c>
      <c r="G849">
        <v>1386.2307129000001</v>
      </c>
      <c r="H849">
        <v>1372.3431396000001</v>
      </c>
      <c r="I849">
        <v>1278.7321777</v>
      </c>
      <c r="J849">
        <v>1257.4516602000001</v>
      </c>
      <c r="K849">
        <v>2400</v>
      </c>
      <c r="L849">
        <v>0</v>
      </c>
      <c r="M849">
        <v>0</v>
      </c>
      <c r="N849">
        <v>2400</v>
      </c>
    </row>
    <row r="850" spans="1:14" x14ac:dyDescent="0.25">
      <c r="A850">
        <v>459.23703399999999</v>
      </c>
      <c r="B850" s="1">
        <f>DATE(2011,8,3) + TIME(5,41,19)</f>
        <v>40758.237025462964</v>
      </c>
      <c r="C850">
        <v>80</v>
      </c>
      <c r="D850">
        <v>79.937202454000001</v>
      </c>
      <c r="E850">
        <v>50</v>
      </c>
      <c r="F850">
        <v>40.490814209</v>
      </c>
      <c r="G850">
        <v>1386.1573486</v>
      </c>
      <c r="H850">
        <v>1372.2781981999999</v>
      </c>
      <c r="I850">
        <v>1278.5842285000001</v>
      </c>
      <c r="J850">
        <v>1257.2261963000001</v>
      </c>
      <c r="K850">
        <v>2400</v>
      </c>
      <c r="L850">
        <v>0</v>
      </c>
      <c r="M850">
        <v>0</v>
      </c>
      <c r="N850">
        <v>2400</v>
      </c>
    </row>
    <row r="851" spans="1:14" x14ac:dyDescent="0.25">
      <c r="A851">
        <v>460.219402</v>
      </c>
      <c r="B851" s="1">
        <f>DATE(2011,8,4) + TIME(5,15,56)</f>
        <v>40759.219398148147</v>
      </c>
      <c r="C851">
        <v>80</v>
      </c>
      <c r="D851">
        <v>79.937232971</v>
      </c>
      <c r="E851">
        <v>50</v>
      </c>
      <c r="F851">
        <v>40.346141815000003</v>
      </c>
      <c r="G851">
        <v>1386.0845947</v>
      </c>
      <c r="H851">
        <v>1372.2136230000001</v>
      </c>
      <c r="I851">
        <v>1278.434082</v>
      </c>
      <c r="J851">
        <v>1256.9963379000001</v>
      </c>
      <c r="K851">
        <v>2400</v>
      </c>
      <c r="L851">
        <v>0</v>
      </c>
      <c r="M851">
        <v>0</v>
      </c>
      <c r="N851">
        <v>2400</v>
      </c>
    </row>
    <row r="852" spans="1:14" x14ac:dyDescent="0.25">
      <c r="A852">
        <v>461.21113000000003</v>
      </c>
      <c r="B852" s="1">
        <f>DATE(2011,8,5) + TIME(5,4,1)</f>
        <v>40760.211122685185</v>
      </c>
      <c r="C852">
        <v>80</v>
      </c>
      <c r="D852">
        <v>79.937263489000003</v>
      </c>
      <c r="E852">
        <v>50</v>
      </c>
      <c r="F852">
        <v>40.198348998999997</v>
      </c>
      <c r="G852">
        <v>1386.0120850000001</v>
      </c>
      <c r="H852">
        <v>1372.1494141000001</v>
      </c>
      <c r="I852">
        <v>1278.2814940999999</v>
      </c>
      <c r="J852">
        <v>1256.7618408000001</v>
      </c>
      <c r="K852">
        <v>2400</v>
      </c>
      <c r="L852">
        <v>0</v>
      </c>
      <c r="M852">
        <v>0</v>
      </c>
      <c r="N852">
        <v>2400</v>
      </c>
    </row>
    <row r="853" spans="1:14" x14ac:dyDescent="0.25">
      <c r="A853">
        <v>462.21390000000002</v>
      </c>
      <c r="B853" s="1">
        <f>DATE(2011,8,6) + TIME(5,8,0)</f>
        <v>40761.213888888888</v>
      </c>
      <c r="C853">
        <v>80</v>
      </c>
      <c r="D853">
        <v>79.937294006000002</v>
      </c>
      <c r="E853">
        <v>50</v>
      </c>
      <c r="F853">
        <v>40.047168732000003</v>
      </c>
      <c r="G853">
        <v>1385.9398193</v>
      </c>
      <c r="H853">
        <v>1372.0852050999999</v>
      </c>
      <c r="I853">
        <v>1278.1260986</v>
      </c>
      <c r="J853">
        <v>1256.5222168</v>
      </c>
      <c r="K853">
        <v>2400</v>
      </c>
      <c r="L853">
        <v>0</v>
      </c>
      <c r="M853">
        <v>0</v>
      </c>
      <c r="N853">
        <v>2400</v>
      </c>
    </row>
    <row r="854" spans="1:14" x14ac:dyDescent="0.25">
      <c r="A854">
        <v>463.22966400000001</v>
      </c>
      <c r="B854" s="1">
        <f>DATE(2011,8,7) + TIME(5,30,42)</f>
        <v>40762.22965277778</v>
      </c>
      <c r="C854">
        <v>80</v>
      </c>
      <c r="D854">
        <v>79.937332153</v>
      </c>
      <c r="E854">
        <v>50</v>
      </c>
      <c r="F854">
        <v>39.892349242999998</v>
      </c>
      <c r="G854">
        <v>1385.8676757999999</v>
      </c>
      <c r="H854">
        <v>1372.0212402</v>
      </c>
      <c r="I854">
        <v>1277.9675293</v>
      </c>
      <c r="J854">
        <v>1256.2768555</v>
      </c>
      <c r="K854">
        <v>2400</v>
      </c>
      <c r="L854">
        <v>0</v>
      </c>
      <c r="M854">
        <v>0</v>
      </c>
      <c r="N854">
        <v>2400</v>
      </c>
    </row>
    <row r="855" spans="1:14" x14ac:dyDescent="0.25">
      <c r="A855">
        <v>464.26054499999998</v>
      </c>
      <c r="B855" s="1">
        <f>DATE(2011,8,8) + TIME(6,15,11)</f>
        <v>40763.26054398148</v>
      </c>
      <c r="C855">
        <v>80</v>
      </c>
      <c r="D855">
        <v>79.937370299999998</v>
      </c>
      <c r="E855">
        <v>50</v>
      </c>
      <c r="F855">
        <v>39.733543396000002</v>
      </c>
      <c r="G855">
        <v>1385.7954102000001</v>
      </c>
      <c r="H855">
        <v>1371.9570312000001</v>
      </c>
      <c r="I855">
        <v>1277.8056641000001</v>
      </c>
      <c r="J855">
        <v>1256.0256348</v>
      </c>
      <c r="K855">
        <v>2400</v>
      </c>
      <c r="L855">
        <v>0</v>
      </c>
      <c r="M855">
        <v>0</v>
      </c>
      <c r="N855">
        <v>2400</v>
      </c>
    </row>
    <row r="856" spans="1:14" x14ac:dyDescent="0.25">
      <c r="A856">
        <v>465.30627399999997</v>
      </c>
      <c r="B856" s="1">
        <f>DATE(2011,8,9) + TIME(7,21,2)</f>
        <v>40764.306273148148</v>
      </c>
      <c r="C856">
        <v>80</v>
      </c>
      <c r="D856">
        <v>79.937400818</v>
      </c>
      <c r="E856">
        <v>50</v>
      </c>
      <c r="F856">
        <v>39.570545197000001</v>
      </c>
      <c r="G856">
        <v>1385.7230225000001</v>
      </c>
      <c r="H856">
        <v>1371.8925781</v>
      </c>
      <c r="I856">
        <v>1277.6400146000001</v>
      </c>
      <c r="J856">
        <v>1255.7677002</v>
      </c>
      <c r="K856">
        <v>2400</v>
      </c>
      <c r="L856">
        <v>0</v>
      </c>
      <c r="M856">
        <v>0</v>
      </c>
      <c r="N856">
        <v>2400</v>
      </c>
    </row>
    <row r="857" spans="1:14" x14ac:dyDescent="0.25">
      <c r="A857">
        <v>466.365611</v>
      </c>
      <c r="B857" s="1">
        <f>DATE(2011,8,10) + TIME(8,46,28)</f>
        <v>40765.365601851852</v>
      </c>
      <c r="C857">
        <v>80</v>
      </c>
      <c r="D857">
        <v>79.937438964999998</v>
      </c>
      <c r="E857">
        <v>50</v>
      </c>
      <c r="F857">
        <v>39.403335571</v>
      </c>
      <c r="G857">
        <v>1385.6503906</v>
      </c>
      <c r="H857">
        <v>1371.8280029</v>
      </c>
      <c r="I857">
        <v>1277.4707031</v>
      </c>
      <c r="J857">
        <v>1255.5031738</v>
      </c>
      <c r="K857">
        <v>2400</v>
      </c>
      <c r="L857">
        <v>0</v>
      </c>
      <c r="M857">
        <v>0</v>
      </c>
      <c r="N857">
        <v>2400</v>
      </c>
    </row>
    <row r="858" spans="1:14" x14ac:dyDescent="0.25">
      <c r="A858">
        <v>467.42994399999998</v>
      </c>
      <c r="B858" s="1">
        <f>DATE(2011,8,11) + TIME(10,19,7)</f>
        <v>40766.429942129631</v>
      </c>
      <c r="C858">
        <v>80</v>
      </c>
      <c r="D858">
        <v>79.937477111999996</v>
      </c>
      <c r="E858">
        <v>50</v>
      </c>
      <c r="F858">
        <v>39.232517242</v>
      </c>
      <c r="G858">
        <v>1385.5776367000001</v>
      </c>
      <c r="H858">
        <v>1371.7633057</v>
      </c>
      <c r="I858">
        <v>1277.2979736</v>
      </c>
      <c r="J858">
        <v>1255.2326660000001</v>
      </c>
      <c r="K858">
        <v>2400</v>
      </c>
      <c r="L858">
        <v>0</v>
      </c>
      <c r="M858">
        <v>0</v>
      </c>
      <c r="N858">
        <v>2400</v>
      </c>
    </row>
    <row r="859" spans="1:14" x14ac:dyDescent="0.25">
      <c r="A859">
        <v>468.501396</v>
      </c>
      <c r="B859" s="1">
        <f>DATE(2011,8,12) + TIME(12,2,0)</f>
        <v>40767.501388888886</v>
      </c>
      <c r="C859">
        <v>80</v>
      </c>
      <c r="D859">
        <v>79.937515258999994</v>
      </c>
      <c r="E859">
        <v>50</v>
      </c>
      <c r="F859">
        <v>39.058368682999998</v>
      </c>
      <c r="G859">
        <v>1385.5053711</v>
      </c>
      <c r="H859">
        <v>1371.6989745999999</v>
      </c>
      <c r="I859">
        <v>1277.1231689000001</v>
      </c>
      <c r="J859">
        <v>1254.9576416</v>
      </c>
      <c r="K859">
        <v>2400</v>
      </c>
      <c r="L859">
        <v>0</v>
      </c>
      <c r="M859">
        <v>0</v>
      </c>
      <c r="N859">
        <v>2400</v>
      </c>
    </row>
    <row r="860" spans="1:14" x14ac:dyDescent="0.25">
      <c r="A860">
        <v>469.58236499999998</v>
      </c>
      <c r="B860" s="1">
        <f>DATE(2011,8,13) + TIME(13,58,36)</f>
        <v>40768.582361111112</v>
      </c>
      <c r="C860">
        <v>80</v>
      </c>
      <c r="D860">
        <v>79.937553406000006</v>
      </c>
      <c r="E860">
        <v>50</v>
      </c>
      <c r="F860">
        <v>38.880802154999998</v>
      </c>
      <c r="G860">
        <v>1385.4335937999999</v>
      </c>
      <c r="H860">
        <v>1371.6350098</v>
      </c>
      <c r="I860">
        <v>1276.9459228999999</v>
      </c>
      <c r="J860">
        <v>1254.6778564000001</v>
      </c>
      <c r="K860">
        <v>2400</v>
      </c>
      <c r="L860">
        <v>0</v>
      </c>
      <c r="M860">
        <v>0</v>
      </c>
      <c r="N860">
        <v>2400</v>
      </c>
    </row>
    <row r="861" spans="1:14" x14ac:dyDescent="0.25">
      <c r="A861">
        <v>470.674601</v>
      </c>
      <c r="B861" s="1">
        <f>DATE(2011,8,14) + TIME(16,11,25)</f>
        <v>40769.67459490741</v>
      </c>
      <c r="C861">
        <v>80</v>
      </c>
      <c r="D861">
        <v>79.937599182</v>
      </c>
      <c r="E861">
        <v>50</v>
      </c>
      <c r="F861">
        <v>38.699623107999997</v>
      </c>
      <c r="G861">
        <v>1385.3619385</v>
      </c>
      <c r="H861">
        <v>1371.5711670000001</v>
      </c>
      <c r="I861">
        <v>1276.7659911999999</v>
      </c>
      <c r="J861">
        <v>1254.3928223</v>
      </c>
      <c r="K861">
        <v>2400</v>
      </c>
      <c r="L861">
        <v>0</v>
      </c>
      <c r="M861">
        <v>0</v>
      </c>
      <c r="N861">
        <v>2400</v>
      </c>
    </row>
    <row r="862" spans="1:14" x14ac:dyDescent="0.25">
      <c r="A862">
        <v>471.778435</v>
      </c>
      <c r="B862" s="1">
        <f>DATE(2011,8,15) + TIME(18,40,56)</f>
        <v>40770.778425925928</v>
      </c>
      <c r="C862">
        <v>80</v>
      </c>
      <c r="D862">
        <v>79.937637328999998</v>
      </c>
      <c r="E862">
        <v>50</v>
      </c>
      <c r="F862">
        <v>38.514678955000001</v>
      </c>
      <c r="G862">
        <v>1385.2902832</v>
      </c>
      <c r="H862">
        <v>1371.5073242000001</v>
      </c>
      <c r="I862">
        <v>1276.5831298999999</v>
      </c>
      <c r="J862">
        <v>1254.1021728999999</v>
      </c>
      <c r="K862">
        <v>2400</v>
      </c>
      <c r="L862">
        <v>0</v>
      </c>
      <c r="M862">
        <v>0</v>
      </c>
      <c r="N862">
        <v>2400</v>
      </c>
    </row>
    <row r="863" spans="1:14" x14ac:dyDescent="0.25">
      <c r="A863">
        <v>472.88839100000001</v>
      </c>
      <c r="B863" s="1">
        <f>DATE(2011,8,16) + TIME(21,19,17)</f>
        <v>40771.888391203705</v>
      </c>
      <c r="C863">
        <v>80</v>
      </c>
      <c r="D863">
        <v>79.937675475999995</v>
      </c>
      <c r="E863">
        <v>50</v>
      </c>
      <c r="F863">
        <v>38.326332092000001</v>
      </c>
      <c r="G863">
        <v>1385.21875</v>
      </c>
      <c r="H863">
        <v>1371.4433594</v>
      </c>
      <c r="I863">
        <v>1276.3974608999999</v>
      </c>
      <c r="J863">
        <v>1253.8060303</v>
      </c>
      <c r="K863">
        <v>2400</v>
      </c>
      <c r="L863">
        <v>0</v>
      </c>
      <c r="M863">
        <v>0</v>
      </c>
      <c r="N863">
        <v>2400</v>
      </c>
    </row>
    <row r="864" spans="1:14" x14ac:dyDescent="0.25">
      <c r="A864">
        <v>474.00663500000002</v>
      </c>
      <c r="B864" s="1">
        <f>DATE(2011,8,18) + TIME(0,9,33)</f>
        <v>40773.006631944445</v>
      </c>
      <c r="C864">
        <v>80</v>
      </c>
      <c r="D864">
        <v>79.937721252000003</v>
      </c>
      <c r="E864">
        <v>50</v>
      </c>
      <c r="F864">
        <v>38.134681702000002</v>
      </c>
      <c r="G864">
        <v>1385.1475829999999</v>
      </c>
      <c r="H864">
        <v>1371.3798827999999</v>
      </c>
      <c r="I864">
        <v>1276.2097168</v>
      </c>
      <c r="J864">
        <v>1253.5053711</v>
      </c>
      <c r="K864">
        <v>2400</v>
      </c>
      <c r="L864">
        <v>0</v>
      </c>
      <c r="M864">
        <v>0</v>
      </c>
      <c r="N864">
        <v>2400</v>
      </c>
    </row>
    <row r="865" spans="1:14" x14ac:dyDescent="0.25">
      <c r="A865">
        <v>475.13648599999999</v>
      </c>
      <c r="B865" s="1">
        <f>DATE(2011,8,19) + TIME(3,16,32)</f>
        <v>40774.136481481481</v>
      </c>
      <c r="C865">
        <v>80</v>
      </c>
      <c r="D865">
        <v>79.937767029</v>
      </c>
      <c r="E865">
        <v>50</v>
      </c>
      <c r="F865">
        <v>37.939483643000003</v>
      </c>
      <c r="G865">
        <v>1385.0766602000001</v>
      </c>
      <c r="H865">
        <v>1371.3165283000001</v>
      </c>
      <c r="I865">
        <v>1276.0196533000001</v>
      </c>
      <c r="J865">
        <v>1253.1999512</v>
      </c>
      <c r="K865">
        <v>2400</v>
      </c>
      <c r="L865">
        <v>0</v>
      </c>
      <c r="M865">
        <v>0</v>
      </c>
      <c r="N865">
        <v>2400</v>
      </c>
    </row>
    <row r="866" spans="1:14" x14ac:dyDescent="0.25">
      <c r="A866">
        <v>476.27860800000002</v>
      </c>
      <c r="B866" s="1">
        <f>DATE(2011,8,20) + TIME(6,41,11)</f>
        <v>40775.278599537036</v>
      </c>
      <c r="C866">
        <v>80</v>
      </c>
      <c r="D866">
        <v>79.937805175999998</v>
      </c>
      <c r="E866">
        <v>50</v>
      </c>
      <c r="F866">
        <v>37.740524292000003</v>
      </c>
      <c r="G866">
        <v>1385.0057373</v>
      </c>
      <c r="H866">
        <v>1371.2531738</v>
      </c>
      <c r="I866">
        <v>1275.8269043</v>
      </c>
      <c r="J866">
        <v>1252.8891602000001</v>
      </c>
      <c r="K866">
        <v>2400</v>
      </c>
      <c r="L866">
        <v>0</v>
      </c>
      <c r="M866">
        <v>0</v>
      </c>
      <c r="N866">
        <v>2400</v>
      </c>
    </row>
    <row r="867" spans="1:14" x14ac:dyDescent="0.25">
      <c r="A867">
        <v>477.433964</v>
      </c>
      <c r="B867" s="1">
        <f>DATE(2011,8,21) + TIME(10,24,54)</f>
        <v>40776.433958333335</v>
      </c>
      <c r="C867">
        <v>80</v>
      </c>
      <c r="D867">
        <v>79.937850952000005</v>
      </c>
      <c r="E867">
        <v>50</v>
      </c>
      <c r="F867">
        <v>37.537624358999999</v>
      </c>
      <c r="G867">
        <v>1384.9348144999999</v>
      </c>
      <c r="H867">
        <v>1371.1896973</v>
      </c>
      <c r="I867">
        <v>1275.6313477000001</v>
      </c>
      <c r="J867">
        <v>1252.5726318</v>
      </c>
      <c r="K867">
        <v>2400</v>
      </c>
      <c r="L867">
        <v>0</v>
      </c>
      <c r="M867">
        <v>0</v>
      </c>
      <c r="N867">
        <v>2400</v>
      </c>
    </row>
    <row r="868" spans="1:14" x14ac:dyDescent="0.25">
      <c r="A868">
        <v>478.604828</v>
      </c>
      <c r="B868" s="1">
        <f>DATE(2011,8,22) + TIME(14,30,57)</f>
        <v>40777.604826388888</v>
      </c>
      <c r="C868">
        <v>80</v>
      </c>
      <c r="D868">
        <v>79.937896729000002</v>
      </c>
      <c r="E868">
        <v>50</v>
      </c>
      <c r="F868">
        <v>37.330528258999998</v>
      </c>
      <c r="G868">
        <v>1384.8638916</v>
      </c>
      <c r="H868">
        <v>1371.1262207</v>
      </c>
      <c r="I868">
        <v>1275.4329834</v>
      </c>
      <c r="J868">
        <v>1252.2501221</v>
      </c>
      <c r="K868">
        <v>2400</v>
      </c>
      <c r="L868">
        <v>0</v>
      </c>
      <c r="M868">
        <v>0</v>
      </c>
      <c r="N868">
        <v>2400</v>
      </c>
    </row>
    <row r="869" spans="1:14" x14ac:dyDescent="0.25">
      <c r="A869">
        <v>479.78618</v>
      </c>
      <c r="B869" s="1">
        <f>DATE(2011,8,23) + TIME(18,52,5)</f>
        <v>40778.786168981482</v>
      </c>
      <c r="C869">
        <v>80</v>
      </c>
      <c r="D869">
        <v>79.937942504999995</v>
      </c>
      <c r="E869">
        <v>50</v>
      </c>
      <c r="F869">
        <v>37.119457245</v>
      </c>
      <c r="G869">
        <v>1384.7927245999999</v>
      </c>
      <c r="H869">
        <v>1371.0625</v>
      </c>
      <c r="I869">
        <v>1275.2313231999999</v>
      </c>
      <c r="J869">
        <v>1251.9216309000001</v>
      </c>
      <c r="K869">
        <v>2400</v>
      </c>
      <c r="L869">
        <v>0</v>
      </c>
      <c r="M869">
        <v>0</v>
      </c>
      <c r="N869">
        <v>2400</v>
      </c>
    </row>
    <row r="870" spans="1:14" x14ac:dyDescent="0.25">
      <c r="A870">
        <v>480.97218700000002</v>
      </c>
      <c r="B870" s="1">
        <f>DATE(2011,8,24) + TIME(23,19,56)</f>
        <v>40779.972175925926</v>
      </c>
      <c r="C870">
        <v>80</v>
      </c>
      <c r="D870">
        <v>79.937988281000003</v>
      </c>
      <c r="E870">
        <v>50</v>
      </c>
      <c r="F870">
        <v>36.905113219999997</v>
      </c>
      <c r="G870">
        <v>1384.7216797000001</v>
      </c>
      <c r="H870">
        <v>1370.9989014</v>
      </c>
      <c r="I870">
        <v>1275.0274658000001</v>
      </c>
      <c r="J870">
        <v>1251.5881348</v>
      </c>
      <c r="K870">
        <v>2400</v>
      </c>
      <c r="L870">
        <v>0</v>
      </c>
      <c r="M870">
        <v>0</v>
      </c>
      <c r="N870">
        <v>2400</v>
      </c>
    </row>
    <row r="871" spans="1:14" x14ac:dyDescent="0.25">
      <c r="A871">
        <v>482.16621099999998</v>
      </c>
      <c r="B871" s="1">
        <f>DATE(2011,8,26) + TIME(3,59,20)</f>
        <v>40781.166203703702</v>
      </c>
      <c r="C871">
        <v>80</v>
      </c>
      <c r="D871">
        <v>79.938041686999995</v>
      </c>
      <c r="E871">
        <v>50</v>
      </c>
      <c r="F871">
        <v>36.687751769999998</v>
      </c>
      <c r="G871">
        <v>1384.6511230000001</v>
      </c>
      <c r="H871">
        <v>1370.9355469</v>
      </c>
      <c r="I871">
        <v>1274.8223877</v>
      </c>
      <c r="J871">
        <v>1251.2512207</v>
      </c>
      <c r="K871">
        <v>2400</v>
      </c>
      <c r="L871">
        <v>0</v>
      </c>
      <c r="M871">
        <v>0</v>
      </c>
      <c r="N871">
        <v>2400</v>
      </c>
    </row>
    <row r="872" spans="1:14" x14ac:dyDescent="0.25">
      <c r="A872">
        <v>483.37081899999998</v>
      </c>
      <c r="B872" s="1">
        <f>DATE(2011,8,27) + TIME(8,53,58)</f>
        <v>40782.370810185188</v>
      </c>
      <c r="C872">
        <v>80</v>
      </c>
      <c r="D872">
        <v>79.938087463000002</v>
      </c>
      <c r="E872">
        <v>50</v>
      </c>
      <c r="F872">
        <v>36.467227936</v>
      </c>
      <c r="G872">
        <v>1384.5806885</v>
      </c>
      <c r="H872">
        <v>1370.8724365</v>
      </c>
      <c r="I872">
        <v>1274.6157227000001</v>
      </c>
      <c r="J872">
        <v>1250.9100341999999</v>
      </c>
      <c r="K872">
        <v>2400</v>
      </c>
      <c r="L872">
        <v>0</v>
      </c>
      <c r="M872">
        <v>0</v>
      </c>
      <c r="N872">
        <v>2400</v>
      </c>
    </row>
    <row r="873" spans="1:14" x14ac:dyDescent="0.25">
      <c r="A873">
        <v>484.58633800000001</v>
      </c>
      <c r="B873" s="1">
        <f>DATE(2011,8,28) + TIME(14,4,19)</f>
        <v>40783.586331018516</v>
      </c>
      <c r="C873">
        <v>80</v>
      </c>
      <c r="D873">
        <v>79.938133239999999</v>
      </c>
      <c r="E873">
        <v>50</v>
      </c>
      <c r="F873">
        <v>36.243431090999998</v>
      </c>
      <c r="G873">
        <v>1384.5104980000001</v>
      </c>
      <c r="H873">
        <v>1370.8093262</v>
      </c>
      <c r="I873">
        <v>1274.4071045000001</v>
      </c>
      <c r="J873">
        <v>1250.5644531</v>
      </c>
      <c r="K873">
        <v>2400</v>
      </c>
      <c r="L873">
        <v>0</v>
      </c>
      <c r="M873">
        <v>0</v>
      </c>
      <c r="N873">
        <v>2400</v>
      </c>
    </row>
    <row r="874" spans="1:14" x14ac:dyDescent="0.25">
      <c r="A874">
        <v>485</v>
      </c>
      <c r="B874" s="1">
        <f>DATE(2011,8,29) + TIME(0,0,0)</f>
        <v>40784</v>
      </c>
      <c r="C874">
        <v>80</v>
      </c>
      <c r="D874">
        <v>79.938140868999994</v>
      </c>
      <c r="E874">
        <v>50</v>
      </c>
      <c r="F874">
        <v>36.118381499999998</v>
      </c>
      <c r="G874">
        <v>1384.4399414</v>
      </c>
      <c r="H874">
        <v>1370.7459716999999</v>
      </c>
      <c r="I874">
        <v>1274.2020264</v>
      </c>
      <c r="J874">
        <v>1250.2730713000001</v>
      </c>
      <c r="K874">
        <v>2400</v>
      </c>
      <c r="L874">
        <v>0</v>
      </c>
      <c r="M874">
        <v>0</v>
      </c>
      <c r="N874">
        <v>2400</v>
      </c>
    </row>
    <row r="875" spans="1:14" x14ac:dyDescent="0.25">
      <c r="A875">
        <v>485.000001</v>
      </c>
      <c r="B875" s="1">
        <f>DATE(2011,8,29) + TIME(0,0,0)</f>
        <v>40784</v>
      </c>
      <c r="C875">
        <v>80</v>
      </c>
      <c r="D875">
        <v>79.938110351999995</v>
      </c>
      <c r="E875">
        <v>50</v>
      </c>
      <c r="F875">
        <v>36.118400573999999</v>
      </c>
      <c r="G875">
        <v>1378.8477783000001</v>
      </c>
      <c r="H875">
        <v>1370.5598144999999</v>
      </c>
      <c r="I875">
        <v>1274.3848877</v>
      </c>
      <c r="J875">
        <v>1260.7260742000001</v>
      </c>
      <c r="K875">
        <v>1375</v>
      </c>
      <c r="L875">
        <v>0</v>
      </c>
      <c r="M875">
        <v>0</v>
      </c>
      <c r="N875">
        <v>1375</v>
      </c>
    </row>
    <row r="876" spans="1:14" x14ac:dyDescent="0.25">
      <c r="A876">
        <v>485.00000399999999</v>
      </c>
      <c r="B876" s="1">
        <f>DATE(2011,8,29) + TIME(0,0,0)</f>
        <v>40784</v>
      </c>
      <c r="C876">
        <v>80</v>
      </c>
      <c r="D876">
        <v>79.938049316000004</v>
      </c>
      <c r="E876">
        <v>50</v>
      </c>
      <c r="F876">
        <v>36.118457794000001</v>
      </c>
      <c r="G876">
        <v>1378.3773193</v>
      </c>
      <c r="H876">
        <v>1370.0895995999999</v>
      </c>
      <c r="I876">
        <v>1274.8854980000001</v>
      </c>
      <c r="J876">
        <v>1261.2353516000001</v>
      </c>
      <c r="K876">
        <v>1375</v>
      </c>
      <c r="L876">
        <v>0</v>
      </c>
      <c r="M876">
        <v>0</v>
      </c>
      <c r="N876">
        <v>1375</v>
      </c>
    </row>
    <row r="877" spans="1:14" x14ac:dyDescent="0.25">
      <c r="A877">
        <v>485.00001300000002</v>
      </c>
      <c r="B877" s="1">
        <f>DATE(2011,8,29) + TIME(0,0,1)</f>
        <v>40784.000011574077</v>
      </c>
      <c r="C877">
        <v>80</v>
      </c>
      <c r="D877">
        <v>79.937911987000007</v>
      </c>
      <c r="E877">
        <v>50</v>
      </c>
      <c r="F877">
        <v>36.118595122999999</v>
      </c>
      <c r="G877">
        <v>1377.4278564000001</v>
      </c>
      <c r="H877">
        <v>1369.1401367000001</v>
      </c>
      <c r="I877">
        <v>1276.0722656</v>
      </c>
      <c r="J877">
        <v>1262.4346923999999</v>
      </c>
      <c r="K877">
        <v>1375</v>
      </c>
      <c r="L877">
        <v>0</v>
      </c>
      <c r="M877">
        <v>0</v>
      </c>
      <c r="N877">
        <v>1375</v>
      </c>
    </row>
    <row r="878" spans="1:14" x14ac:dyDescent="0.25">
      <c r="A878">
        <v>485.00004000000001</v>
      </c>
      <c r="B878" s="1">
        <f>DATE(2011,8,29) + TIME(0,0,3)</f>
        <v>40784.000034722223</v>
      </c>
      <c r="C878">
        <v>80</v>
      </c>
      <c r="D878">
        <v>79.937713622999993</v>
      </c>
      <c r="E878">
        <v>50</v>
      </c>
      <c r="F878">
        <v>36.118839264000002</v>
      </c>
      <c r="G878">
        <v>1376.0412598</v>
      </c>
      <c r="H878">
        <v>1367.7532959</v>
      </c>
      <c r="I878">
        <v>1278.2220459</v>
      </c>
      <c r="J878">
        <v>1264.5913086</v>
      </c>
      <c r="K878">
        <v>1375</v>
      </c>
      <c r="L878">
        <v>0</v>
      </c>
      <c r="M878">
        <v>0</v>
      </c>
      <c r="N878">
        <v>1375</v>
      </c>
    </row>
    <row r="879" spans="1:14" x14ac:dyDescent="0.25">
      <c r="A879">
        <v>485.00012099999998</v>
      </c>
      <c r="B879" s="1">
        <f>DATE(2011,8,29) + TIME(0,0,10)</f>
        <v>40784.000115740739</v>
      </c>
      <c r="C879">
        <v>80</v>
      </c>
      <c r="D879">
        <v>79.937492371000005</v>
      </c>
      <c r="E879">
        <v>50</v>
      </c>
      <c r="F879">
        <v>36.119148254000002</v>
      </c>
      <c r="G879">
        <v>1374.4985352000001</v>
      </c>
      <c r="H879">
        <v>1366.2095947</v>
      </c>
      <c r="I879">
        <v>1281.0373535000001</v>
      </c>
      <c r="J879">
        <v>1267.4025879000001</v>
      </c>
      <c r="K879">
        <v>1375</v>
      </c>
      <c r="L879">
        <v>0</v>
      </c>
      <c r="M879">
        <v>0</v>
      </c>
      <c r="N879">
        <v>1375</v>
      </c>
    </row>
    <row r="880" spans="1:14" x14ac:dyDescent="0.25">
      <c r="A880">
        <v>485.00036399999999</v>
      </c>
      <c r="B880" s="1">
        <f>DATE(2011,8,29) + TIME(0,0,31)</f>
        <v>40784.000358796293</v>
      </c>
      <c r="C880">
        <v>80</v>
      </c>
      <c r="D880">
        <v>79.937263489000003</v>
      </c>
      <c r="E880">
        <v>50</v>
      </c>
      <c r="F880">
        <v>36.119445800999998</v>
      </c>
      <c r="G880">
        <v>1372.9414062000001</v>
      </c>
      <c r="H880">
        <v>1364.6530762</v>
      </c>
      <c r="I880">
        <v>1284.0438231999999</v>
      </c>
      <c r="J880">
        <v>1270.4018555</v>
      </c>
      <c r="K880">
        <v>1375</v>
      </c>
      <c r="L880">
        <v>0</v>
      </c>
      <c r="M880">
        <v>0</v>
      </c>
      <c r="N880">
        <v>1375</v>
      </c>
    </row>
    <row r="881" spans="1:14" x14ac:dyDescent="0.25">
      <c r="A881">
        <v>485.00109300000003</v>
      </c>
      <c r="B881" s="1">
        <f>DATE(2011,8,29) + TIME(0,1,34)</f>
        <v>40784.001087962963</v>
      </c>
      <c r="C881">
        <v>80</v>
      </c>
      <c r="D881">
        <v>79.937011718999997</v>
      </c>
      <c r="E881">
        <v>50</v>
      </c>
      <c r="F881">
        <v>36.119640349999997</v>
      </c>
      <c r="G881">
        <v>1371.315918</v>
      </c>
      <c r="H881">
        <v>1363.0397949000001</v>
      </c>
      <c r="I881">
        <v>1287.159668</v>
      </c>
      <c r="J881">
        <v>1273.5139160000001</v>
      </c>
      <c r="K881">
        <v>1375</v>
      </c>
      <c r="L881">
        <v>0</v>
      </c>
      <c r="M881">
        <v>0</v>
      </c>
      <c r="N881">
        <v>1375</v>
      </c>
    </row>
    <row r="882" spans="1:14" x14ac:dyDescent="0.25">
      <c r="A882">
        <v>485.00328000000002</v>
      </c>
      <c r="B882" s="1">
        <f>DATE(2011,8,29) + TIME(0,4,43)</f>
        <v>40784.003275462965</v>
      </c>
      <c r="C882">
        <v>80</v>
      </c>
      <c r="D882">
        <v>79.936676024999997</v>
      </c>
      <c r="E882">
        <v>50</v>
      </c>
      <c r="F882">
        <v>36.119529724000003</v>
      </c>
      <c r="G882">
        <v>1369.4090576000001</v>
      </c>
      <c r="H882">
        <v>1361.1641846</v>
      </c>
      <c r="I882">
        <v>1290.5042725000001</v>
      </c>
      <c r="J882">
        <v>1276.8610839999999</v>
      </c>
      <c r="K882">
        <v>1375</v>
      </c>
      <c r="L882">
        <v>0</v>
      </c>
      <c r="M882">
        <v>0</v>
      </c>
      <c r="N882">
        <v>1375</v>
      </c>
    </row>
    <row r="883" spans="1:14" x14ac:dyDescent="0.25">
      <c r="A883">
        <v>485.00984099999999</v>
      </c>
      <c r="B883" s="1">
        <f>DATE(2011,8,29) + TIME(0,14,10)</f>
        <v>40784.009837962964</v>
      </c>
      <c r="C883">
        <v>80</v>
      </c>
      <c r="D883">
        <v>79.936149596999996</v>
      </c>
      <c r="E883">
        <v>50</v>
      </c>
      <c r="F883">
        <v>36.118434905999997</v>
      </c>
      <c r="G883">
        <v>1367.1298827999999</v>
      </c>
      <c r="H883">
        <v>1358.9173584</v>
      </c>
      <c r="I883">
        <v>1293.947876</v>
      </c>
      <c r="J883">
        <v>1280.3151855000001</v>
      </c>
      <c r="K883">
        <v>1375</v>
      </c>
      <c r="L883">
        <v>0</v>
      </c>
      <c r="M883">
        <v>0</v>
      </c>
      <c r="N883">
        <v>1375</v>
      </c>
    </row>
    <row r="884" spans="1:14" x14ac:dyDescent="0.25">
      <c r="A884">
        <v>485.02952399999998</v>
      </c>
      <c r="B884" s="1">
        <f>DATE(2011,8,29) + TIME(0,42,30)</f>
        <v>40784.029513888891</v>
      </c>
      <c r="C884">
        <v>80</v>
      </c>
      <c r="D884">
        <v>79.935249329000001</v>
      </c>
      <c r="E884">
        <v>50</v>
      </c>
      <c r="F884">
        <v>36.114322661999999</v>
      </c>
      <c r="G884">
        <v>1365.003418</v>
      </c>
      <c r="H884">
        <v>1356.8088379000001</v>
      </c>
      <c r="I884">
        <v>1296.7015381000001</v>
      </c>
      <c r="J884">
        <v>1283.0806885</v>
      </c>
      <c r="K884">
        <v>1375</v>
      </c>
      <c r="L884">
        <v>0</v>
      </c>
      <c r="M884">
        <v>0</v>
      </c>
      <c r="N884">
        <v>1375</v>
      </c>
    </row>
    <row r="885" spans="1:14" x14ac:dyDescent="0.25">
      <c r="A885">
        <v>485.088573</v>
      </c>
      <c r="B885" s="1">
        <f>DATE(2011,8,29) + TIME(2,7,32)</f>
        <v>40784.088564814818</v>
      </c>
      <c r="C885">
        <v>80</v>
      </c>
      <c r="D885">
        <v>79.933349609000004</v>
      </c>
      <c r="E885">
        <v>50</v>
      </c>
      <c r="F885">
        <v>36.101608276</v>
      </c>
      <c r="G885">
        <v>1363.7807617000001</v>
      </c>
      <c r="H885">
        <v>1355.5926514</v>
      </c>
      <c r="I885">
        <v>1297.9747314000001</v>
      </c>
      <c r="J885">
        <v>1284.3565673999999</v>
      </c>
      <c r="K885">
        <v>1375</v>
      </c>
      <c r="L885">
        <v>0</v>
      </c>
      <c r="M885">
        <v>0</v>
      </c>
      <c r="N885">
        <v>1375</v>
      </c>
    </row>
    <row r="886" spans="1:14" x14ac:dyDescent="0.25">
      <c r="A886">
        <v>485.26571999999999</v>
      </c>
      <c r="B886" s="1">
        <f>DATE(2011,8,29) + TIME(6,22,38)</f>
        <v>40784.265717592592</v>
      </c>
      <c r="C886">
        <v>80</v>
      </c>
      <c r="D886">
        <v>79.928771972999996</v>
      </c>
      <c r="E886">
        <v>50</v>
      </c>
      <c r="F886">
        <v>36.06640625</v>
      </c>
      <c r="G886">
        <v>1363.4279785000001</v>
      </c>
      <c r="H886">
        <v>1355.2412108999999</v>
      </c>
      <c r="I886">
        <v>1298.2026367000001</v>
      </c>
      <c r="J886">
        <v>1284.574707</v>
      </c>
      <c r="K886">
        <v>1375</v>
      </c>
      <c r="L886">
        <v>0</v>
      </c>
      <c r="M886">
        <v>0</v>
      </c>
      <c r="N886">
        <v>1375</v>
      </c>
    </row>
    <row r="887" spans="1:14" x14ac:dyDescent="0.25">
      <c r="A887">
        <v>485.79716100000002</v>
      </c>
      <c r="B887" s="1">
        <f>DATE(2011,8,29) + TIME(19,7,54)</f>
        <v>40784.797152777777</v>
      </c>
      <c r="C887">
        <v>80</v>
      </c>
      <c r="D887">
        <v>79.919250488000003</v>
      </c>
      <c r="E887">
        <v>50</v>
      </c>
      <c r="F887">
        <v>35.982887267999999</v>
      </c>
      <c r="G887">
        <v>1363.3803711</v>
      </c>
      <c r="H887">
        <v>1355.1939697</v>
      </c>
      <c r="I887">
        <v>1298.1962891000001</v>
      </c>
      <c r="J887">
        <v>1284.5417480000001</v>
      </c>
      <c r="K887">
        <v>1375</v>
      </c>
      <c r="L887">
        <v>0</v>
      </c>
      <c r="M887">
        <v>0</v>
      </c>
      <c r="N887">
        <v>1375</v>
      </c>
    </row>
    <row r="888" spans="1:14" x14ac:dyDescent="0.25">
      <c r="A888">
        <v>487.39148399999999</v>
      </c>
      <c r="B888" s="1">
        <f>DATE(2011,8,31) + TIME(9,23,44)</f>
        <v>40786.391481481478</v>
      </c>
      <c r="C888">
        <v>80</v>
      </c>
      <c r="D888">
        <v>79.906723021999994</v>
      </c>
      <c r="E888">
        <v>50</v>
      </c>
      <c r="F888">
        <v>35.829822540000002</v>
      </c>
      <c r="G888">
        <v>1363.3690185999999</v>
      </c>
      <c r="H888">
        <v>1355.1839600000001</v>
      </c>
      <c r="I888">
        <v>1298.1589355000001</v>
      </c>
      <c r="J888">
        <v>1284.4542236</v>
      </c>
      <c r="K888">
        <v>1375</v>
      </c>
      <c r="L888">
        <v>0</v>
      </c>
      <c r="M888">
        <v>0</v>
      </c>
      <c r="N888">
        <v>1375</v>
      </c>
    </row>
    <row r="889" spans="1:14" x14ac:dyDescent="0.25">
      <c r="A889">
        <v>489.45703800000001</v>
      </c>
      <c r="B889" s="1">
        <f>DATE(2011,9,2) + TIME(10,58,8)</f>
        <v>40788.457037037035</v>
      </c>
      <c r="C889">
        <v>80</v>
      </c>
      <c r="D889">
        <v>79.900642395000006</v>
      </c>
      <c r="E889">
        <v>50</v>
      </c>
      <c r="F889">
        <v>35.642898559999999</v>
      </c>
      <c r="G889">
        <v>1363.3402100000001</v>
      </c>
      <c r="H889">
        <v>1355.1595459</v>
      </c>
      <c r="I889">
        <v>1298.0628661999999</v>
      </c>
      <c r="J889">
        <v>1284.2927245999999</v>
      </c>
      <c r="K889">
        <v>1375</v>
      </c>
      <c r="L889">
        <v>0</v>
      </c>
      <c r="M889">
        <v>0</v>
      </c>
      <c r="N889">
        <v>1375</v>
      </c>
    </row>
    <row r="890" spans="1:14" x14ac:dyDescent="0.25">
      <c r="A890">
        <v>491.52877599999999</v>
      </c>
      <c r="B890" s="1">
        <f>DATE(2011,9,4) + TIME(12,41,26)</f>
        <v>40790.528773148151</v>
      </c>
      <c r="C890">
        <v>80</v>
      </c>
      <c r="D890">
        <v>79.898406981999997</v>
      </c>
      <c r="E890">
        <v>50</v>
      </c>
      <c r="F890">
        <v>35.430194855000003</v>
      </c>
      <c r="G890">
        <v>1363.3026123</v>
      </c>
      <c r="H890">
        <v>1355.1278076000001</v>
      </c>
      <c r="I890">
        <v>1297.9399414</v>
      </c>
      <c r="J890">
        <v>1284.0938721</v>
      </c>
      <c r="K890">
        <v>1375</v>
      </c>
      <c r="L890">
        <v>0</v>
      </c>
      <c r="M890">
        <v>0</v>
      </c>
      <c r="N890">
        <v>1375</v>
      </c>
    </row>
    <row r="891" spans="1:14" x14ac:dyDescent="0.25">
      <c r="A891">
        <v>493.61284899999998</v>
      </c>
      <c r="B891" s="1">
        <f>DATE(2011,9,6) + TIME(14,42,30)</f>
        <v>40792.612847222219</v>
      </c>
      <c r="C891">
        <v>80</v>
      </c>
      <c r="D891">
        <v>79.897636414000004</v>
      </c>
      <c r="E891">
        <v>50</v>
      </c>
      <c r="F891">
        <v>35.205623627000001</v>
      </c>
      <c r="G891">
        <v>1363.2651367000001</v>
      </c>
      <c r="H891">
        <v>1355.0959473</v>
      </c>
      <c r="I891">
        <v>1297.8150635</v>
      </c>
      <c r="J891">
        <v>1283.8878173999999</v>
      </c>
      <c r="K891">
        <v>1375</v>
      </c>
      <c r="L891">
        <v>0</v>
      </c>
      <c r="M891">
        <v>0</v>
      </c>
      <c r="N891">
        <v>1375</v>
      </c>
    </row>
    <row r="892" spans="1:14" x14ac:dyDescent="0.25">
      <c r="A892">
        <v>495.71348599999999</v>
      </c>
      <c r="B892" s="1">
        <f>DATE(2011,9,8) + TIME(17,7,25)</f>
        <v>40794.713483796295</v>
      </c>
      <c r="C892">
        <v>80</v>
      </c>
      <c r="D892">
        <v>79.897445679</v>
      </c>
      <c r="E892">
        <v>50</v>
      </c>
      <c r="F892">
        <v>34.974857329999999</v>
      </c>
      <c r="G892">
        <v>1363.2276611</v>
      </c>
      <c r="H892">
        <v>1355.0639647999999</v>
      </c>
      <c r="I892">
        <v>1297.6892089999999</v>
      </c>
      <c r="J892">
        <v>1283.6778564000001</v>
      </c>
      <c r="K892">
        <v>1375</v>
      </c>
      <c r="L892">
        <v>0</v>
      </c>
      <c r="M892">
        <v>0</v>
      </c>
      <c r="N892">
        <v>1375</v>
      </c>
    </row>
    <row r="893" spans="1:14" x14ac:dyDescent="0.25">
      <c r="A893">
        <v>497.83342699999997</v>
      </c>
      <c r="B893" s="1">
        <f>DATE(2011,9,10) + TIME(20,0,8)</f>
        <v>40796.833425925928</v>
      </c>
      <c r="C893">
        <v>80</v>
      </c>
      <c r="D893">
        <v>79.897468567000004</v>
      </c>
      <c r="E893">
        <v>50</v>
      </c>
      <c r="F893">
        <v>34.740192413000003</v>
      </c>
      <c r="G893">
        <v>1363.1900635</v>
      </c>
      <c r="H893">
        <v>1355.0318603999999</v>
      </c>
      <c r="I893">
        <v>1297.5625</v>
      </c>
      <c r="J893">
        <v>1283.4652100000001</v>
      </c>
      <c r="K893">
        <v>1375</v>
      </c>
      <c r="L893">
        <v>0</v>
      </c>
      <c r="M893">
        <v>0</v>
      </c>
      <c r="N893">
        <v>1375</v>
      </c>
    </row>
    <row r="894" spans="1:14" x14ac:dyDescent="0.25">
      <c r="A894">
        <v>499.97454599999998</v>
      </c>
      <c r="B894" s="1">
        <f>DATE(2011,9,12) + TIME(23,23,20)</f>
        <v>40798.974537037036</v>
      </c>
      <c r="C894">
        <v>80</v>
      </c>
      <c r="D894">
        <v>79.897575377999999</v>
      </c>
      <c r="E894">
        <v>50</v>
      </c>
      <c r="F894">
        <v>34.502544403000002</v>
      </c>
      <c r="G894">
        <v>1363.1524658000001</v>
      </c>
      <c r="H894">
        <v>1354.9995117000001</v>
      </c>
      <c r="I894">
        <v>1297.4351807</v>
      </c>
      <c r="J894">
        <v>1283.2501221</v>
      </c>
      <c r="K894">
        <v>1375</v>
      </c>
      <c r="L894">
        <v>0</v>
      </c>
      <c r="M894">
        <v>0</v>
      </c>
      <c r="N894">
        <v>1375</v>
      </c>
    </row>
    <row r="895" spans="1:14" x14ac:dyDescent="0.25">
      <c r="A895">
        <v>501.05685899999997</v>
      </c>
      <c r="B895" s="1">
        <f>DATE(2011,9,14) + TIME(1,21,52)</f>
        <v>40800.056851851848</v>
      </c>
      <c r="C895">
        <v>80</v>
      </c>
      <c r="D895">
        <v>79.897628784000005</v>
      </c>
      <c r="E895">
        <v>50</v>
      </c>
      <c r="F895">
        <v>34.332431792999998</v>
      </c>
      <c r="G895">
        <v>1363.1143798999999</v>
      </c>
      <c r="H895">
        <v>1354.9667969</v>
      </c>
      <c r="I895">
        <v>1297.3088379000001</v>
      </c>
      <c r="J895">
        <v>1283.0563964999999</v>
      </c>
      <c r="K895">
        <v>1375</v>
      </c>
      <c r="L895">
        <v>0</v>
      </c>
      <c r="M895">
        <v>0</v>
      </c>
      <c r="N895">
        <v>1375</v>
      </c>
    </row>
    <row r="896" spans="1:14" x14ac:dyDescent="0.25">
      <c r="A896">
        <v>502.13840599999997</v>
      </c>
      <c r="B896" s="1">
        <f>DATE(2011,9,15) + TIME(3,19,18)</f>
        <v>40801.138402777775</v>
      </c>
      <c r="C896">
        <v>80</v>
      </c>
      <c r="D896">
        <v>79.897689818999993</v>
      </c>
      <c r="E896">
        <v>50</v>
      </c>
      <c r="F896">
        <v>34.182647705000001</v>
      </c>
      <c r="G896">
        <v>1363.0952147999999</v>
      </c>
      <c r="H896">
        <v>1354.9501952999999</v>
      </c>
      <c r="I896">
        <v>1297.2407227000001</v>
      </c>
      <c r="J896">
        <v>1282.932251</v>
      </c>
      <c r="K896">
        <v>1375</v>
      </c>
      <c r="L896">
        <v>0</v>
      </c>
      <c r="M896">
        <v>0</v>
      </c>
      <c r="N896">
        <v>1375</v>
      </c>
    </row>
    <row r="897" spans="1:14" x14ac:dyDescent="0.25">
      <c r="A897">
        <v>503.21885800000001</v>
      </c>
      <c r="B897" s="1">
        <f>DATE(2011,9,16) + TIME(5,15,9)</f>
        <v>40802.218854166669</v>
      </c>
      <c r="C897">
        <v>80</v>
      </c>
      <c r="D897">
        <v>79.897766113000003</v>
      </c>
      <c r="E897">
        <v>50</v>
      </c>
      <c r="F897">
        <v>34.044807433999999</v>
      </c>
      <c r="G897">
        <v>1363.0762939000001</v>
      </c>
      <c r="H897">
        <v>1354.9338379000001</v>
      </c>
      <c r="I897">
        <v>1297.1745605000001</v>
      </c>
      <c r="J897">
        <v>1282.8143310999999</v>
      </c>
      <c r="K897">
        <v>1375</v>
      </c>
      <c r="L897">
        <v>0</v>
      </c>
      <c r="M897">
        <v>0</v>
      </c>
      <c r="N897">
        <v>1375</v>
      </c>
    </row>
    <row r="898" spans="1:14" x14ac:dyDescent="0.25">
      <c r="A898">
        <v>504.298879</v>
      </c>
      <c r="B898" s="1">
        <f>DATE(2011,9,17) + TIME(7,10,23)</f>
        <v>40803.298877314817</v>
      </c>
      <c r="C898">
        <v>80</v>
      </c>
      <c r="D898">
        <v>79.897842406999999</v>
      </c>
      <c r="E898">
        <v>50</v>
      </c>
      <c r="F898">
        <v>33.913974762000002</v>
      </c>
      <c r="G898">
        <v>1363.0574951000001</v>
      </c>
      <c r="H898">
        <v>1354.9176024999999</v>
      </c>
      <c r="I898">
        <v>1297.1096190999999</v>
      </c>
      <c r="J898">
        <v>1282.7001952999999</v>
      </c>
      <c r="K898">
        <v>1375</v>
      </c>
      <c r="L898">
        <v>0</v>
      </c>
      <c r="M898">
        <v>0</v>
      </c>
      <c r="N898">
        <v>1375</v>
      </c>
    </row>
    <row r="899" spans="1:14" x14ac:dyDescent="0.25">
      <c r="A899">
        <v>505.37890099999998</v>
      </c>
      <c r="B899" s="1">
        <f>DATE(2011,9,18) + TIME(9,5,37)</f>
        <v>40804.378900462965</v>
      </c>
      <c r="C899">
        <v>80</v>
      </c>
      <c r="D899">
        <v>79.897926330999994</v>
      </c>
      <c r="E899">
        <v>50</v>
      </c>
      <c r="F899">
        <v>33.787281036000003</v>
      </c>
      <c r="G899">
        <v>1363.0386963000001</v>
      </c>
      <c r="H899">
        <v>1354.9013672000001</v>
      </c>
      <c r="I899">
        <v>1297.0454102000001</v>
      </c>
      <c r="J899">
        <v>1282.5883789</v>
      </c>
      <c r="K899">
        <v>1375</v>
      </c>
      <c r="L899">
        <v>0</v>
      </c>
      <c r="M899">
        <v>0</v>
      </c>
      <c r="N899">
        <v>1375</v>
      </c>
    </row>
    <row r="900" spans="1:14" x14ac:dyDescent="0.25">
      <c r="A900">
        <v>506.45892300000003</v>
      </c>
      <c r="B900" s="1">
        <f>DATE(2011,9,19) + TIME(11,0,50)</f>
        <v>40805.458912037036</v>
      </c>
      <c r="C900">
        <v>80</v>
      </c>
      <c r="D900">
        <v>79.898002625000004</v>
      </c>
      <c r="E900">
        <v>50</v>
      </c>
      <c r="F900">
        <v>33.663066864000001</v>
      </c>
      <c r="G900">
        <v>1363.0200195</v>
      </c>
      <c r="H900">
        <v>1354.8851318</v>
      </c>
      <c r="I900">
        <v>1296.9816894999999</v>
      </c>
      <c r="J900">
        <v>1282.4777832</v>
      </c>
      <c r="K900">
        <v>1375</v>
      </c>
      <c r="L900">
        <v>0</v>
      </c>
      <c r="M900">
        <v>0</v>
      </c>
      <c r="N900">
        <v>1375</v>
      </c>
    </row>
    <row r="901" spans="1:14" x14ac:dyDescent="0.25">
      <c r="A901">
        <v>507.53894400000001</v>
      </c>
      <c r="B901" s="1">
        <f>DATE(2011,9,20) + TIME(12,56,4)</f>
        <v>40806.538935185185</v>
      </c>
      <c r="C901">
        <v>80</v>
      </c>
      <c r="D901">
        <v>79.898086547999995</v>
      </c>
      <c r="E901">
        <v>50</v>
      </c>
      <c r="F901">
        <v>33.540382385000001</v>
      </c>
      <c r="G901">
        <v>1363.0013428</v>
      </c>
      <c r="H901">
        <v>1354.8688964999999</v>
      </c>
      <c r="I901">
        <v>1296.918457</v>
      </c>
      <c r="J901">
        <v>1282.3680420000001</v>
      </c>
      <c r="K901">
        <v>1375</v>
      </c>
      <c r="L901">
        <v>0</v>
      </c>
      <c r="M901">
        <v>0</v>
      </c>
      <c r="N901">
        <v>1375</v>
      </c>
    </row>
    <row r="902" spans="1:14" x14ac:dyDescent="0.25">
      <c r="A902">
        <v>508.618966</v>
      </c>
      <c r="B902" s="1">
        <f>DATE(2011,9,21) + TIME(14,51,18)</f>
        <v>40807.618958333333</v>
      </c>
      <c r="C902">
        <v>80</v>
      </c>
      <c r="D902">
        <v>79.898170471</v>
      </c>
      <c r="E902">
        <v>50</v>
      </c>
      <c r="F902">
        <v>33.418678284000002</v>
      </c>
      <c r="G902">
        <v>1362.9827881000001</v>
      </c>
      <c r="H902">
        <v>1354.8527832</v>
      </c>
      <c r="I902">
        <v>1296.8555908000001</v>
      </c>
      <c r="J902">
        <v>1282.2587891000001</v>
      </c>
      <c r="K902">
        <v>1375</v>
      </c>
      <c r="L902">
        <v>0</v>
      </c>
      <c r="M902">
        <v>0</v>
      </c>
      <c r="N902">
        <v>1375</v>
      </c>
    </row>
    <row r="903" spans="1:14" x14ac:dyDescent="0.25">
      <c r="A903">
        <v>509.69898799999999</v>
      </c>
      <c r="B903" s="1">
        <f>DATE(2011,9,22) + TIME(16,46,32)</f>
        <v>40808.698981481481</v>
      </c>
      <c r="C903">
        <v>80</v>
      </c>
      <c r="D903">
        <v>79.898254394999995</v>
      </c>
      <c r="E903">
        <v>50</v>
      </c>
      <c r="F903">
        <v>33.297637938999998</v>
      </c>
      <c r="G903">
        <v>1362.9643555</v>
      </c>
      <c r="H903">
        <v>1354.8367920000001</v>
      </c>
      <c r="I903">
        <v>1296.7929687999999</v>
      </c>
      <c r="J903">
        <v>1282.1500243999999</v>
      </c>
      <c r="K903">
        <v>1375</v>
      </c>
      <c r="L903">
        <v>0</v>
      </c>
      <c r="M903">
        <v>0</v>
      </c>
      <c r="N903">
        <v>1375</v>
      </c>
    </row>
    <row r="904" spans="1:14" x14ac:dyDescent="0.25">
      <c r="A904">
        <v>510.77900899999997</v>
      </c>
      <c r="B904" s="1">
        <f>DATE(2011,9,23) + TIME(18,41,46)</f>
        <v>40809.779004629629</v>
      </c>
      <c r="C904">
        <v>80</v>
      </c>
      <c r="D904">
        <v>79.898338318</v>
      </c>
      <c r="E904">
        <v>50</v>
      </c>
      <c r="F904">
        <v>33.177089690999999</v>
      </c>
      <c r="G904">
        <v>1362.9458007999999</v>
      </c>
      <c r="H904">
        <v>1354.8206786999999</v>
      </c>
      <c r="I904">
        <v>1296.7307129000001</v>
      </c>
      <c r="J904">
        <v>1282.0415039</v>
      </c>
      <c r="K904">
        <v>1375</v>
      </c>
      <c r="L904">
        <v>0</v>
      </c>
      <c r="M904">
        <v>0</v>
      </c>
      <c r="N904">
        <v>1375</v>
      </c>
    </row>
    <row r="905" spans="1:14" x14ac:dyDescent="0.25">
      <c r="A905">
        <v>511.85903100000002</v>
      </c>
      <c r="B905" s="1">
        <f>DATE(2011,9,24) + TIME(20,37,0)</f>
        <v>40810.859027777777</v>
      </c>
      <c r="C905">
        <v>80</v>
      </c>
      <c r="D905">
        <v>79.898414611999996</v>
      </c>
      <c r="E905">
        <v>50</v>
      </c>
      <c r="F905">
        <v>33.056938170999999</v>
      </c>
      <c r="G905">
        <v>1362.9274902</v>
      </c>
      <c r="H905">
        <v>1354.8046875</v>
      </c>
      <c r="I905">
        <v>1296.6687012</v>
      </c>
      <c r="J905">
        <v>1281.9333495999999</v>
      </c>
      <c r="K905">
        <v>1375</v>
      </c>
      <c r="L905">
        <v>0</v>
      </c>
      <c r="M905">
        <v>0</v>
      </c>
      <c r="N905">
        <v>1375</v>
      </c>
    </row>
    <row r="906" spans="1:14" x14ac:dyDescent="0.25">
      <c r="A906">
        <v>514.01907400000005</v>
      </c>
      <c r="B906" s="1">
        <f>DATE(2011,9,27) + TIME(0,27,28)</f>
        <v>40813.019074074073</v>
      </c>
      <c r="C906">
        <v>80</v>
      </c>
      <c r="D906">
        <v>79.898605347</v>
      </c>
      <c r="E906">
        <v>50</v>
      </c>
      <c r="F906">
        <v>32.887775421000001</v>
      </c>
      <c r="G906">
        <v>1362.9094238</v>
      </c>
      <c r="H906">
        <v>1354.7890625</v>
      </c>
      <c r="I906">
        <v>1296.605957</v>
      </c>
      <c r="J906">
        <v>1281.8083495999999</v>
      </c>
      <c r="K906">
        <v>1375</v>
      </c>
      <c r="L906">
        <v>0</v>
      </c>
      <c r="M906">
        <v>0</v>
      </c>
      <c r="N906">
        <v>1375</v>
      </c>
    </row>
    <row r="907" spans="1:14" x14ac:dyDescent="0.25">
      <c r="A907">
        <v>516.18257800000003</v>
      </c>
      <c r="B907" s="1">
        <f>DATE(2011,9,29) + TIME(4,22,54)</f>
        <v>40815.182569444441</v>
      </c>
      <c r="C907">
        <v>80</v>
      </c>
      <c r="D907">
        <v>79.898773192999997</v>
      </c>
      <c r="E907">
        <v>50</v>
      </c>
      <c r="F907">
        <v>32.678173065000003</v>
      </c>
      <c r="G907">
        <v>1362.8730469</v>
      </c>
      <c r="H907">
        <v>1354.7574463000001</v>
      </c>
      <c r="I907">
        <v>1296.4876709</v>
      </c>
      <c r="J907">
        <v>1281.6094971</v>
      </c>
      <c r="K907">
        <v>1375</v>
      </c>
      <c r="L907">
        <v>0</v>
      </c>
      <c r="M907">
        <v>0</v>
      </c>
      <c r="N907">
        <v>1375</v>
      </c>
    </row>
    <row r="908" spans="1:14" x14ac:dyDescent="0.25">
      <c r="A908">
        <v>518.37844900000005</v>
      </c>
      <c r="B908" s="1">
        <f>DATE(2011,10,1) + TIME(9,4,58)</f>
        <v>40817.378449074073</v>
      </c>
      <c r="C908">
        <v>80</v>
      </c>
      <c r="D908">
        <v>79.898941039999997</v>
      </c>
      <c r="E908">
        <v>50</v>
      </c>
      <c r="F908">
        <v>32.451271057</v>
      </c>
      <c r="G908">
        <v>1362.8367920000001</v>
      </c>
      <c r="H908">
        <v>1354.7258300999999</v>
      </c>
      <c r="I908">
        <v>1296.3675536999999</v>
      </c>
      <c r="J908">
        <v>1281.4008789</v>
      </c>
      <c r="K908">
        <v>1375</v>
      </c>
      <c r="L908">
        <v>0</v>
      </c>
      <c r="M908">
        <v>0</v>
      </c>
      <c r="N908">
        <v>1375</v>
      </c>
    </row>
    <row r="909" spans="1:14" x14ac:dyDescent="0.25">
      <c r="A909">
        <v>520</v>
      </c>
      <c r="B909" s="1">
        <f>DATE(2011,10,3) + TIME(0,0,0)</f>
        <v>40819</v>
      </c>
      <c r="C909">
        <v>80</v>
      </c>
      <c r="D909">
        <v>79.899055481000005</v>
      </c>
      <c r="E909">
        <v>50</v>
      </c>
      <c r="F909">
        <v>32.246856688999998</v>
      </c>
      <c r="G909">
        <v>1362.7999268000001</v>
      </c>
      <c r="H909">
        <v>1354.6938477000001</v>
      </c>
      <c r="I909">
        <v>1296.246582</v>
      </c>
      <c r="J909">
        <v>1281.1976318</v>
      </c>
      <c r="K909">
        <v>1375</v>
      </c>
      <c r="L909">
        <v>0</v>
      </c>
      <c r="M909">
        <v>0</v>
      </c>
      <c r="N909">
        <v>1375</v>
      </c>
    </row>
    <row r="910" spans="1:14" x14ac:dyDescent="0.25">
      <c r="A910">
        <v>520.000001</v>
      </c>
      <c r="B910" s="1">
        <f>DATE(2011,10,3) + TIME(0,0,0)</f>
        <v>40819</v>
      </c>
      <c r="C910">
        <v>80</v>
      </c>
      <c r="D910">
        <v>79.898994446000003</v>
      </c>
      <c r="E910">
        <v>50</v>
      </c>
      <c r="F910">
        <v>32.246921538999999</v>
      </c>
      <c r="G910">
        <v>1354.2236327999999</v>
      </c>
      <c r="H910">
        <v>1348.668457</v>
      </c>
      <c r="I910">
        <v>1310.1876221</v>
      </c>
      <c r="J910">
        <v>1296.7182617000001</v>
      </c>
      <c r="K910">
        <v>0</v>
      </c>
      <c r="L910">
        <v>1215</v>
      </c>
      <c r="M910">
        <v>1215</v>
      </c>
      <c r="N910">
        <v>0</v>
      </c>
    </row>
    <row r="911" spans="1:14" x14ac:dyDescent="0.25">
      <c r="A911">
        <v>520.00000399999999</v>
      </c>
      <c r="B911" s="1">
        <f>DATE(2011,10,3) + TIME(0,0,0)</f>
        <v>40819</v>
      </c>
      <c r="C911">
        <v>80</v>
      </c>
      <c r="D911">
        <v>79.898818969999994</v>
      </c>
      <c r="E911">
        <v>50</v>
      </c>
      <c r="F911">
        <v>32.247100830000001</v>
      </c>
      <c r="G911">
        <v>1353.0355225000001</v>
      </c>
      <c r="H911">
        <v>1347.4796143000001</v>
      </c>
      <c r="I911">
        <v>1311.4890137</v>
      </c>
      <c r="J911">
        <v>1298.0170897999999</v>
      </c>
      <c r="K911">
        <v>0</v>
      </c>
      <c r="L911">
        <v>1215</v>
      </c>
      <c r="M911">
        <v>1215</v>
      </c>
      <c r="N911">
        <v>0</v>
      </c>
    </row>
    <row r="912" spans="1:14" x14ac:dyDescent="0.25">
      <c r="A912">
        <v>520.00001299999997</v>
      </c>
      <c r="B912" s="1">
        <f>DATE(2011,10,3) + TIME(0,0,1)</f>
        <v>40819.000011574077</v>
      </c>
      <c r="C912">
        <v>80</v>
      </c>
      <c r="D912">
        <v>79.898483275999993</v>
      </c>
      <c r="E912">
        <v>50</v>
      </c>
      <c r="F912">
        <v>32.247554778999998</v>
      </c>
      <c r="G912">
        <v>1350.6365966999999</v>
      </c>
      <c r="H912">
        <v>1345.0800781</v>
      </c>
      <c r="I912">
        <v>1314.6104736</v>
      </c>
      <c r="J912">
        <v>1301.1363524999999</v>
      </c>
      <c r="K912">
        <v>0</v>
      </c>
      <c r="L912">
        <v>1215</v>
      </c>
      <c r="M912">
        <v>1215</v>
      </c>
      <c r="N912">
        <v>0</v>
      </c>
    </row>
    <row r="913" spans="1:14" x14ac:dyDescent="0.25">
      <c r="A913">
        <v>520.00004000000001</v>
      </c>
      <c r="B913" s="1">
        <f>DATE(2011,10,3) + TIME(0,0,3)</f>
        <v>40819.000034722223</v>
      </c>
      <c r="C913">
        <v>80</v>
      </c>
      <c r="D913">
        <v>79.897979735999996</v>
      </c>
      <c r="E913">
        <v>50</v>
      </c>
      <c r="F913">
        <v>32.248500823999997</v>
      </c>
      <c r="G913">
        <v>1347.1313477000001</v>
      </c>
      <c r="H913">
        <v>1341.5755615</v>
      </c>
      <c r="I913">
        <v>1320.3854980000001</v>
      </c>
      <c r="J913">
        <v>1306.9133300999999</v>
      </c>
      <c r="K913">
        <v>0</v>
      </c>
      <c r="L913">
        <v>1215</v>
      </c>
      <c r="M913">
        <v>1215</v>
      </c>
      <c r="N913">
        <v>0</v>
      </c>
    </row>
    <row r="914" spans="1:14" x14ac:dyDescent="0.25">
      <c r="A914">
        <v>520.00012100000004</v>
      </c>
      <c r="B914" s="1">
        <f>DATE(2011,10,3) + TIME(0,0,10)</f>
        <v>40819.000115740739</v>
      </c>
      <c r="C914">
        <v>80</v>
      </c>
      <c r="D914">
        <v>79.897407532000003</v>
      </c>
      <c r="E914">
        <v>50</v>
      </c>
      <c r="F914">
        <v>32.250247954999999</v>
      </c>
      <c r="G914">
        <v>1343.2236327999999</v>
      </c>
      <c r="H914">
        <v>1337.6741943</v>
      </c>
      <c r="I914">
        <v>1328.0949707</v>
      </c>
      <c r="J914">
        <v>1314.6331786999999</v>
      </c>
      <c r="K914">
        <v>0</v>
      </c>
      <c r="L914">
        <v>1215</v>
      </c>
      <c r="M914">
        <v>1215</v>
      </c>
      <c r="N914">
        <v>0</v>
      </c>
    </row>
    <row r="915" spans="1:14" x14ac:dyDescent="0.25">
      <c r="A915">
        <v>520.00036399999999</v>
      </c>
      <c r="B915" s="1">
        <f>DATE(2011,10,3) + TIME(0,0,31)</f>
        <v>40819.000358796293</v>
      </c>
      <c r="C915">
        <v>80</v>
      </c>
      <c r="D915">
        <v>79.896797179999993</v>
      </c>
      <c r="E915">
        <v>50</v>
      </c>
      <c r="F915">
        <v>32.253761292</v>
      </c>
      <c r="G915">
        <v>1339.2835693</v>
      </c>
      <c r="H915">
        <v>1333.7384033000001</v>
      </c>
      <c r="I915">
        <v>1336.3752440999999</v>
      </c>
      <c r="J915">
        <v>1322.9243164</v>
      </c>
      <c r="K915">
        <v>0</v>
      </c>
      <c r="L915">
        <v>1215</v>
      </c>
      <c r="M915">
        <v>1215</v>
      </c>
      <c r="N915">
        <v>0</v>
      </c>
    </row>
    <row r="916" spans="1:14" x14ac:dyDescent="0.25">
      <c r="A916">
        <v>520.00109299999997</v>
      </c>
      <c r="B916" s="1">
        <f>DATE(2011,10,3) + TIME(0,1,34)</f>
        <v>40819.001087962963</v>
      </c>
      <c r="C916">
        <v>80</v>
      </c>
      <c r="D916">
        <v>79.896049500000004</v>
      </c>
      <c r="E916">
        <v>50</v>
      </c>
      <c r="F916">
        <v>32.262413025000001</v>
      </c>
      <c r="G916">
        <v>1335.2294922000001</v>
      </c>
      <c r="H916">
        <v>1329.6558838000001</v>
      </c>
      <c r="I916">
        <v>1344.9083252</v>
      </c>
      <c r="J916">
        <v>1331.4660644999999</v>
      </c>
      <c r="K916">
        <v>0</v>
      </c>
      <c r="L916">
        <v>1215</v>
      </c>
      <c r="M916">
        <v>1215</v>
      </c>
      <c r="N916">
        <v>0</v>
      </c>
    </row>
    <row r="917" spans="1:14" x14ac:dyDescent="0.25">
      <c r="A917">
        <v>520.00328000000002</v>
      </c>
      <c r="B917" s="1">
        <f>DATE(2011,10,3) + TIME(0,4,43)</f>
        <v>40819.003275462965</v>
      </c>
      <c r="C917">
        <v>80</v>
      </c>
      <c r="D917">
        <v>79.894859314000001</v>
      </c>
      <c r="E917">
        <v>50</v>
      </c>
      <c r="F917">
        <v>32.286441803000002</v>
      </c>
      <c r="G917">
        <v>1330.59375</v>
      </c>
      <c r="H917">
        <v>1324.9299315999999</v>
      </c>
      <c r="I917">
        <v>1353.8779297000001</v>
      </c>
      <c r="J917">
        <v>1340.4309082</v>
      </c>
      <c r="K917">
        <v>0</v>
      </c>
      <c r="L917">
        <v>1215</v>
      </c>
      <c r="M917">
        <v>1215</v>
      </c>
      <c r="N917">
        <v>0</v>
      </c>
    </row>
    <row r="918" spans="1:14" x14ac:dyDescent="0.25">
      <c r="A918">
        <v>520.00984100000005</v>
      </c>
      <c r="B918" s="1">
        <f>DATE(2011,10,3) + TIME(0,14,10)</f>
        <v>40819.009837962964</v>
      </c>
      <c r="C918">
        <v>80</v>
      </c>
      <c r="D918">
        <v>79.892486571999996</v>
      </c>
      <c r="E918">
        <v>50</v>
      </c>
      <c r="F918">
        <v>32.356407165999997</v>
      </c>
      <c r="G918">
        <v>1325.0939940999999</v>
      </c>
      <c r="H918">
        <v>1319.3341064000001</v>
      </c>
      <c r="I918">
        <v>1362.8076172000001</v>
      </c>
      <c r="J918">
        <v>1349.3367920000001</v>
      </c>
      <c r="K918">
        <v>0</v>
      </c>
      <c r="L918">
        <v>1215</v>
      </c>
      <c r="M918">
        <v>1215</v>
      </c>
      <c r="N918">
        <v>0</v>
      </c>
    </row>
    <row r="919" spans="1:14" x14ac:dyDescent="0.25">
      <c r="A919">
        <v>520.02952400000004</v>
      </c>
      <c r="B919" s="1">
        <f>DATE(2011,10,3) + TIME(0,42,30)</f>
        <v>40819.029513888891</v>
      </c>
      <c r="C919">
        <v>80</v>
      </c>
      <c r="D919">
        <v>79.886970520000006</v>
      </c>
      <c r="E919">
        <v>50</v>
      </c>
      <c r="F919">
        <v>32.562389373999999</v>
      </c>
      <c r="G919">
        <v>1319.9102783000001</v>
      </c>
      <c r="H919">
        <v>1314.1010742000001</v>
      </c>
      <c r="I919">
        <v>1369.7327881000001</v>
      </c>
      <c r="J919">
        <v>1356.2679443</v>
      </c>
      <c r="K919">
        <v>0</v>
      </c>
      <c r="L919">
        <v>1215</v>
      </c>
      <c r="M919">
        <v>1215</v>
      </c>
      <c r="N919">
        <v>0</v>
      </c>
    </row>
    <row r="920" spans="1:14" x14ac:dyDescent="0.25">
      <c r="A920">
        <v>520.088573</v>
      </c>
      <c r="B920" s="1">
        <f>DATE(2011,10,3) + TIME(2,7,32)</f>
        <v>40819.088564814818</v>
      </c>
      <c r="C920">
        <v>80</v>
      </c>
      <c r="D920">
        <v>79.872528075999995</v>
      </c>
      <c r="E920">
        <v>50</v>
      </c>
      <c r="F920">
        <v>33.158973693999997</v>
      </c>
      <c r="G920">
        <v>1316.9150391000001</v>
      </c>
      <c r="H920">
        <v>1311.0889893000001</v>
      </c>
      <c r="I920">
        <v>1372.715332</v>
      </c>
      <c r="J920">
        <v>1359.3769531</v>
      </c>
      <c r="K920">
        <v>0</v>
      </c>
      <c r="L920">
        <v>1215</v>
      </c>
      <c r="M920">
        <v>1215</v>
      </c>
      <c r="N920">
        <v>0</v>
      </c>
    </row>
    <row r="921" spans="1:14" x14ac:dyDescent="0.25">
      <c r="A921">
        <v>520.17554299999995</v>
      </c>
      <c r="B921" s="1">
        <f>DATE(2011,10,3) + TIME(4,12,46)</f>
        <v>40819.175532407404</v>
      </c>
      <c r="C921">
        <v>80</v>
      </c>
      <c r="D921">
        <v>79.852272033999995</v>
      </c>
      <c r="E921">
        <v>50</v>
      </c>
      <c r="F921">
        <v>33.995975494</v>
      </c>
      <c r="G921">
        <v>1316.1422118999999</v>
      </c>
      <c r="H921">
        <v>1310.3125</v>
      </c>
      <c r="I921">
        <v>1372.9852295000001</v>
      </c>
      <c r="J921">
        <v>1359.8376464999999</v>
      </c>
      <c r="K921">
        <v>0</v>
      </c>
      <c r="L921">
        <v>1215</v>
      </c>
      <c r="M921">
        <v>1215</v>
      </c>
      <c r="N921">
        <v>0</v>
      </c>
    </row>
    <row r="922" spans="1:14" x14ac:dyDescent="0.25">
      <c r="A922">
        <v>520.26629400000002</v>
      </c>
      <c r="B922" s="1">
        <f>DATE(2011,10,3) + TIME(6,23,27)</f>
        <v>40819.266284722224</v>
      </c>
      <c r="C922">
        <v>80</v>
      </c>
      <c r="D922">
        <v>79.831542968999997</v>
      </c>
      <c r="E922">
        <v>50</v>
      </c>
      <c r="F922">
        <v>34.826770781999997</v>
      </c>
      <c r="G922">
        <v>1315.9816894999999</v>
      </c>
      <c r="H922">
        <v>1310.1507568</v>
      </c>
      <c r="I922">
        <v>1372.7736815999999</v>
      </c>
      <c r="J922">
        <v>1359.8065185999999</v>
      </c>
      <c r="K922">
        <v>0</v>
      </c>
      <c r="L922">
        <v>1215</v>
      </c>
      <c r="M922">
        <v>1215</v>
      </c>
      <c r="N922">
        <v>0</v>
      </c>
    </row>
    <row r="923" spans="1:14" x14ac:dyDescent="0.25">
      <c r="A923">
        <v>520.36114299999997</v>
      </c>
      <c r="B923" s="1">
        <f>DATE(2011,10,3) + TIME(8,40,2)</f>
        <v>40819.361134259256</v>
      </c>
      <c r="C923">
        <v>80</v>
      </c>
      <c r="D923">
        <v>79.810241699000002</v>
      </c>
      <c r="E923">
        <v>50</v>
      </c>
      <c r="F923">
        <v>35.650630950999997</v>
      </c>
      <c r="G923">
        <v>1315.9439697</v>
      </c>
      <c r="H923">
        <v>1310.1124268000001</v>
      </c>
      <c r="I923">
        <v>1372.519043</v>
      </c>
      <c r="J923">
        <v>1359.7257079999999</v>
      </c>
      <c r="K923">
        <v>0</v>
      </c>
      <c r="L923">
        <v>1215</v>
      </c>
      <c r="M923">
        <v>1215</v>
      </c>
      <c r="N923">
        <v>0</v>
      </c>
    </row>
    <row r="924" spans="1:14" x14ac:dyDescent="0.25">
      <c r="A924">
        <v>520.46047399999998</v>
      </c>
      <c r="B924" s="1">
        <f>DATE(2011,10,3) + TIME(11,3,4)</f>
        <v>40819.460462962961</v>
      </c>
      <c r="C924">
        <v>80</v>
      </c>
      <c r="D924">
        <v>79.788299561000002</v>
      </c>
      <c r="E924">
        <v>50</v>
      </c>
      <c r="F924">
        <v>36.466968536000003</v>
      </c>
      <c r="G924">
        <v>1315.9335937999999</v>
      </c>
      <c r="H924">
        <v>1310.1013184000001</v>
      </c>
      <c r="I924">
        <v>1372.2735596</v>
      </c>
      <c r="J924">
        <v>1359.6473389</v>
      </c>
      <c r="K924">
        <v>0</v>
      </c>
      <c r="L924">
        <v>1215</v>
      </c>
      <c r="M924">
        <v>1215</v>
      </c>
      <c r="N924">
        <v>0</v>
      </c>
    </row>
    <row r="925" spans="1:14" x14ac:dyDescent="0.25">
      <c r="A925">
        <v>520.56476099999998</v>
      </c>
      <c r="B925" s="1">
        <f>DATE(2011,10,3) + TIME(13,33,15)</f>
        <v>40819.564756944441</v>
      </c>
      <c r="C925">
        <v>80</v>
      </c>
      <c r="D925">
        <v>79.765640258999994</v>
      </c>
      <c r="E925">
        <v>50</v>
      </c>
      <c r="F925">
        <v>37.275398254000002</v>
      </c>
      <c r="G925">
        <v>1315.9295654</v>
      </c>
      <c r="H925">
        <v>1310.0966797000001</v>
      </c>
      <c r="I925">
        <v>1372.0396728999999</v>
      </c>
      <c r="J925">
        <v>1359.5738524999999</v>
      </c>
      <c r="K925">
        <v>0</v>
      </c>
      <c r="L925">
        <v>1215</v>
      </c>
      <c r="M925">
        <v>1215</v>
      </c>
      <c r="N925">
        <v>0</v>
      </c>
    </row>
    <row r="926" spans="1:14" x14ac:dyDescent="0.25">
      <c r="A926">
        <v>520.67455600000005</v>
      </c>
      <c r="B926" s="1">
        <f>DATE(2011,10,3) + TIME(16,11,21)</f>
        <v>40819.67454861111</v>
      </c>
      <c r="C926">
        <v>80</v>
      </c>
      <c r="D926">
        <v>79.7421875</v>
      </c>
      <c r="E926">
        <v>50</v>
      </c>
      <c r="F926">
        <v>38.075477599999999</v>
      </c>
      <c r="G926">
        <v>1315.927124</v>
      </c>
      <c r="H926">
        <v>1310.0936279</v>
      </c>
      <c r="I926">
        <v>1371.8155518000001</v>
      </c>
      <c r="J926">
        <v>1359.5039062000001</v>
      </c>
      <c r="K926">
        <v>0</v>
      </c>
      <c r="L926">
        <v>1215</v>
      </c>
      <c r="M926">
        <v>1215</v>
      </c>
      <c r="N926">
        <v>0</v>
      </c>
    </row>
    <row r="927" spans="1:14" x14ac:dyDescent="0.25">
      <c r="A927">
        <v>520.79049199999997</v>
      </c>
      <c r="B927" s="1">
        <f>DATE(2011,10,3) + TIME(18,58,18)</f>
        <v>40819.790486111109</v>
      </c>
      <c r="C927">
        <v>80</v>
      </c>
      <c r="D927">
        <v>79.717849731000001</v>
      </c>
      <c r="E927">
        <v>50</v>
      </c>
      <c r="F927">
        <v>38.866622925000001</v>
      </c>
      <c r="G927">
        <v>1315.9249268000001</v>
      </c>
      <c r="H927">
        <v>1310.0908202999999</v>
      </c>
      <c r="I927">
        <v>1371.6000977000001</v>
      </c>
      <c r="J927">
        <v>1359.4365233999999</v>
      </c>
      <c r="K927">
        <v>0</v>
      </c>
      <c r="L927">
        <v>1215</v>
      </c>
      <c r="M927">
        <v>1215</v>
      </c>
      <c r="N927">
        <v>0</v>
      </c>
    </row>
    <row r="928" spans="1:14" x14ac:dyDescent="0.25">
      <c r="A928">
        <v>520.91331500000001</v>
      </c>
      <c r="B928" s="1">
        <f>DATE(2011,10,3) + TIME(21,55,10)</f>
        <v>40819.913310185184</v>
      </c>
      <c r="C928">
        <v>80</v>
      </c>
      <c r="D928">
        <v>79.692520142000006</v>
      </c>
      <c r="E928">
        <v>50</v>
      </c>
      <c r="F928">
        <v>39.648174286</v>
      </c>
      <c r="G928">
        <v>1315.9227295000001</v>
      </c>
      <c r="H928">
        <v>1310.0878906</v>
      </c>
      <c r="I928">
        <v>1371.3925781</v>
      </c>
      <c r="J928">
        <v>1359.3710937999999</v>
      </c>
      <c r="K928">
        <v>0</v>
      </c>
      <c r="L928">
        <v>1215</v>
      </c>
      <c r="M928">
        <v>1215</v>
      </c>
      <c r="N928">
        <v>0</v>
      </c>
    </row>
    <row r="929" spans="1:14" x14ac:dyDescent="0.25">
      <c r="A929">
        <v>521.04390699999999</v>
      </c>
      <c r="B929" s="1">
        <f>DATE(2011,10,4) + TIME(1,3,13)</f>
        <v>40820.043900462966</v>
      </c>
      <c r="C929">
        <v>80</v>
      </c>
      <c r="D929">
        <v>79.666084290000001</v>
      </c>
      <c r="E929">
        <v>50</v>
      </c>
      <c r="F929">
        <v>40.419464111000003</v>
      </c>
      <c r="G929">
        <v>1315.9204102000001</v>
      </c>
      <c r="H929">
        <v>1310.0848389</v>
      </c>
      <c r="I929">
        <v>1371.1923827999999</v>
      </c>
      <c r="J929">
        <v>1359.307251</v>
      </c>
      <c r="K929">
        <v>0</v>
      </c>
      <c r="L929">
        <v>1215</v>
      </c>
      <c r="M929">
        <v>1215</v>
      </c>
      <c r="N929">
        <v>0</v>
      </c>
    </row>
    <row r="930" spans="1:14" x14ac:dyDescent="0.25">
      <c r="A930">
        <v>521.18332399999997</v>
      </c>
      <c r="B930" s="1">
        <f>DATE(2011,10,4) + TIME(4,23,59)</f>
        <v>40820.183321759258</v>
      </c>
      <c r="C930">
        <v>80</v>
      </c>
      <c r="D930">
        <v>79.638389587000006</v>
      </c>
      <c r="E930">
        <v>50</v>
      </c>
      <c r="F930">
        <v>41.179607390999998</v>
      </c>
      <c r="G930">
        <v>1315.9178466999999</v>
      </c>
      <c r="H930">
        <v>1310.0816649999999</v>
      </c>
      <c r="I930">
        <v>1370.9991454999999</v>
      </c>
      <c r="J930">
        <v>1359.2446289</v>
      </c>
      <c r="K930">
        <v>0</v>
      </c>
      <c r="L930">
        <v>1215</v>
      </c>
      <c r="M930">
        <v>1215</v>
      </c>
      <c r="N930">
        <v>0</v>
      </c>
    </row>
    <row r="931" spans="1:14" x14ac:dyDescent="0.25">
      <c r="A931">
        <v>521.33284500000002</v>
      </c>
      <c r="B931" s="1">
        <f>DATE(2011,10,4) + TIME(7,59,17)</f>
        <v>40820.332835648151</v>
      </c>
      <c r="C931">
        <v>80</v>
      </c>
      <c r="D931">
        <v>79.609260559000006</v>
      </c>
      <c r="E931">
        <v>50</v>
      </c>
      <c r="F931">
        <v>41.927497864000003</v>
      </c>
      <c r="G931">
        <v>1315.9151611</v>
      </c>
      <c r="H931">
        <v>1310.0782471</v>
      </c>
      <c r="I931">
        <v>1370.8122559000001</v>
      </c>
      <c r="J931">
        <v>1359.1829834</v>
      </c>
      <c r="K931">
        <v>0</v>
      </c>
      <c r="L931">
        <v>1215</v>
      </c>
      <c r="M931">
        <v>1215</v>
      </c>
      <c r="N931">
        <v>0</v>
      </c>
    </row>
    <row r="932" spans="1:14" x14ac:dyDescent="0.25">
      <c r="A932">
        <v>521.49403500000005</v>
      </c>
      <c r="B932" s="1">
        <f>DATE(2011,10,4) + TIME(11,51,24)</f>
        <v>40820.494027777779</v>
      </c>
      <c r="C932">
        <v>80</v>
      </c>
      <c r="D932">
        <v>79.578491210999999</v>
      </c>
      <c r="E932">
        <v>50</v>
      </c>
      <c r="F932">
        <v>42.661956787000001</v>
      </c>
      <c r="G932">
        <v>1315.9122314000001</v>
      </c>
      <c r="H932">
        <v>1310.0744629000001</v>
      </c>
      <c r="I932">
        <v>1370.6313477000001</v>
      </c>
      <c r="J932">
        <v>1359.1219481999999</v>
      </c>
      <c r="K932">
        <v>0</v>
      </c>
      <c r="L932">
        <v>1215</v>
      </c>
      <c r="M932">
        <v>1215</v>
      </c>
      <c r="N932">
        <v>0</v>
      </c>
    </row>
    <row r="933" spans="1:14" x14ac:dyDescent="0.25">
      <c r="A933">
        <v>521.66883499999994</v>
      </c>
      <c r="B933" s="1">
        <f>DATE(2011,10,4) + TIME(16,3,7)</f>
        <v>40820.66883101852</v>
      </c>
      <c r="C933">
        <v>80</v>
      </c>
      <c r="D933">
        <v>79.545822143999999</v>
      </c>
      <c r="E933">
        <v>50</v>
      </c>
      <c r="F933">
        <v>43.381618500000002</v>
      </c>
      <c r="G933">
        <v>1315.9090576000001</v>
      </c>
      <c r="H933">
        <v>1310.0704346</v>
      </c>
      <c r="I933">
        <v>1370.4559326000001</v>
      </c>
      <c r="J933">
        <v>1359.0610352000001</v>
      </c>
      <c r="K933">
        <v>0</v>
      </c>
      <c r="L933">
        <v>1215</v>
      </c>
      <c r="M933">
        <v>1215</v>
      </c>
      <c r="N933">
        <v>0</v>
      </c>
    </row>
    <row r="934" spans="1:14" x14ac:dyDescent="0.25">
      <c r="A934">
        <v>521.85969399999999</v>
      </c>
      <c r="B934" s="1">
        <f>DATE(2011,10,4) + TIME(20,37,57)</f>
        <v>40820.8596875</v>
      </c>
      <c r="C934">
        <v>80</v>
      </c>
      <c r="D934">
        <v>79.510940551999994</v>
      </c>
      <c r="E934">
        <v>50</v>
      </c>
      <c r="F934">
        <v>44.084869384999998</v>
      </c>
      <c r="G934">
        <v>1315.9056396000001</v>
      </c>
      <c r="H934">
        <v>1310.0661620999999</v>
      </c>
      <c r="I934">
        <v>1370.2855225000001</v>
      </c>
      <c r="J934">
        <v>1358.9997559000001</v>
      </c>
      <c r="K934">
        <v>0</v>
      </c>
      <c r="L934">
        <v>1215</v>
      </c>
      <c r="M934">
        <v>1215</v>
      </c>
      <c r="N934">
        <v>0</v>
      </c>
    </row>
    <row r="935" spans="1:14" x14ac:dyDescent="0.25">
      <c r="A935">
        <v>522.069706</v>
      </c>
      <c r="B935" s="1">
        <f>DATE(2011,10,5) + TIME(1,40,22)</f>
        <v>40821.069699074076</v>
      </c>
      <c r="C935">
        <v>80</v>
      </c>
      <c r="D935">
        <v>79.473449707</v>
      </c>
      <c r="E935">
        <v>50</v>
      </c>
      <c r="F935">
        <v>44.769680022999999</v>
      </c>
      <c r="G935">
        <v>1315.9018555</v>
      </c>
      <c r="H935">
        <v>1310.0614014</v>
      </c>
      <c r="I935">
        <v>1370.119751</v>
      </c>
      <c r="J935">
        <v>1358.9378661999999</v>
      </c>
      <c r="K935">
        <v>0</v>
      </c>
      <c r="L935">
        <v>1215</v>
      </c>
      <c r="M935">
        <v>1215</v>
      </c>
      <c r="N935">
        <v>0</v>
      </c>
    </row>
    <row r="936" spans="1:14" x14ac:dyDescent="0.25">
      <c r="A936">
        <v>522.30303000000004</v>
      </c>
      <c r="B936" s="1">
        <f>DATE(2011,10,5) + TIME(7,16,21)</f>
        <v>40821.303020833337</v>
      </c>
      <c r="C936">
        <v>80</v>
      </c>
      <c r="D936">
        <v>79.432815551999994</v>
      </c>
      <c r="E936">
        <v>50</v>
      </c>
      <c r="F936">
        <v>45.433952331999997</v>
      </c>
      <c r="G936">
        <v>1315.8975829999999</v>
      </c>
      <c r="H936">
        <v>1310.0562743999999</v>
      </c>
      <c r="I936">
        <v>1369.9578856999999</v>
      </c>
      <c r="J936">
        <v>1358.8745117000001</v>
      </c>
      <c r="K936">
        <v>0</v>
      </c>
      <c r="L936">
        <v>1215</v>
      </c>
      <c r="M936">
        <v>1215</v>
      </c>
      <c r="N936">
        <v>0</v>
      </c>
    </row>
    <row r="937" spans="1:14" x14ac:dyDescent="0.25">
      <c r="A937">
        <v>522.56519600000001</v>
      </c>
      <c r="B937" s="1">
        <f>DATE(2011,10,5) + TIME(13,33,52)</f>
        <v>40821.565185185187</v>
      </c>
      <c r="C937">
        <v>80</v>
      </c>
      <c r="D937">
        <v>79.388381957999997</v>
      </c>
      <c r="E937">
        <v>50</v>
      </c>
      <c r="F937">
        <v>46.075000762999998</v>
      </c>
      <c r="G937">
        <v>1315.8929443</v>
      </c>
      <c r="H937">
        <v>1310.0505370999999</v>
      </c>
      <c r="I937">
        <v>1369.7993164</v>
      </c>
      <c r="J937">
        <v>1358.809082</v>
      </c>
      <c r="K937">
        <v>0</v>
      </c>
      <c r="L937">
        <v>1215</v>
      </c>
      <c r="M937">
        <v>1215</v>
      </c>
      <c r="N937">
        <v>0</v>
      </c>
    </row>
    <row r="938" spans="1:14" x14ac:dyDescent="0.25">
      <c r="A938">
        <v>522.86385800000005</v>
      </c>
      <c r="B938" s="1">
        <f>DATE(2011,10,5) + TIME(20,43,57)</f>
        <v>40821.863854166666</v>
      </c>
      <c r="C938">
        <v>80</v>
      </c>
      <c r="D938">
        <v>79.33921814</v>
      </c>
      <c r="E938">
        <v>50</v>
      </c>
      <c r="F938">
        <v>46.689575195000003</v>
      </c>
      <c r="G938">
        <v>1315.8875731999999</v>
      </c>
      <c r="H938">
        <v>1310.0440673999999</v>
      </c>
      <c r="I938">
        <v>1369.6435547000001</v>
      </c>
      <c r="J938">
        <v>1358.7408447</v>
      </c>
      <c r="K938">
        <v>0</v>
      </c>
      <c r="L938">
        <v>1215</v>
      </c>
      <c r="M938">
        <v>1215</v>
      </c>
      <c r="N938">
        <v>0</v>
      </c>
    </row>
    <row r="939" spans="1:14" x14ac:dyDescent="0.25">
      <c r="A939">
        <v>523.20997499999999</v>
      </c>
      <c r="B939" s="1">
        <f>DATE(2011,10,6) + TIME(5,2,21)</f>
        <v>40822.209965277776</v>
      </c>
      <c r="C939">
        <v>80</v>
      </c>
      <c r="D939">
        <v>79.284080505000006</v>
      </c>
      <c r="E939">
        <v>50</v>
      </c>
      <c r="F939">
        <v>47.273670197000001</v>
      </c>
      <c r="G939">
        <v>1315.8815918</v>
      </c>
      <c r="H939">
        <v>1310.0367432</v>
      </c>
      <c r="I939">
        <v>1369.4895019999999</v>
      </c>
      <c r="J939">
        <v>1358.668457</v>
      </c>
      <c r="K939">
        <v>0</v>
      </c>
      <c r="L939">
        <v>1215</v>
      </c>
      <c r="M939">
        <v>1215</v>
      </c>
      <c r="N939">
        <v>0</v>
      </c>
    </row>
    <row r="940" spans="1:14" x14ac:dyDescent="0.25">
      <c r="A940">
        <v>523.59206300000005</v>
      </c>
      <c r="B940" s="1">
        <f>DATE(2011,10,6) + TIME(14,12,34)</f>
        <v>40822.592060185183</v>
      </c>
      <c r="C940">
        <v>80</v>
      </c>
      <c r="D940">
        <v>79.224678040000001</v>
      </c>
      <c r="E940">
        <v>50</v>
      </c>
      <c r="F940">
        <v>47.79234314</v>
      </c>
      <c r="G940">
        <v>1315.8745117000001</v>
      </c>
      <c r="H940">
        <v>1310.0283202999999</v>
      </c>
      <c r="I940">
        <v>1369.3443603999999</v>
      </c>
      <c r="J940">
        <v>1358.59375</v>
      </c>
      <c r="K940">
        <v>0</v>
      </c>
      <c r="L940">
        <v>1215</v>
      </c>
      <c r="M940">
        <v>1215</v>
      </c>
      <c r="N940">
        <v>0</v>
      </c>
    </row>
    <row r="941" spans="1:14" x14ac:dyDescent="0.25">
      <c r="A941">
        <v>523.97781599999996</v>
      </c>
      <c r="B941" s="1">
        <f>DATE(2011,10,6) + TIME(23,28,3)</f>
        <v>40822.977812500001</v>
      </c>
      <c r="C941">
        <v>80</v>
      </c>
      <c r="D941">
        <v>79.165138244999994</v>
      </c>
      <c r="E941">
        <v>50</v>
      </c>
      <c r="F941">
        <v>48.212509154999999</v>
      </c>
      <c r="G941">
        <v>1315.8664550999999</v>
      </c>
      <c r="H941">
        <v>1310.0191649999999</v>
      </c>
      <c r="I941">
        <v>1369.2159423999999</v>
      </c>
      <c r="J941">
        <v>1358.5202637</v>
      </c>
      <c r="K941">
        <v>0</v>
      </c>
      <c r="L941">
        <v>1215</v>
      </c>
      <c r="M941">
        <v>1215</v>
      </c>
      <c r="N941">
        <v>0</v>
      </c>
    </row>
    <row r="942" spans="1:14" x14ac:dyDescent="0.25">
      <c r="A942">
        <v>524.373694</v>
      </c>
      <c r="B942" s="1">
        <f>DATE(2011,10,7) + TIME(8,58,7)</f>
        <v>40823.373692129629</v>
      </c>
      <c r="C942">
        <v>80</v>
      </c>
      <c r="D942">
        <v>79.104690551999994</v>
      </c>
      <c r="E942">
        <v>50</v>
      </c>
      <c r="F942">
        <v>48.556484222000002</v>
      </c>
      <c r="G942">
        <v>1315.8583983999999</v>
      </c>
      <c r="H942">
        <v>1310.0097656</v>
      </c>
      <c r="I942">
        <v>1369.1003418</v>
      </c>
      <c r="J942">
        <v>1358.449707</v>
      </c>
      <c r="K942">
        <v>0</v>
      </c>
      <c r="L942">
        <v>1215</v>
      </c>
      <c r="M942">
        <v>1215</v>
      </c>
      <c r="N942">
        <v>0</v>
      </c>
    </row>
    <row r="943" spans="1:14" x14ac:dyDescent="0.25">
      <c r="A943">
        <v>524.78296899999998</v>
      </c>
      <c r="B943" s="1">
        <f>DATE(2011,10,7) + TIME(18,47,28)</f>
        <v>40823.782962962963</v>
      </c>
      <c r="C943">
        <v>80</v>
      </c>
      <c r="D943">
        <v>79.042976378999995</v>
      </c>
      <c r="E943">
        <v>50</v>
      </c>
      <c r="F943">
        <v>48.838127135999997</v>
      </c>
      <c r="G943">
        <v>1315.8500977000001</v>
      </c>
      <c r="H943">
        <v>1310.0002440999999</v>
      </c>
      <c r="I943">
        <v>1368.994751</v>
      </c>
      <c r="J943">
        <v>1358.3809814000001</v>
      </c>
      <c r="K943">
        <v>0</v>
      </c>
      <c r="L943">
        <v>1215</v>
      </c>
      <c r="M943">
        <v>1215</v>
      </c>
      <c r="N943">
        <v>0</v>
      </c>
    </row>
    <row r="944" spans="1:14" x14ac:dyDescent="0.25">
      <c r="A944">
        <v>525.20930699999997</v>
      </c>
      <c r="B944" s="1">
        <f>DATE(2011,10,8) + TIME(5,1,24)</f>
        <v>40824.209305555552</v>
      </c>
      <c r="C944">
        <v>80</v>
      </c>
      <c r="D944">
        <v>78.979560852000006</v>
      </c>
      <c r="E944">
        <v>50</v>
      </c>
      <c r="F944">
        <v>49.068443297999998</v>
      </c>
      <c r="G944">
        <v>1315.8414307</v>
      </c>
      <c r="H944">
        <v>1309.9902344</v>
      </c>
      <c r="I944">
        <v>1368.8969727000001</v>
      </c>
      <c r="J944">
        <v>1358.3134766000001</v>
      </c>
      <c r="K944">
        <v>0</v>
      </c>
      <c r="L944">
        <v>1215</v>
      </c>
      <c r="M944">
        <v>1215</v>
      </c>
      <c r="N944">
        <v>0</v>
      </c>
    </row>
    <row r="945" spans="1:14" x14ac:dyDescent="0.25">
      <c r="A945">
        <v>525.65671499999996</v>
      </c>
      <c r="B945" s="1">
        <f>DATE(2011,10,8) + TIME(15,45,40)</f>
        <v>40824.656712962962</v>
      </c>
      <c r="C945">
        <v>80</v>
      </c>
      <c r="D945">
        <v>78.914009093999994</v>
      </c>
      <c r="E945">
        <v>50</v>
      </c>
      <c r="F945">
        <v>49.256195067999997</v>
      </c>
      <c r="G945">
        <v>1315.8323975000001</v>
      </c>
      <c r="H945">
        <v>1309.9798584</v>
      </c>
      <c r="I945">
        <v>1368.8051757999999</v>
      </c>
      <c r="J945">
        <v>1358.2468262</v>
      </c>
      <c r="K945">
        <v>0</v>
      </c>
      <c r="L945">
        <v>1215</v>
      </c>
      <c r="M945">
        <v>1215</v>
      </c>
      <c r="N945">
        <v>0</v>
      </c>
    </row>
    <row r="946" spans="1:14" x14ac:dyDescent="0.25">
      <c r="A946">
        <v>526.12977699999999</v>
      </c>
      <c r="B946" s="1">
        <f>DATE(2011,10,9) + TIME(3,6,52)</f>
        <v>40825.12976851852</v>
      </c>
      <c r="C946">
        <v>80</v>
      </c>
      <c r="D946">
        <v>78.845832825000002</v>
      </c>
      <c r="E946">
        <v>50</v>
      </c>
      <c r="F946">
        <v>49.408500670999999</v>
      </c>
      <c r="G946">
        <v>1315.8229980000001</v>
      </c>
      <c r="H946">
        <v>1309.9689940999999</v>
      </c>
      <c r="I946">
        <v>1368.7182617000001</v>
      </c>
      <c r="J946">
        <v>1358.1805420000001</v>
      </c>
      <c r="K946">
        <v>0</v>
      </c>
      <c r="L946">
        <v>1215</v>
      </c>
      <c r="M946">
        <v>1215</v>
      </c>
      <c r="N946">
        <v>0</v>
      </c>
    </row>
    <row r="947" spans="1:14" x14ac:dyDescent="0.25">
      <c r="A947">
        <v>526.63392299999998</v>
      </c>
      <c r="B947" s="1">
        <f>DATE(2011,10,9) + TIME(15,12,50)</f>
        <v>40825.633912037039</v>
      </c>
      <c r="C947">
        <v>80</v>
      </c>
      <c r="D947">
        <v>78.774459839000002</v>
      </c>
      <c r="E947">
        <v>50</v>
      </c>
      <c r="F947">
        <v>49.531219481999997</v>
      </c>
      <c r="G947">
        <v>1315.8128661999999</v>
      </c>
      <c r="H947">
        <v>1309.9573975000001</v>
      </c>
      <c r="I947">
        <v>1368.6346435999999</v>
      </c>
      <c r="J947">
        <v>1358.1141356999999</v>
      </c>
      <c r="K947">
        <v>0</v>
      </c>
      <c r="L947">
        <v>1215</v>
      </c>
      <c r="M947">
        <v>1215</v>
      </c>
      <c r="N947">
        <v>0</v>
      </c>
    </row>
    <row r="948" spans="1:14" x14ac:dyDescent="0.25">
      <c r="A948">
        <v>527.175749</v>
      </c>
      <c r="B948" s="1">
        <f>DATE(2011,10,10) + TIME(4,13,4)</f>
        <v>40826.175740740742</v>
      </c>
      <c r="C948">
        <v>80</v>
      </c>
      <c r="D948">
        <v>78.699211121000005</v>
      </c>
      <c r="E948">
        <v>50</v>
      </c>
      <c r="F948">
        <v>49.629257201999998</v>
      </c>
      <c r="G948">
        <v>1315.802124</v>
      </c>
      <c r="H948">
        <v>1309.9451904</v>
      </c>
      <c r="I948">
        <v>1368.5534668</v>
      </c>
      <c r="J948">
        <v>1358.0472411999999</v>
      </c>
      <c r="K948">
        <v>0</v>
      </c>
      <c r="L948">
        <v>1215</v>
      </c>
      <c r="M948">
        <v>1215</v>
      </c>
      <c r="N948">
        <v>0</v>
      </c>
    </row>
    <row r="949" spans="1:14" x14ac:dyDescent="0.25">
      <c r="A949">
        <v>527.76351999999997</v>
      </c>
      <c r="B949" s="1">
        <f>DATE(2011,10,10) + TIME(18,19,28)</f>
        <v>40826.763518518521</v>
      </c>
      <c r="C949">
        <v>80</v>
      </c>
      <c r="D949">
        <v>78.619277953999998</v>
      </c>
      <c r="E949">
        <v>50</v>
      </c>
      <c r="F949">
        <v>49.706733704000001</v>
      </c>
      <c r="G949">
        <v>1315.7906493999999</v>
      </c>
      <c r="H949">
        <v>1309.9318848</v>
      </c>
      <c r="I949">
        <v>1368.4736327999999</v>
      </c>
      <c r="J949">
        <v>1357.9793701000001</v>
      </c>
      <c r="K949">
        <v>0</v>
      </c>
      <c r="L949">
        <v>1215</v>
      </c>
      <c r="M949">
        <v>1215</v>
      </c>
      <c r="N949">
        <v>0</v>
      </c>
    </row>
    <row r="950" spans="1:14" x14ac:dyDescent="0.25">
      <c r="A950">
        <v>528.40602200000001</v>
      </c>
      <c r="B950" s="1">
        <f>DATE(2011,10,11) + TIME(9,44,40)</f>
        <v>40827.406018518515</v>
      </c>
      <c r="C950">
        <v>80</v>
      </c>
      <c r="D950">
        <v>78.533821106000005</v>
      </c>
      <c r="E950">
        <v>50</v>
      </c>
      <c r="F950">
        <v>49.767044067</v>
      </c>
      <c r="G950">
        <v>1315.7779541</v>
      </c>
      <c r="H950">
        <v>1309.9174805</v>
      </c>
      <c r="I950">
        <v>1368.3941649999999</v>
      </c>
      <c r="J950">
        <v>1357.9099120999999</v>
      </c>
      <c r="K950">
        <v>0</v>
      </c>
      <c r="L950">
        <v>1215</v>
      </c>
      <c r="M950">
        <v>1215</v>
      </c>
      <c r="N950">
        <v>0</v>
      </c>
    </row>
    <row r="951" spans="1:14" x14ac:dyDescent="0.25">
      <c r="A951">
        <v>529.10350200000005</v>
      </c>
      <c r="B951" s="1">
        <f>DATE(2011,10,12) + TIME(2,29,2)</f>
        <v>40828.103495370371</v>
      </c>
      <c r="C951">
        <v>80</v>
      </c>
      <c r="D951">
        <v>78.442832946999999</v>
      </c>
      <c r="E951">
        <v>50</v>
      </c>
      <c r="F951">
        <v>49.812690734999997</v>
      </c>
      <c r="G951">
        <v>1315.7641602000001</v>
      </c>
      <c r="H951">
        <v>1309.9016113</v>
      </c>
      <c r="I951">
        <v>1368.3143310999999</v>
      </c>
      <c r="J951">
        <v>1357.8386230000001</v>
      </c>
      <c r="K951">
        <v>0</v>
      </c>
      <c r="L951">
        <v>1215</v>
      </c>
      <c r="M951">
        <v>1215</v>
      </c>
      <c r="N951">
        <v>0</v>
      </c>
    </row>
    <row r="952" spans="1:14" x14ac:dyDescent="0.25">
      <c r="A952">
        <v>529.86974799999996</v>
      </c>
      <c r="B952" s="1">
        <f>DATE(2011,10,12) + TIME(20,52,26)</f>
        <v>40828.869745370372</v>
      </c>
      <c r="C952">
        <v>80</v>
      </c>
      <c r="D952">
        <v>78.345123290999993</v>
      </c>
      <c r="E952">
        <v>50</v>
      </c>
      <c r="F952">
        <v>49.846794127999999</v>
      </c>
      <c r="G952">
        <v>1315.7490233999999</v>
      </c>
      <c r="H952">
        <v>1309.8843993999999</v>
      </c>
      <c r="I952">
        <v>1368.2342529</v>
      </c>
      <c r="J952">
        <v>1357.7658690999999</v>
      </c>
      <c r="K952">
        <v>0</v>
      </c>
      <c r="L952">
        <v>1215</v>
      </c>
      <c r="M952">
        <v>1215</v>
      </c>
      <c r="N952">
        <v>0</v>
      </c>
    </row>
    <row r="953" spans="1:14" x14ac:dyDescent="0.25">
      <c r="A953">
        <v>530.66038200000003</v>
      </c>
      <c r="B953" s="1">
        <f>DATE(2011,10,13) + TIME(15,50,57)</f>
        <v>40829.660381944443</v>
      </c>
      <c r="C953">
        <v>80</v>
      </c>
      <c r="D953">
        <v>78.244529724000003</v>
      </c>
      <c r="E953">
        <v>50</v>
      </c>
      <c r="F953">
        <v>49.870613098</v>
      </c>
      <c r="G953">
        <v>1315.7321777</v>
      </c>
      <c r="H953">
        <v>1309.8654785000001</v>
      </c>
      <c r="I953">
        <v>1368.1530762</v>
      </c>
      <c r="J953">
        <v>1357.6910399999999</v>
      </c>
      <c r="K953">
        <v>0</v>
      </c>
      <c r="L953">
        <v>1215</v>
      </c>
      <c r="M953">
        <v>1215</v>
      </c>
      <c r="N953">
        <v>0</v>
      </c>
    </row>
    <row r="954" spans="1:14" x14ac:dyDescent="0.25">
      <c r="A954">
        <v>531.46105</v>
      </c>
      <c r="B954" s="1">
        <f>DATE(2011,10,14) + TIME(11,3,54)</f>
        <v>40830.461041666669</v>
      </c>
      <c r="C954">
        <v>80</v>
      </c>
      <c r="D954">
        <v>78.142745972</v>
      </c>
      <c r="E954">
        <v>50</v>
      </c>
      <c r="F954">
        <v>49.886985779</v>
      </c>
      <c r="G954">
        <v>1315.7147216999999</v>
      </c>
      <c r="H954">
        <v>1309.8458252</v>
      </c>
      <c r="I954">
        <v>1368.0751952999999</v>
      </c>
      <c r="J954">
        <v>1357.6187743999999</v>
      </c>
      <c r="K954">
        <v>0</v>
      </c>
      <c r="L954">
        <v>1215</v>
      </c>
      <c r="M954">
        <v>1215</v>
      </c>
      <c r="N954">
        <v>0</v>
      </c>
    </row>
    <row r="955" spans="1:14" x14ac:dyDescent="0.25">
      <c r="A955">
        <v>532.28082400000005</v>
      </c>
      <c r="B955" s="1">
        <f>DATE(2011,10,15) + TIME(6,44,23)</f>
        <v>40831.280821759261</v>
      </c>
      <c r="C955">
        <v>80</v>
      </c>
      <c r="D955">
        <v>78.039474487000007</v>
      </c>
      <c r="E955">
        <v>50</v>
      </c>
      <c r="F955">
        <v>49.898372649999999</v>
      </c>
      <c r="G955">
        <v>1315.6970214999999</v>
      </c>
      <c r="H955">
        <v>1309.8258057</v>
      </c>
      <c r="I955">
        <v>1368.0013428</v>
      </c>
      <c r="J955">
        <v>1357.5500488</v>
      </c>
      <c r="K955">
        <v>0</v>
      </c>
      <c r="L955">
        <v>1215</v>
      </c>
      <c r="M955">
        <v>1215</v>
      </c>
      <c r="N955">
        <v>0</v>
      </c>
    </row>
    <row r="956" spans="1:14" x14ac:dyDescent="0.25">
      <c r="A956">
        <v>533.12835399999994</v>
      </c>
      <c r="B956" s="1">
        <f>DATE(2011,10,16) + TIME(3,4,49)</f>
        <v>40832.128344907411</v>
      </c>
      <c r="C956">
        <v>80</v>
      </c>
      <c r="D956">
        <v>77.934234618999994</v>
      </c>
      <c r="E956">
        <v>50</v>
      </c>
      <c r="F956">
        <v>49.906364441000001</v>
      </c>
      <c r="G956">
        <v>1315.6785889</v>
      </c>
      <c r="H956">
        <v>1309.8050536999999</v>
      </c>
      <c r="I956">
        <v>1367.9304199000001</v>
      </c>
      <c r="J956">
        <v>1357.4838867000001</v>
      </c>
      <c r="K956">
        <v>0</v>
      </c>
      <c r="L956">
        <v>1215</v>
      </c>
      <c r="M956">
        <v>1215</v>
      </c>
      <c r="N956">
        <v>0</v>
      </c>
    </row>
    <row r="957" spans="1:14" x14ac:dyDescent="0.25">
      <c r="A957">
        <v>534.01261799999997</v>
      </c>
      <c r="B957" s="1">
        <f>DATE(2011,10,17) + TIME(0,18,10)</f>
        <v>40833.012615740743</v>
      </c>
      <c r="C957">
        <v>80</v>
      </c>
      <c r="D957">
        <v>77.826416015999996</v>
      </c>
      <c r="E957">
        <v>50</v>
      </c>
      <c r="F957">
        <v>49.912021637000002</v>
      </c>
      <c r="G957">
        <v>1315.6595459</v>
      </c>
      <c r="H957">
        <v>1309.7833252</v>
      </c>
      <c r="I957">
        <v>1367.8612060999999</v>
      </c>
      <c r="J957">
        <v>1357.4194336</v>
      </c>
      <c r="K957">
        <v>0</v>
      </c>
      <c r="L957">
        <v>1215</v>
      </c>
      <c r="M957">
        <v>1215</v>
      </c>
      <c r="N957">
        <v>0</v>
      </c>
    </row>
    <row r="958" spans="1:14" x14ac:dyDescent="0.25">
      <c r="A958">
        <v>534.94360700000004</v>
      </c>
      <c r="B958" s="1">
        <f>DATE(2011,10,17) + TIME(22,38,47)</f>
        <v>40833.943599537037</v>
      </c>
      <c r="C958">
        <v>80</v>
      </c>
      <c r="D958">
        <v>77.715278624999996</v>
      </c>
      <c r="E958">
        <v>50</v>
      </c>
      <c r="F958">
        <v>49.916061401</v>
      </c>
      <c r="G958">
        <v>1315.6396483999999</v>
      </c>
      <c r="H958">
        <v>1309.7606201000001</v>
      </c>
      <c r="I958">
        <v>1367.7930908000001</v>
      </c>
      <c r="J958">
        <v>1357.355957</v>
      </c>
      <c r="K958">
        <v>0</v>
      </c>
      <c r="L958">
        <v>1215</v>
      </c>
      <c r="M958">
        <v>1215</v>
      </c>
      <c r="N958">
        <v>0</v>
      </c>
    </row>
    <row r="959" spans="1:14" x14ac:dyDescent="0.25">
      <c r="A959">
        <v>535.93303800000001</v>
      </c>
      <c r="B959" s="1">
        <f>DATE(2011,10,18) + TIME(22,23,34)</f>
        <v>40834.933032407411</v>
      </c>
      <c r="C959">
        <v>80</v>
      </c>
      <c r="D959">
        <v>77.599922179999993</v>
      </c>
      <c r="E959">
        <v>50</v>
      </c>
      <c r="F959">
        <v>49.918972015000001</v>
      </c>
      <c r="G959">
        <v>1315.6184082</v>
      </c>
      <c r="H959">
        <v>1309.7364502</v>
      </c>
      <c r="I959">
        <v>1367.7253418</v>
      </c>
      <c r="J959">
        <v>1357.2928466999999</v>
      </c>
      <c r="K959">
        <v>0</v>
      </c>
      <c r="L959">
        <v>1215</v>
      </c>
      <c r="M959">
        <v>1215</v>
      </c>
      <c r="N959">
        <v>0</v>
      </c>
    </row>
    <row r="960" spans="1:14" x14ac:dyDescent="0.25">
      <c r="A960">
        <v>536.98952599999996</v>
      </c>
      <c r="B960" s="1">
        <f>DATE(2011,10,19) + TIME(23,44,55)</f>
        <v>40835.989525462966</v>
      </c>
      <c r="C960">
        <v>80</v>
      </c>
      <c r="D960">
        <v>77.479652404999996</v>
      </c>
      <c r="E960">
        <v>50</v>
      </c>
      <c r="F960">
        <v>49.921085357999999</v>
      </c>
      <c r="G960">
        <v>1315.5955810999999</v>
      </c>
      <c r="H960">
        <v>1309.7105713000001</v>
      </c>
      <c r="I960">
        <v>1367.6572266000001</v>
      </c>
      <c r="J960">
        <v>1357.2294922000001</v>
      </c>
      <c r="K960">
        <v>0</v>
      </c>
      <c r="L960">
        <v>1215</v>
      </c>
      <c r="M960">
        <v>1215</v>
      </c>
      <c r="N960">
        <v>0</v>
      </c>
    </row>
    <row r="961" spans="1:14" x14ac:dyDescent="0.25">
      <c r="A961">
        <v>538.11531400000001</v>
      </c>
      <c r="B961" s="1">
        <f>DATE(2011,10,21) + TIME(2,46,3)</f>
        <v>40837.115312499998</v>
      </c>
      <c r="C961">
        <v>80</v>
      </c>
      <c r="D961">
        <v>77.354255675999994</v>
      </c>
      <c r="E961">
        <v>50</v>
      </c>
      <c r="F961">
        <v>49.922622681</v>
      </c>
      <c r="G961">
        <v>1315.5710449000001</v>
      </c>
      <c r="H961">
        <v>1309.6826172000001</v>
      </c>
      <c r="I961">
        <v>1367.5883789</v>
      </c>
      <c r="J961">
        <v>1357.1656493999999</v>
      </c>
      <c r="K961">
        <v>0</v>
      </c>
      <c r="L961">
        <v>1215</v>
      </c>
      <c r="M961">
        <v>1215</v>
      </c>
      <c r="N961">
        <v>0</v>
      </c>
    </row>
    <row r="962" spans="1:14" x14ac:dyDescent="0.25">
      <c r="A962">
        <v>539.32747900000004</v>
      </c>
      <c r="B962" s="1">
        <f>DATE(2011,10,22) + TIME(7,51,34)</f>
        <v>40838.327476851853</v>
      </c>
      <c r="C962">
        <v>80</v>
      </c>
      <c r="D962">
        <v>77.222633361999996</v>
      </c>
      <c r="E962">
        <v>50</v>
      </c>
      <c r="F962">
        <v>49.923763274999999</v>
      </c>
      <c r="G962">
        <v>1315.5446777</v>
      </c>
      <c r="H962">
        <v>1309.6523437999999</v>
      </c>
      <c r="I962">
        <v>1367.5189209</v>
      </c>
      <c r="J962">
        <v>1357.1014404</v>
      </c>
      <c r="K962">
        <v>0</v>
      </c>
      <c r="L962">
        <v>1215</v>
      </c>
      <c r="M962">
        <v>1215</v>
      </c>
      <c r="N962">
        <v>0</v>
      </c>
    </row>
    <row r="963" spans="1:14" x14ac:dyDescent="0.25">
      <c r="A963">
        <v>540.58922600000005</v>
      </c>
      <c r="B963" s="1">
        <f>DATE(2011,10,23) + TIME(14,8,29)</f>
        <v>40839.589224537034</v>
      </c>
      <c r="C963">
        <v>80</v>
      </c>
      <c r="D963">
        <v>77.086982727000006</v>
      </c>
      <c r="E963">
        <v>50</v>
      </c>
      <c r="F963">
        <v>49.924594878999997</v>
      </c>
      <c r="G963">
        <v>1315.5157471</v>
      </c>
      <c r="H963">
        <v>1309.6195068</v>
      </c>
      <c r="I963">
        <v>1367.4482422000001</v>
      </c>
      <c r="J963">
        <v>1357.0361327999999</v>
      </c>
      <c r="K963">
        <v>0</v>
      </c>
      <c r="L963">
        <v>1215</v>
      </c>
      <c r="M963">
        <v>1215</v>
      </c>
      <c r="N963">
        <v>0</v>
      </c>
    </row>
    <row r="964" spans="1:14" x14ac:dyDescent="0.25">
      <c r="A964">
        <v>541.86771099999999</v>
      </c>
      <c r="B964" s="1">
        <f>DATE(2011,10,24) + TIME(20,49,30)</f>
        <v>40840.867708333331</v>
      </c>
      <c r="C964">
        <v>80</v>
      </c>
      <c r="D964">
        <v>76.949958800999994</v>
      </c>
      <c r="E964">
        <v>50</v>
      </c>
      <c r="F964">
        <v>49.925201416</v>
      </c>
      <c r="G964">
        <v>1315.4852295000001</v>
      </c>
      <c r="H964">
        <v>1309.5847168</v>
      </c>
      <c r="I964">
        <v>1367.3786620999999</v>
      </c>
      <c r="J964">
        <v>1356.972168</v>
      </c>
      <c r="K964">
        <v>0</v>
      </c>
      <c r="L964">
        <v>1215</v>
      </c>
      <c r="M964">
        <v>1215</v>
      </c>
      <c r="N964">
        <v>0</v>
      </c>
    </row>
    <row r="965" spans="1:14" x14ac:dyDescent="0.25">
      <c r="A965">
        <v>543.17753500000003</v>
      </c>
      <c r="B965" s="1">
        <f>DATE(2011,10,26) + TIME(4,15,39)</f>
        <v>40842.177534722221</v>
      </c>
      <c r="C965">
        <v>80</v>
      </c>
      <c r="D965">
        <v>76.811630249000004</v>
      </c>
      <c r="E965">
        <v>50</v>
      </c>
      <c r="F965">
        <v>49.925655364999997</v>
      </c>
      <c r="G965">
        <v>1315.4537353999999</v>
      </c>
      <c r="H965">
        <v>1309.5488281</v>
      </c>
      <c r="I965">
        <v>1367.3118896000001</v>
      </c>
      <c r="J965">
        <v>1356.9108887</v>
      </c>
      <c r="K965">
        <v>0</v>
      </c>
      <c r="L965">
        <v>1215</v>
      </c>
      <c r="M965">
        <v>1215</v>
      </c>
      <c r="N965">
        <v>0</v>
      </c>
    </row>
    <row r="966" spans="1:14" x14ac:dyDescent="0.25">
      <c r="A966">
        <v>544.53325600000005</v>
      </c>
      <c r="B966" s="1">
        <f>DATE(2011,10,27) + TIME(12,47,53)</f>
        <v>40843.533252314817</v>
      </c>
      <c r="C966">
        <v>80</v>
      </c>
      <c r="D966">
        <v>76.671478270999998</v>
      </c>
      <c r="E966">
        <v>50</v>
      </c>
      <c r="F966">
        <v>49.926010132000002</v>
      </c>
      <c r="G966">
        <v>1315.4211425999999</v>
      </c>
      <c r="H966">
        <v>1309.5112305</v>
      </c>
      <c r="I966">
        <v>1367.2468262</v>
      </c>
      <c r="J966">
        <v>1356.8514404</v>
      </c>
      <c r="K966">
        <v>0</v>
      </c>
      <c r="L966">
        <v>1215</v>
      </c>
      <c r="M966">
        <v>1215</v>
      </c>
      <c r="N966">
        <v>0</v>
      </c>
    </row>
    <row r="967" spans="1:14" x14ac:dyDescent="0.25">
      <c r="A967">
        <v>545.95050100000003</v>
      </c>
      <c r="B967" s="1">
        <f>DATE(2011,10,28) + TIME(22,48,43)</f>
        <v>40844.950497685182</v>
      </c>
      <c r="C967">
        <v>80</v>
      </c>
      <c r="D967">
        <v>76.528648376000007</v>
      </c>
      <c r="E967">
        <v>50</v>
      </c>
      <c r="F967">
        <v>49.926296233999999</v>
      </c>
      <c r="G967">
        <v>1315.3868408000001</v>
      </c>
      <c r="H967">
        <v>1309.4715576000001</v>
      </c>
      <c r="I967">
        <v>1367.1829834</v>
      </c>
      <c r="J967">
        <v>1356.7929687999999</v>
      </c>
      <c r="K967">
        <v>0</v>
      </c>
      <c r="L967">
        <v>1215</v>
      </c>
      <c r="M967">
        <v>1215</v>
      </c>
      <c r="N967">
        <v>0</v>
      </c>
    </row>
    <row r="968" spans="1:14" x14ac:dyDescent="0.25">
      <c r="A968">
        <v>547.44716400000004</v>
      </c>
      <c r="B968" s="1">
        <f>DATE(2011,10,30) + TIME(10,43,54)</f>
        <v>40846.447152777779</v>
      </c>
      <c r="C968">
        <v>80</v>
      </c>
      <c r="D968">
        <v>76.382019043</v>
      </c>
      <c r="E968">
        <v>50</v>
      </c>
      <c r="F968">
        <v>49.926536560000002</v>
      </c>
      <c r="G968">
        <v>1315.3503418</v>
      </c>
      <c r="H968">
        <v>1309.4291992000001</v>
      </c>
      <c r="I968">
        <v>1367.1192627</v>
      </c>
      <c r="J968">
        <v>1356.7351074000001</v>
      </c>
      <c r="K968">
        <v>0</v>
      </c>
      <c r="L968">
        <v>1215</v>
      </c>
      <c r="M968">
        <v>1215</v>
      </c>
      <c r="N968">
        <v>0</v>
      </c>
    </row>
    <row r="969" spans="1:14" x14ac:dyDescent="0.25">
      <c r="A969">
        <v>549.03739199999995</v>
      </c>
      <c r="B969" s="1">
        <f>DATE(2011,11,1) + TIME(0,53,50)</f>
        <v>40848.03738425926</v>
      </c>
      <c r="C969">
        <v>80</v>
      </c>
      <c r="D969">
        <v>76.230575561999999</v>
      </c>
      <c r="E969">
        <v>50</v>
      </c>
      <c r="F969">
        <v>49.926742554</v>
      </c>
      <c r="G969">
        <v>1315.3111572</v>
      </c>
      <c r="H969">
        <v>1309.3836670000001</v>
      </c>
      <c r="I969">
        <v>1367.0552978999999</v>
      </c>
      <c r="J969">
        <v>1356.6770019999999</v>
      </c>
      <c r="K969">
        <v>0</v>
      </c>
      <c r="L969">
        <v>1215</v>
      </c>
      <c r="M969">
        <v>1215</v>
      </c>
      <c r="N969">
        <v>0</v>
      </c>
    </row>
    <row r="970" spans="1:14" x14ac:dyDescent="0.25">
      <c r="A970">
        <v>550.70124399999997</v>
      </c>
      <c r="B970" s="1">
        <f>DATE(2011,11,2) + TIME(16,49,47)</f>
        <v>40849.701238425929</v>
      </c>
      <c r="C970">
        <v>80</v>
      </c>
      <c r="D970">
        <v>76.075012207</v>
      </c>
      <c r="E970">
        <v>50</v>
      </c>
      <c r="F970">
        <v>49.926921843999999</v>
      </c>
      <c r="G970">
        <v>1315.2686768000001</v>
      </c>
      <c r="H970">
        <v>1309.3341064000001</v>
      </c>
      <c r="I970">
        <v>1366.9906006000001</v>
      </c>
      <c r="J970">
        <v>1356.6182861</v>
      </c>
      <c r="K970">
        <v>0</v>
      </c>
      <c r="L970">
        <v>1215</v>
      </c>
      <c r="M970">
        <v>1215</v>
      </c>
      <c r="N970">
        <v>0</v>
      </c>
    </row>
    <row r="971" spans="1:14" x14ac:dyDescent="0.25">
      <c r="A971">
        <v>552.45091100000002</v>
      </c>
      <c r="B971" s="1">
        <f>DATE(2011,11,4) + TIME(10,49,18)</f>
        <v>40851.450902777775</v>
      </c>
      <c r="C971">
        <v>80</v>
      </c>
      <c r="D971">
        <v>75.915122986</v>
      </c>
      <c r="E971">
        <v>50</v>
      </c>
      <c r="F971">
        <v>49.927085876</v>
      </c>
      <c r="G971">
        <v>1315.2232666</v>
      </c>
      <c r="H971">
        <v>1309.2808838000001</v>
      </c>
      <c r="I971">
        <v>1366.9260254000001</v>
      </c>
      <c r="J971">
        <v>1356.5600586</v>
      </c>
      <c r="K971">
        <v>0</v>
      </c>
      <c r="L971">
        <v>1215</v>
      </c>
      <c r="M971">
        <v>1215</v>
      </c>
      <c r="N971">
        <v>0</v>
      </c>
    </row>
    <row r="972" spans="1:14" x14ac:dyDescent="0.25">
      <c r="A972">
        <v>554.21890099999996</v>
      </c>
      <c r="B972" s="1">
        <f>DATE(2011,11,6) + TIME(5,15,13)</f>
        <v>40853.218900462962</v>
      </c>
      <c r="C972">
        <v>80</v>
      </c>
      <c r="D972">
        <v>75.754051208000007</v>
      </c>
      <c r="E972">
        <v>50</v>
      </c>
      <c r="F972">
        <v>49.927234650000003</v>
      </c>
      <c r="G972">
        <v>1315.1744385</v>
      </c>
      <c r="H972">
        <v>1309.2236327999999</v>
      </c>
      <c r="I972">
        <v>1366.8614502</v>
      </c>
      <c r="J972">
        <v>1356.5017089999999</v>
      </c>
      <c r="K972">
        <v>0</v>
      </c>
      <c r="L972">
        <v>1215</v>
      </c>
      <c r="M972">
        <v>1215</v>
      </c>
      <c r="N972">
        <v>0</v>
      </c>
    </row>
    <row r="973" spans="1:14" x14ac:dyDescent="0.25">
      <c r="A973">
        <v>556.02475600000002</v>
      </c>
      <c r="B973" s="1">
        <f>DATE(2011,11,8) + TIME(0,35,38)</f>
        <v>40855.024745370371</v>
      </c>
      <c r="C973">
        <v>80</v>
      </c>
      <c r="D973">
        <v>75.592414856000005</v>
      </c>
      <c r="E973">
        <v>50</v>
      </c>
      <c r="F973">
        <v>49.927371979</v>
      </c>
      <c r="G973">
        <v>1315.1239014</v>
      </c>
      <c r="H973">
        <v>1309.1636963000001</v>
      </c>
      <c r="I973">
        <v>1366.7991943</v>
      </c>
      <c r="J973">
        <v>1356.4456786999999</v>
      </c>
      <c r="K973">
        <v>0</v>
      </c>
      <c r="L973">
        <v>1215</v>
      </c>
      <c r="M973">
        <v>1215</v>
      </c>
      <c r="N973">
        <v>0</v>
      </c>
    </row>
    <row r="974" spans="1:14" x14ac:dyDescent="0.25">
      <c r="A974">
        <v>557.88832400000001</v>
      </c>
      <c r="B974" s="1">
        <f>DATE(2011,11,9) + TIME(21,19,11)</f>
        <v>40856.888321759259</v>
      </c>
      <c r="C974">
        <v>80</v>
      </c>
      <c r="D974">
        <v>75.429718018000003</v>
      </c>
      <c r="E974">
        <v>50</v>
      </c>
      <c r="F974">
        <v>49.927505492999998</v>
      </c>
      <c r="G974">
        <v>1315.0710449000001</v>
      </c>
      <c r="H974">
        <v>1309.1007079999999</v>
      </c>
      <c r="I974">
        <v>1366.7385254000001</v>
      </c>
      <c r="J974">
        <v>1356.3912353999999</v>
      </c>
      <c r="K974">
        <v>0</v>
      </c>
      <c r="L974">
        <v>1215</v>
      </c>
      <c r="M974">
        <v>1215</v>
      </c>
      <c r="N974">
        <v>0</v>
      </c>
    </row>
    <row r="975" spans="1:14" x14ac:dyDescent="0.25">
      <c r="A975">
        <v>559.82475399999998</v>
      </c>
      <c r="B975" s="1">
        <f>DATE(2011,11,11) + TIME(19,47,38)</f>
        <v>40858.824745370373</v>
      </c>
      <c r="C975">
        <v>80</v>
      </c>
      <c r="D975">
        <v>75.265159607000001</v>
      </c>
      <c r="E975">
        <v>50</v>
      </c>
      <c r="F975">
        <v>49.927639008</v>
      </c>
      <c r="G975">
        <v>1315.0151367000001</v>
      </c>
      <c r="H975">
        <v>1309.0338135</v>
      </c>
      <c r="I975">
        <v>1366.6785889</v>
      </c>
      <c r="J975">
        <v>1356.3375243999999</v>
      </c>
      <c r="K975">
        <v>0</v>
      </c>
      <c r="L975">
        <v>1215</v>
      </c>
      <c r="M975">
        <v>1215</v>
      </c>
      <c r="N975">
        <v>0</v>
      </c>
    </row>
    <row r="976" spans="1:14" x14ac:dyDescent="0.25">
      <c r="A976">
        <v>561.81417499999998</v>
      </c>
      <c r="B976" s="1">
        <f>DATE(2011,11,13) + TIME(19,32,24)</f>
        <v>40860.814166666663</v>
      </c>
      <c r="C976">
        <v>80</v>
      </c>
      <c r="D976">
        <v>75.099212645999998</v>
      </c>
      <c r="E976">
        <v>50</v>
      </c>
      <c r="F976">
        <v>49.927772521999998</v>
      </c>
      <c r="G976">
        <v>1314.9555664</v>
      </c>
      <c r="H976">
        <v>1308.9621582</v>
      </c>
      <c r="I976">
        <v>1366.6191406</v>
      </c>
      <c r="J976">
        <v>1356.2843018000001</v>
      </c>
      <c r="K976">
        <v>0</v>
      </c>
      <c r="L976">
        <v>1215</v>
      </c>
      <c r="M976">
        <v>1215</v>
      </c>
      <c r="N976">
        <v>0</v>
      </c>
    </row>
    <row r="977" spans="1:14" x14ac:dyDescent="0.25">
      <c r="A977">
        <v>563.83497699999998</v>
      </c>
      <c r="B977" s="1">
        <f>DATE(2011,11,15) + TIME(20,2,21)</f>
        <v>40862.834965277776</v>
      </c>
      <c r="C977">
        <v>80</v>
      </c>
      <c r="D977">
        <v>74.932998656999999</v>
      </c>
      <c r="E977">
        <v>50</v>
      </c>
      <c r="F977">
        <v>49.927902222</v>
      </c>
      <c r="G977">
        <v>1314.8928223</v>
      </c>
      <c r="H977">
        <v>1308.8863524999999</v>
      </c>
      <c r="I977">
        <v>1366.5605469</v>
      </c>
      <c r="J977">
        <v>1356.2320557</v>
      </c>
      <c r="K977">
        <v>0</v>
      </c>
      <c r="L977">
        <v>1215</v>
      </c>
      <c r="M977">
        <v>1215</v>
      </c>
      <c r="N977">
        <v>0</v>
      </c>
    </row>
    <row r="978" spans="1:14" x14ac:dyDescent="0.25">
      <c r="A978">
        <v>565.89020400000004</v>
      </c>
      <c r="B978" s="1">
        <f>DATE(2011,11,17) + TIME(21,21,53)</f>
        <v>40864.890196759261</v>
      </c>
      <c r="C978">
        <v>80</v>
      </c>
      <c r="D978">
        <v>74.766952515</v>
      </c>
      <c r="E978">
        <v>50</v>
      </c>
      <c r="F978">
        <v>49.928035735999998</v>
      </c>
      <c r="G978">
        <v>1314.8272704999999</v>
      </c>
      <c r="H978">
        <v>1308.8066406</v>
      </c>
      <c r="I978">
        <v>1366.5036620999999</v>
      </c>
      <c r="J978">
        <v>1356.1812743999999</v>
      </c>
      <c r="K978">
        <v>0</v>
      </c>
      <c r="L978">
        <v>1215</v>
      </c>
      <c r="M978">
        <v>1215</v>
      </c>
      <c r="N978">
        <v>0</v>
      </c>
    </row>
    <row r="979" spans="1:14" x14ac:dyDescent="0.25">
      <c r="A979">
        <v>567.98476000000005</v>
      </c>
      <c r="B979" s="1">
        <f>DATE(2011,11,19) + TIME(23,38,3)</f>
        <v>40866.984756944446</v>
      </c>
      <c r="C979">
        <v>80</v>
      </c>
      <c r="D979">
        <v>74.601135253999999</v>
      </c>
      <c r="E979">
        <v>50</v>
      </c>
      <c r="F979">
        <v>49.928169250000003</v>
      </c>
      <c r="G979">
        <v>1314.7587891000001</v>
      </c>
      <c r="H979">
        <v>1308.7229004000001</v>
      </c>
      <c r="I979">
        <v>1366.4481201000001</v>
      </c>
      <c r="J979">
        <v>1356.1318358999999</v>
      </c>
      <c r="K979">
        <v>0</v>
      </c>
      <c r="L979">
        <v>1215</v>
      </c>
      <c r="M979">
        <v>1215</v>
      </c>
      <c r="N979">
        <v>0</v>
      </c>
    </row>
    <row r="980" spans="1:14" x14ac:dyDescent="0.25">
      <c r="A980">
        <v>570.12365999999997</v>
      </c>
      <c r="B980" s="1">
        <f>DATE(2011,11,22) + TIME(2,58,4)</f>
        <v>40869.123657407406</v>
      </c>
      <c r="C980">
        <v>80</v>
      </c>
      <c r="D980">
        <v>74.435340881000002</v>
      </c>
      <c r="E980">
        <v>50</v>
      </c>
      <c r="F980">
        <v>49.928306579999997</v>
      </c>
      <c r="G980">
        <v>1314.6871338000001</v>
      </c>
      <c r="H980">
        <v>1308.6347656</v>
      </c>
      <c r="I980">
        <v>1366.3937988</v>
      </c>
      <c r="J980">
        <v>1356.0836182</v>
      </c>
      <c r="K980">
        <v>0</v>
      </c>
      <c r="L980">
        <v>1215</v>
      </c>
      <c r="M980">
        <v>1215</v>
      </c>
      <c r="N980">
        <v>0</v>
      </c>
    </row>
    <row r="981" spans="1:14" x14ac:dyDescent="0.25">
      <c r="A981">
        <v>572.30802400000005</v>
      </c>
      <c r="B981" s="1">
        <f>DATE(2011,11,24) + TIME(7,23,33)</f>
        <v>40871.308020833334</v>
      </c>
      <c r="C981">
        <v>80</v>
      </c>
      <c r="D981">
        <v>74.269386291999993</v>
      </c>
      <c r="E981">
        <v>50</v>
      </c>
      <c r="F981">
        <v>49.928447722999998</v>
      </c>
      <c r="G981">
        <v>1314.6120605000001</v>
      </c>
      <c r="H981">
        <v>1308.5417480000001</v>
      </c>
      <c r="I981">
        <v>1366.3404541</v>
      </c>
      <c r="J981">
        <v>1356.0362548999999</v>
      </c>
      <c r="K981">
        <v>0</v>
      </c>
      <c r="L981">
        <v>1215</v>
      </c>
      <c r="M981">
        <v>1215</v>
      </c>
      <c r="N981">
        <v>0</v>
      </c>
    </row>
    <row r="982" spans="1:14" x14ac:dyDescent="0.25">
      <c r="A982">
        <v>574.52197200000001</v>
      </c>
      <c r="B982" s="1">
        <f>DATE(2011,11,26) + TIME(12,31,38)</f>
        <v>40873.521967592591</v>
      </c>
      <c r="C982">
        <v>80</v>
      </c>
      <c r="D982">
        <v>74.103683472</v>
      </c>
      <c r="E982">
        <v>50</v>
      </c>
      <c r="F982">
        <v>49.928588867000002</v>
      </c>
      <c r="G982">
        <v>1314.5333252</v>
      </c>
      <c r="H982">
        <v>1308.4439697</v>
      </c>
      <c r="I982">
        <v>1366.2879639</v>
      </c>
      <c r="J982">
        <v>1355.9898682</v>
      </c>
      <c r="K982">
        <v>0</v>
      </c>
      <c r="L982">
        <v>1215</v>
      </c>
      <c r="M982">
        <v>1215</v>
      </c>
      <c r="N982">
        <v>0</v>
      </c>
    </row>
    <row r="983" spans="1:14" x14ac:dyDescent="0.25">
      <c r="A983">
        <v>575</v>
      </c>
      <c r="B983" s="1">
        <f>DATE(2011,11,27) + TIME(0,0,0)</f>
        <v>40874</v>
      </c>
      <c r="C983">
        <v>80</v>
      </c>
      <c r="D983">
        <v>74.041450499999996</v>
      </c>
      <c r="E983">
        <v>50</v>
      </c>
      <c r="F983">
        <v>49.928607941000003</v>
      </c>
      <c r="G983">
        <v>1314.4539795000001</v>
      </c>
      <c r="H983">
        <v>1308.3527832</v>
      </c>
      <c r="I983">
        <v>1366.2363281</v>
      </c>
      <c r="J983">
        <v>1355.9439697</v>
      </c>
      <c r="K983">
        <v>0</v>
      </c>
      <c r="L983">
        <v>1215</v>
      </c>
      <c r="M983">
        <v>1215</v>
      </c>
      <c r="N983">
        <v>0</v>
      </c>
    </row>
    <row r="984" spans="1:14" x14ac:dyDescent="0.25">
      <c r="A984">
        <v>575.000001</v>
      </c>
      <c r="B984" s="1">
        <f>DATE(2011,11,27) + TIME(0,0,0)</f>
        <v>40874</v>
      </c>
      <c r="C984">
        <v>80</v>
      </c>
      <c r="D984">
        <v>74.041435242000006</v>
      </c>
      <c r="E984">
        <v>50</v>
      </c>
      <c r="F984">
        <v>49.928623199</v>
      </c>
      <c r="G984">
        <v>1314.3370361</v>
      </c>
      <c r="H984">
        <v>1304.5930175999999</v>
      </c>
      <c r="I984">
        <v>1371.6292725000001</v>
      </c>
      <c r="J984">
        <v>1356.0642089999999</v>
      </c>
      <c r="K984">
        <v>0</v>
      </c>
      <c r="L984">
        <v>1875</v>
      </c>
      <c r="M984">
        <v>1875</v>
      </c>
      <c r="N984">
        <v>0</v>
      </c>
    </row>
    <row r="985" spans="1:14" x14ac:dyDescent="0.25">
      <c r="A985">
        <v>575.00000399999999</v>
      </c>
      <c r="B985" s="1">
        <f>DATE(2011,11,27) + TIME(0,0,0)</f>
        <v>40874</v>
      </c>
      <c r="C985">
        <v>80</v>
      </c>
      <c r="D985">
        <v>74.041389464999995</v>
      </c>
      <c r="E985">
        <v>50</v>
      </c>
      <c r="F985">
        <v>49.928661345999998</v>
      </c>
      <c r="G985">
        <v>1314.0374756000001</v>
      </c>
      <c r="H985">
        <v>1304.2866211</v>
      </c>
      <c r="I985">
        <v>1371.9500731999999</v>
      </c>
      <c r="J985">
        <v>1356.3847656</v>
      </c>
      <c r="K985">
        <v>0</v>
      </c>
      <c r="L985">
        <v>1875</v>
      </c>
      <c r="M985">
        <v>1875</v>
      </c>
      <c r="N985">
        <v>0</v>
      </c>
    </row>
    <row r="986" spans="1:14" x14ac:dyDescent="0.25">
      <c r="A986">
        <v>575.00001299999997</v>
      </c>
      <c r="B986" s="1">
        <f>DATE(2011,11,27) + TIME(0,0,1)</f>
        <v>40874.000011574077</v>
      </c>
      <c r="C986">
        <v>80</v>
      </c>
      <c r="D986">
        <v>74.041305542000003</v>
      </c>
      <c r="E986">
        <v>50</v>
      </c>
      <c r="F986">
        <v>49.928752899000003</v>
      </c>
      <c r="G986">
        <v>1313.4182129000001</v>
      </c>
      <c r="H986">
        <v>1303.6608887</v>
      </c>
      <c r="I986">
        <v>1372.6696777</v>
      </c>
      <c r="J986">
        <v>1357.1040039</v>
      </c>
      <c r="K986">
        <v>0</v>
      </c>
      <c r="L986">
        <v>1875</v>
      </c>
      <c r="M986">
        <v>1875</v>
      </c>
      <c r="N986">
        <v>0</v>
      </c>
    </row>
    <row r="987" spans="1:14" x14ac:dyDescent="0.25">
      <c r="A987">
        <v>575.00004000000001</v>
      </c>
      <c r="B987" s="1">
        <f>DATE(2011,11,27) + TIME(0,0,3)</f>
        <v>40874.000034722223</v>
      </c>
      <c r="C987">
        <v>80</v>
      </c>
      <c r="D987">
        <v>74.041168213000006</v>
      </c>
      <c r="E987">
        <v>50</v>
      </c>
      <c r="F987">
        <v>49.928905487000002</v>
      </c>
      <c r="G987">
        <v>1312.4904785000001</v>
      </c>
      <c r="H987">
        <v>1302.7325439000001</v>
      </c>
      <c r="I987">
        <v>1373.8718262</v>
      </c>
      <c r="J987">
        <v>1358.3062743999999</v>
      </c>
      <c r="K987">
        <v>0</v>
      </c>
      <c r="L987">
        <v>1875</v>
      </c>
      <c r="M987">
        <v>1875</v>
      </c>
      <c r="N987">
        <v>0</v>
      </c>
    </row>
    <row r="988" spans="1:14" x14ac:dyDescent="0.25">
      <c r="A988">
        <v>575.00012100000004</v>
      </c>
      <c r="B988" s="1">
        <f>DATE(2011,11,27) + TIME(0,0,10)</f>
        <v>40874.000115740739</v>
      </c>
      <c r="C988">
        <v>80</v>
      </c>
      <c r="D988">
        <v>74.041007996000005</v>
      </c>
      <c r="E988">
        <v>50</v>
      </c>
      <c r="F988">
        <v>49.929092406999999</v>
      </c>
      <c r="G988">
        <v>1311.440918</v>
      </c>
      <c r="H988">
        <v>1301.6851807</v>
      </c>
      <c r="I988">
        <v>1375.3394774999999</v>
      </c>
      <c r="J988">
        <v>1359.7749022999999</v>
      </c>
      <c r="K988">
        <v>0</v>
      </c>
      <c r="L988">
        <v>1875</v>
      </c>
      <c r="M988">
        <v>1875</v>
      </c>
      <c r="N988">
        <v>0</v>
      </c>
    </row>
    <row r="989" spans="1:14" x14ac:dyDescent="0.25">
      <c r="A989">
        <v>575.00036399999999</v>
      </c>
      <c r="B989" s="1">
        <f>DATE(2011,11,27) + TIME(0,0,31)</f>
        <v>40874.000358796293</v>
      </c>
      <c r="C989">
        <v>80</v>
      </c>
      <c r="D989">
        <v>74.040809631000002</v>
      </c>
      <c r="E989">
        <v>50</v>
      </c>
      <c r="F989">
        <v>49.929290770999998</v>
      </c>
      <c r="G989">
        <v>1310.3695068</v>
      </c>
      <c r="H989">
        <v>1300.6101074000001</v>
      </c>
      <c r="I989">
        <v>1376.864624</v>
      </c>
      <c r="J989">
        <v>1361.300293</v>
      </c>
      <c r="K989">
        <v>0</v>
      </c>
      <c r="L989">
        <v>1875</v>
      </c>
      <c r="M989">
        <v>1875</v>
      </c>
      <c r="N989">
        <v>0</v>
      </c>
    </row>
    <row r="990" spans="1:14" x14ac:dyDescent="0.25">
      <c r="A990">
        <v>575.00109299999997</v>
      </c>
      <c r="B990" s="1">
        <f>DATE(2011,11,27) + TIME(0,1,34)</f>
        <v>40874.001087962963</v>
      </c>
      <c r="C990">
        <v>80</v>
      </c>
      <c r="D990">
        <v>74.040496825999995</v>
      </c>
      <c r="E990">
        <v>50</v>
      </c>
      <c r="F990">
        <v>49.929508208999998</v>
      </c>
      <c r="G990">
        <v>1309.2359618999999</v>
      </c>
      <c r="H990">
        <v>1299.4578856999999</v>
      </c>
      <c r="I990">
        <v>1378.4747314000001</v>
      </c>
      <c r="J990">
        <v>1362.9055175999999</v>
      </c>
      <c r="K990">
        <v>0</v>
      </c>
      <c r="L990">
        <v>1875</v>
      </c>
      <c r="M990">
        <v>1875</v>
      </c>
      <c r="N990">
        <v>0</v>
      </c>
    </row>
    <row r="991" spans="1:14" x14ac:dyDescent="0.25">
      <c r="A991">
        <v>575.00328000000002</v>
      </c>
      <c r="B991" s="1">
        <f>DATE(2011,11,27) + TIME(0,4,43)</f>
        <v>40874.003275462965</v>
      </c>
      <c r="C991">
        <v>80</v>
      </c>
      <c r="D991">
        <v>74.039855957</v>
      </c>
      <c r="E991">
        <v>50</v>
      </c>
      <c r="F991">
        <v>49.929786682</v>
      </c>
      <c r="G991">
        <v>1307.9050293</v>
      </c>
      <c r="H991">
        <v>1298.0958252</v>
      </c>
      <c r="I991">
        <v>1380.3060303</v>
      </c>
      <c r="J991">
        <v>1364.7246094</v>
      </c>
      <c r="K991">
        <v>0</v>
      </c>
      <c r="L991">
        <v>1875</v>
      </c>
      <c r="M991">
        <v>1875</v>
      </c>
      <c r="N991">
        <v>0</v>
      </c>
    </row>
    <row r="992" spans="1:14" x14ac:dyDescent="0.25">
      <c r="A992">
        <v>575.00984100000005</v>
      </c>
      <c r="B992" s="1">
        <f>DATE(2011,11,27) + TIME(0,14,10)</f>
        <v>40874.009837962964</v>
      </c>
      <c r="C992">
        <v>80</v>
      </c>
      <c r="D992">
        <v>74.038261414000004</v>
      </c>
      <c r="E992">
        <v>50</v>
      </c>
      <c r="F992">
        <v>49.930183411000002</v>
      </c>
      <c r="G992">
        <v>1306.3344727000001</v>
      </c>
      <c r="H992">
        <v>1296.4982910000001</v>
      </c>
      <c r="I992">
        <v>1382.3096923999999</v>
      </c>
      <c r="J992">
        <v>1366.7128906</v>
      </c>
      <c r="K992">
        <v>0</v>
      </c>
      <c r="L992">
        <v>1875</v>
      </c>
      <c r="M992">
        <v>1875</v>
      </c>
      <c r="N992">
        <v>0</v>
      </c>
    </row>
    <row r="993" spans="1:14" x14ac:dyDescent="0.25">
      <c r="A993">
        <v>575.02952400000004</v>
      </c>
      <c r="B993" s="1">
        <f>DATE(2011,11,27) + TIME(0,42,30)</f>
        <v>40874.029513888891</v>
      </c>
      <c r="C993">
        <v>80</v>
      </c>
      <c r="D993">
        <v>74.033973693999997</v>
      </c>
      <c r="E993">
        <v>50</v>
      </c>
      <c r="F993">
        <v>49.930816649999997</v>
      </c>
      <c r="G993">
        <v>1304.8880615</v>
      </c>
      <c r="H993">
        <v>1295.0366211</v>
      </c>
      <c r="I993">
        <v>1383.9797363</v>
      </c>
      <c r="J993">
        <v>1368.3713379000001</v>
      </c>
      <c r="K993">
        <v>0</v>
      </c>
      <c r="L993">
        <v>1875</v>
      </c>
      <c r="M993">
        <v>1875</v>
      </c>
      <c r="N993">
        <v>0</v>
      </c>
    </row>
    <row r="994" spans="1:14" x14ac:dyDescent="0.25">
      <c r="A994">
        <v>575.088573</v>
      </c>
      <c r="B994" s="1">
        <f>DATE(2011,11,27) + TIME(2,7,32)</f>
        <v>40874.088564814818</v>
      </c>
      <c r="C994">
        <v>80</v>
      </c>
      <c r="D994">
        <v>74.022109985</v>
      </c>
      <c r="E994">
        <v>50</v>
      </c>
      <c r="F994">
        <v>49.932113647000001</v>
      </c>
      <c r="G994">
        <v>1304.0604248</v>
      </c>
      <c r="H994">
        <v>1294.2019043</v>
      </c>
      <c r="I994">
        <v>1384.7670897999999</v>
      </c>
      <c r="J994">
        <v>1369.1538086</v>
      </c>
      <c r="K994">
        <v>0</v>
      </c>
      <c r="L994">
        <v>1875</v>
      </c>
      <c r="M994">
        <v>1875</v>
      </c>
      <c r="N994">
        <v>0</v>
      </c>
    </row>
    <row r="995" spans="1:14" x14ac:dyDescent="0.25">
      <c r="A995">
        <v>575.26571999999999</v>
      </c>
      <c r="B995" s="1">
        <f>DATE(2011,11,27) + TIME(6,22,38)</f>
        <v>40874.265717592592</v>
      </c>
      <c r="C995">
        <v>80</v>
      </c>
      <c r="D995">
        <v>73.990837096999996</v>
      </c>
      <c r="E995">
        <v>50</v>
      </c>
      <c r="F995">
        <v>49.935195923000002</v>
      </c>
      <c r="G995">
        <v>1303.8156738</v>
      </c>
      <c r="H995">
        <v>1293.9509277</v>
      </c>
      <c r="I995">
        <v>1384.9066161999999</v>
      </c>
      <c r="J995">
        <v>1369.2928466999999</v>
      </c>
      <c r="K995">
        <v>0</v>
      </c>
      <c r="L995">
        <v>1875</v>
      </c>
      <c r="M995">
        <v>1875</v>
      </c>
      <c r="N995">
        <v>0</v>
      </c>
    </row>
    <row r="996" spans="1:14" x14ac:dyDescent="0.25">
      <c r="A996">
        <v>575.79716099999996</v>
      </c>
      <c r="B996" s="1">
        <f>DATE(2011,11,27) + TIME(19,7,54)</f>
        <v>40874.797152777777</v>
      </c>
      <c r="C996">
        <v>80</v>
      </c>
      <c r="D996">
        <v>73.921875</v>
      </c>
      <c r="E996">
        <v>50</v>
      </c>
      <c r="F996">
        <v>49.941261292</v>
      </c>
      <c r="G996">
        <v>1303.7678223</v>
      </c>
      <c r="H996">
        <v>1293.8912353999999</v>
      </c>
      <c r="I996">
        <v>1384.901001</v>
      </c>
      <c r="J996">
        <v>1369.2883300999999</v>
      </c>
      <c r="K996">
        <v>0</v>
      </c>
      <c r="L996">
        <v>1875</v>
      </c>
      <c r="M996">
        <v>1875</v>
      </c>
      <c r="N996">
        <v>0</v>
      </c>
    </row>
    <row r="997" spans="1:14" x14ac:dyDescent="0.25">
      <c r="A997">
        <v>577.37406499999997</v>
      </c>
      <c r="B997" s="1">
        <f>DATE(2011,11,29) + TIME(8,58,39)</f>
        <v>40876.374062499999</v>
      </c>
      <c r="C997">
        <v>80</v>
      </c>
      <c r="D997">
        <v>73.807907103999995</v>
      </c>
      <c r="E997">
        <v>50</v>
      </c>
      <c r="F997">
        <v>49.948436737000002</v>
      </c>
      <c r="G997">
        <v>1303.7210693</v>
      </c>
      <c r="H997">
        <v>1293.8232422000001</v>
      </c>
      <c r="I997">
        <v>1384.8724365</v>
      </c>
      <c r="J997">
        <v>1369.2625731999999</v>
      </c>
      <c r="K997">
        <v>0</v>
      </c>
      <c r="L997">
        <v>1875</v>
      </c>
      <c r="M997">
        <v>1875</v>
      </c>
      <c r="N997">
        <v>0</v>
      </c>
    </row>
    <row r="998" spans="1:14" x14ac:dyDescent="0.25">
      <c r="A998">
        <v>579.01672499999995</v>
      </c>
      <c r="B998" s="1">
        <f>DATE(2011,12,1) + TIME(0,24,5)</f>
        <v>40878.016724537039</v>
      </c>
      <c r="C998">
        <v>80</v>
      </c>
      <c r="D998">
        <v>73.673767089999998</v>
      </c>
      <c r="E998">
        <v>50</v>
      </c>
      <c r="F998">
        <v>49.951374053999999</v>
      </c>
      <c r="G998">
        <v>1303.5993652</v>
      </c>
      <c r="H998">
        <v>1293.6704102000001</v>
      </c>
      <c r="I998">
        <v>1384.7890625</v>
      </c>
      <c r="J998">
        <v>1369.1857910000001</v>
      </c>
      <c r="K998">
        <v>0</v>
      </c>
      <c r="L998">
        <v>1875</v>
      </c>
      <c r="M998">
        <v>1875</v>
      </c>
      <c r="N998">
        <v>0</v>
      </c>
    </row>
    <row r="999" spans="1:14" x14ac:dyDescent="0.25">
      <c r="A999">
        <v>580.68508499999996</v>
      </c>
      <c r="B999" s="1">
        <f>DATE(2011,12,2) + TIME(16,26,31)</f>
        <v>40879.685081018521</v>
      </c>
      <c r="C999">
        <v>80</v>
      </c>
      <c r="D999">
        <v>73.529533385999997</v>
      </c>
      <c r="E999">
        <v>50</v>
      </c>
      <c r="F999">
        <v>49.952564240000001</v>
      </c>
      <c r="G999">
        <v>1303.4667969</v>
      </c>
      <c r="H999">
        <v>1293.5015868999999</v>
      </c>
      <c r="I999">
        <v>1384.7056885</v>
      </c>
      <c r="J999">
        <v>1369.1092529</v>
      </c>
      <c r="K999">
        <v>0</v>
      </c>
      <c r="L999">
        <v>1875</v>
      </c>
      <c r="M999">
        <v>1875</v>
      </c>
      <c r="N999">
        <v>0</v>
      </c>
    </row>
    <row r="1000" spans="1:14" x14ac:dyDescent="0.25">
      <c r="A1000">
        <v>582.372389</v>
      </c>
      <c r="B1000" s="1">
        <f>DATE(2011,12,4) + TIME(8,56,14)</f>
        <v>40881.372384259259</v>
      </c>
      <c r="C1000">
        <v>80</v>
      </c>
      <c r="D1000">
        <v>73.380592346</v>
      </c>
      <c r="E1000">
        <v>50</v>
      </c>
      <c r="F1000">
        <v>49.953067779999998</v>
      </c>
      <c r="G1000">
        <v>1303.3275146000001</v>
      </c>
      <c r="H1000">
        <v>1293.3223877</v>
      </c>
      <c r="I1000">
        <v>1384.6242675999999</v>
      </c>
      <c r="J1000">
        <v>1369.034668</v>
      </c>
      <c r="K1000">
        <v>0</v>
      </c>
      <c r="L1000">
        <v>1875</v>
      </c>
      <c r="M1000">
        <v>1875</v>
      </c>
      <c r="N1000">
        <v>0</v>
      </c>
    </row>
    <row r="1001" spans="1:14" x14ac:dyDescent="0.25">
      <c r="A1001">
        <v>584.07847700000002</v>
      </c>
      <c r="B1001" s="1">
        <f>DATE(2011,12,6) + TIME(1,53,0)</f>
        <v>40883.078472222223</v>
      </c>
      <c r="C1001">
        <v>80</v>
      </c>
      <c r="D1001">
        <v>73.229179381999998</v>
      </c>
      <c r="E1001">
        <v>50</v>
      </c>
      <c r="F1001">
        <v>49.953308104999998</v>
      </c>
      <c r="G1001">
        <v>1303.1823730000001</v>
      </c>
      <c r="H1001">
        <v>1293.1346435999999</v>
      </c>
      <c r="I1001">
        <v>1384.5451660000001</v>
      </c>
      <c r="J1001">
        <v>1368.9622803</v>
      </c>
      <c r="K1001">
        <v>0</v>
      </c>
      <c r="L1001">
        <v>1875</v>
      </c>
      <c r="M1001">
        <v>1875</v>
      </c>
      <c r="N1001">
        <v>0</v>
      </c>
    </row>
    <row r="1002" spans="1:14" x14ac:dyDescent="0.25">
      <c r="A1002">
        <v>585.806602</v>
      </c>
      <c r="B1002" s="1">
        <f>DATE(2011,12,7) + TIME(19,21,30)</f>
        <v>40884.806597222225</v>
      </c>
      <c r="C1002">
        <v>80</v>
      </c>
      <c r="D1002">
        <v>73.075958252000007</v>
      </c>
      <c r="E1002">
        <v>50</v>
      </c>
      <c r="F1002">
        <v>49.95344162</v>
      </c>
      <c r="G1002">
        <v>1303.0314940999999</v>
      </c>
      <c r="H1002">
        <v>1292.9384766000001</v>
      </c>
      <c r="I1002">
        <v>1384.4680175999999</v>
      </c>
      <c r="J1002">
        <v>1368.8919678</v>
      </c>
      <c r="K1002">
        <v>0</v>
      </c>
      <c r="L1002">
        <v>1875</v>
      </c>
      <c r="M1002">
        <v>1875</v>
      </c>
      <c r="N1002">
        <v>0</v>
      </c>
    </row>
    <row r="1003" spans="1:14" x14ac:dyDescent="0.25">
      <c r="A1003">
        <v>587.55995299999995</v>
      </c>
      <c r="B1003" s="1">
        <f>DATE(2011,12,9) + TIME(13,26,19)</f>
        <v>40886.559942129628</v>
      </c>
      <c r="C1003">
        <v>80</v>
      </c>
      <c r="D1003">
        <v>72.920867920000006</v>
      </c>
      <c r="E1003">
        <v>50</v>
      </c>
      <c r="F1003">
        <v>49.953540801999999</v>
      </c>
      <c r="G1003">
        <v>1302.8748779</v>
      </c>
      <c r="H1003">
        <v>1292.7337646000001</v>
      </c>
      <c r="I1003">
        <v>1384.3927002</v>
      </c>
      <c r="J1003">
        <v>1368.8232422000001</v>
      </c>
      <c r="K1003">
        <v>0</v>
      </c>
      <c r="L1003">
        <v>1875</v>
      </c>
      <c r="M1003">
        <v>1875</v>
      </c>
      <c r="N1003">
        <v>0</v>
      </c>
    </row>
    <row r="1004" spans="1:14" x14ac:dyDescent="0.25">
      <c r="A1004">
        <v>589.34166500000003</v>
      </c>
      <c r="B1004" s="1">
        <f>DATE(2011,12,11) + TIME(8,11,59)</f>
        <v>40888.34165509259</v>
      </c>
      <c r="C1004">
        <v>80</v>
      </c>
      <c r="D1004">
        <v>72.763557434000006</v>
      </c>
      <c r="E1004">
        <v>50</v>
      </c>
      <c r="F1004">
        <v>49.953624724999997</v>
      </c>
      <c r="G1004">
        <v>1302.7120361</v>
      </c>
      <c r="H1004">
        <v>1292.5200195</v>
      </c>
      <c r="I1004">
        <v>1384.3189697</v>
      </c>
      <c r="J1004">
        <v>1368.7561035000001</v>
      </c>
      <c r="K1004">
        <v>0</v>
      </c>
      <c r="L1004">
        <v>1875</v>
      </c>
      <c r="M1004">
        <v>1875</v>
      </c>
      <c r="N1004">
        <v>0</v>
      </c>
    </row>
    <row r="1005" spans="1:14" x14ac:dyDescent="0.25">
      <c r="A1005">
        <v>591.14575000000002</v>
      </c>
      <c r="B1005" s="1">
        <f>DATE(2011,12,13) + TIME(3,29,52)</f>
        <v>40890.145740740743</v>
      </c>
      <c r="C1005">
        <v>80</v>
      </c>
      <c r="D1005">
        <v>72.603820800999998</v>
      </c>
      <c r="E1005">
        <v>50</v>
      </c>
      <c r="F1005">
        <v>49.953701019</v>
      </c>
      <c r="G1005">
        <v>1302.5424805</v>
      </c>
      <c r="H1005">
        <v>1292.2966309000001</v>
      </c>
      <c r="I1005">
        <v>1384.246582</v>
      </c>
      <c r="J1005">
        <v>1368.6901855000001</v>
      </c>
      <c r="K1005">
        <v>0</v>
      </c>
      <c r="L1005">
        <v>1875</v>
      </c>
      <c r="M1005">
        <v>1875</v>
      </c>
      <c r="N1005">
        <v>0</v>
      </c>
    </row>
    <row r="1006" spans="1:14" x14ac:dyDescent="0.25">
      <c r="A1006">
        <v>592.96573699999999</v>
      </c>
      <c r="B1006" s="1">
        <f>DATE(2011,12,14) + TIME(23,10,39)</f>
        <v>40891.965729166666</v>
      </c>
      <c r="C1006">
        <v>80</v>
      </c>
      <c r="D1006">
        <v>72.441719054999993</v>
      </c>
      <c r="E1006">
        <v>50</v>
      </c>
      <c r="F1006">
        <v>49.953777313000003</v>
      </c>
      <c r="G1006">
        <v>1302.3666992000001</v>
      </c>
      <c r="H1006">
        <v>1292.0640868999999</v>
      </c>
      <c r="I1006">
        <v>1384.1757812000001</v>
      </c>
      <c r="J1006">
        <v>1368.6257324000001</v>
      </c>
      <c r="K1006">
        <v>0</v>
      </c>
      <c r="L1006">
        <v>1875</v>
      </c>
      <c r="M1006">
        <v>1875</v>
      </c>
      <c r="N1006">
        <v>0</v>
      </c>
    </row>
    <row r="1007" spans="1:14" x14ac:dyDescent="0.25">
      <c r="A1007">
        <v>594.80520799999999</v>
      </c>
      <c r="B1007" s="1">
        <f>DATE(2011,12,16) + TIME(19,19,29)</f>
        <v>40893.805196759262</v>
      </c>
      <c r="C1007">
        <v>80</v>
      </c>
      <c r="D1007">
        <v>72.277061462000006</v>
      </c>
      <c r="E1007">
        <v>50</v>
      </c>
      <c r="F1007">
        <v>49.953853606999999</v>
      </c>
      <c r="G1007">
        <v>1302.1851807</v>
      </c>
      <c r="H1007">
        <v>1291.822876</v>
      </c>
      <c r="I1007">
        <v>1384.1065673999999</v>
      </c>
      <c r="J1007">
        <v>1368.5628661999999</v>
      </c>
      <c r="K1007">
        <v>0</v>
      </c>
      <c r="L1007">
        <v>1875</v>
      </c>
      <c r="M1007">
        <v>1875</v>
      </c>
      <c r="N1007">
        <v>0</v>
      </c>
    </row>
    <row r="1008" spans="1:14" x14ac:dyDescent="0.25">
      <c r="A1008">
        <v>596.66760399999998</v>
      </c>
      <c r="B1008" s="1">
        <f>DATE(2011,12,18) + TIME(16,1,20)</f>
        <v>40895.667592592596</v>
      </c>
      <c r="C1008">
        <v>80</v>
      </c>
      <c r="D1008">
        <v>72.109352111999996</v>
      </c>
      <c r="E1008">
        <v>50</v>
      </c>
      <c r="F1008">
        <v>49.953929901000002</v>
      </c>
      <c r="G1008">
        <v>1301.9974365</v>
      </c>
      <c r="H1008">
        <v>1291.5725098</v>
      </c>
      <c r="I1008">
        <v>1384.0388184000001</v>
      </c>
      <c r="J1008">
        <v>1368.5014647999999</v>
      </c>
      <c r="K1008">
        <v>0</v>
      </c>
      <c r="L1008">
        <v>1875</v>
      </c>
      <c r="M1008">
        <v>1875</v>
      </c>
      <c r="N1008">
        <v>0</v>
      </c>
    </row>
    <row r="1009" spans="1:14" x14ac:dyDescent="0.25">
      <c r="A1009">
        <v>598.556331</v>
      </c>
      <c r="B1009" s="1">
        <f>DATE(2011,12,20) + TIME(13,21,6)</f>
        <v>40897.556319444448</v>
      </c>
      <c r="C1009">
        <v>80</v>
      </c>
      <c r="D1009">
        <v>71.937942504999995</v>
      </c>
      <c r="E1009">
        <v>50</v>
      </c>
      <c r="F1009">
        <v>49.954006194999998</v>
      </c>
      <c r="G1009">
        <v>1301.8033447</v>
      </c>
      <c r="H1009">
        <v>1291.3126221</v>
      </c>
      <c r="I1009">
        <v>1383.9724120999999</v>
      </c>
      <c r="J1009">
        <v>1368.4411620999999</v>
      </c>
      <c r="K1009">
        <v>0</v>
      </c>
      <c r="L1009">
        <v>1875</v>
      </c>
      <c r="M1009">
        <v>1875</v>
      </c>
      <c r="N1009">
        <v>0</v>
      </c>
    </row>
    <row r="1010" spans="1:14" x14ac:dyDescent="0.25">
      <c r="A1010">
        <v>600.47313599999995</v>
      </c>
      <c r="B1010" s="1">
        <f>DATE(2011,12,22) + TIME(11,21,18)</f>
        <v>40899.473124999997</v>
      </c>
      <c r="C1010">
        <v>80</v>
      </c>
      <c r="D1010">
        <v>71.762153624999996</v>
      </c>
      <c r="E1010">
        <v>50</v>
      </c>
      <c r="F1010">
        <v>49.954086304</v>
      </c>
      <c r="G1010">
        <v>1301.6022949000001</v>
      </c>
      <c r="H1010">
        <v>1291.0424805</v>
      </c>
      <c r="I1010">
        <v>1383.9071045000001</v>
      </c>
      <c r="J1010">
        <v>1368.3818358999999</v>
      </c>
      <c r="K1010">
        <v>0</v>
      </c>
      <c r="L1010">
        <v>1875</v>
      </c>
      <c r="M1010">
        <v>1875</v>
      </c>
      <c r="N1010">
        <v>0</v>
      </c>
    </row>
    <row r="1011" spans="1:14" x14ac:dyDescent="0.25">
      <c r="A1011">
        <v>602.41375300000004</v>
      </c>
      <c r="B1011" s="1">
        <f>DATE(2011,12,24) + TIME(9,55,48)</f>
        <v>40901.41375</v>
      </c>
      <c r="C1011">
        <v>80</v>
      </c>
      <c r="D1011">
        <v>71.581535338999998</v>
      </c>
      <c r="E1011">
        <v>50</v>
      </c>
      <c r="F1011">
        <v>49.954166411999999</v>
      </c>
      <c r="G1011">
        <v>1301.3941649999999</v>
      </c>
      <c r="H1011">
        <v>1290.7617187999999</v>
      </c>
      <c r="I1011">
        <v>1383.8427733999999</v>
      </c>
      <c r="J1011">
        <v>1368.3236084</v>
      </c>
      <c r="K1011">
        <v>0</v>
      </c>
      <c r="L1011">
        <v>1875</v>
      </c>
      <c r="M1011">
        <v>1875</v>
      </c>
      <c r="N1011">
        <v>0</v>
      </c>
    </row>
    <row r="1012" spans="1:14" x14ac:dyDescent="0.25">
      <c r="A1012">
        <v>604.36809800000003</v>
      </c>
      <c r="B1012" s="1">
        <f>DATE(2011,12,26) + TIME(8,50,3)</f>
        <v>40903.368090277778</v>
      </c>
      <c r="C1012">
        <v>80</v>
      </c>
      <c r="D1012">
        <v>71.396034240999995</v>
      </c>
      <c r="E1012">
        <v>50</v>
      </c>
      <c r="F1012">
        <v>49.954246521000002</v>
      </c>
      <c r="G1012">
        <v>1301.1790771000001</v>
      </c>
      <c r="H1012">
        <v>1290.4707031</v>
      </c>
      <c r="I1012">
        <v>1383.7796631000001</v>
      </c>
      <c r="J1012">
        <v>1368.2662353999999</v>
      </c>
      <c r="K1012">
        <v>0</v>
      </c>
      <c r="L1012">
        <v>1875</v>
      </c>
      <c r="M1012">
        <v>1875</v>
      </c>
      <c r="N1012">
        <v>0</v>
      </c>
    </row>
    <row r="1013" spans="1:14" x14ac:dyDescent="0.25">
      <c r="A1013">
        <v>606.33988199999999</v>
      </c>
      <c r="B1013" s="1">
        <f>DATE(2011,12,28) + TIME(8,9,25)</f>
        <v>40905.339872685188</v>
      </c>
      <c r="C1013">
        <v>80</v>
      </c>
      <c r="D1013">
        <v>71.205459594999994</v>
      </c>
      <c r="E1013">
        <v>50</v>
      </c>
      <c r="F1013">
        <v>49.954326629999997</v>
      </c>
      <c r="G1013">
        <v>1300.9582519999999</v>
      </c>
      <c r="H1013">
        <v>1290.1706543</v>
      </c>
      <c r="I1013">
        <v>1383.7177733999999</v>
      </c>
      <c r="J1013">
        <v>1368.2102050999999</v>
      </c>
      <c r="K1013">
        <v>0</v>
      </c>
      <c r="L1013">
        <v>1875</v>
      </c>
      <c r="M1013">
        <v>1875</v>
      </c>
      <c r="N1013">
        <v>0</v>
      </c>
    </row>
    <row r="1014" spans="1:14" x14ac:dyDescent="0.25">
      <c r="A1014">
        <v>608.33267000000001</v>
      </c>
      <c r="B1014" s="1">
        <f>DATE(2011,12,30) + TIME(7,59,2)</f>
        <v>40907.332662037035</v>
      </c>
      <c r="C1014">
        <v>80</v>
      </c>
      <c r="D1014">
        <v>71.009185790999993</v>
      </c>
      <c r="E1014">
        <v>50</v>
      </c>
      <c r="F1014">
        <v>49.954406738000003</v>
      </c>
      <c r="G1014">
        <v>1300.7310791</v>
      </c>
      <c r="H1014">
        <v>1289.8609618999999</v>
      </c>
      <c r="I1014">
        <v>1383.6571045000001</v>
      </c>
      <c r="J1014">
        <v>1368.1552733999999</v>
      </c>
      <c r="K1014">
        <v>0</v>
      </c>
      <c r="L1014">
        <v>1875</v>
      </c>
      <c r="M1014">
        <v>1875</v>
      </c>
      <c r="N1014">
        <v>0</v>
      </c>
    </row>
    <row r="1015" spans="1:14" x14ac:dyDescent="0.25">
      <c r="A1015">
        <v>610.34994900000004</v>
      </c>
      <c r="B1015" s="1">
        <f>DATE(2012,1,1) + TIME(8,23,55)</f>
        <v>40909.349942129629</v>
      </c>
      <c r="C1015">
        <v>80</v>
      </c>
      <c r="D1015">
        <v>70.806404114000003</v>
      </c>
      <c r="E1015">
        <v>50</v>
      </c>
      <c r="F1015">
        <v>49.954490661999998</v>
      </c>
      <c r="G1015">
        <v>1300.4975586</v>
      </c>
      <c r="H1015">
        <v>1289.5413818</v>
      </c>
      <c r="I1015">
        <v>1383.5975341999999</v>
      </c>
      <c r="J1015">
        <v>1368.1011963000001</v>
      </c>
      <c r="K1015">
        <v>0</v>
      </c>
      <c r="L1015">
        <v>1875</v>
      </c>
      <c r="M1015">
        <v>1875</v>
      </c>
      <c r="N1015">
        <v>0</v>
      </c>
    </row>
    <row r="1016" spans="1:14" x14ac:dyDescent="0.25">
      <c r="A1016">
        <v>612.39518699999996</v>
      </c>
      <c r="B1016" s="1">
        <f>DATE(2012,1,3) + TIME(9,29,4)</f>
        <v>40911.395185185182</v>
      </c>
      <c r="C1016">
        <v>80</v>
      </c>
      <c r="D1016">
        <v>70.596206664999997</v>
      </c>
      <c r="E1016">
        <v>50</v>
      </c>
      <c r="F1016">
        <v>49.954574585000003</v>
      </c>
      <c r="G1016">
        <v>1300.2570800999999</v>
      </c>
      <c r="H1016">
        <v>1289.2113036999999</v>
      </c>
      <c r="I1016">
        <v>1383.5386963000001</v>
      </c>
      <c r="J1016">
        <v>1368.0479736</v>
      </c>
      <c r="K1016">
        <v>0</v>
      </c>
      <c r="L1016">
        <v>1875</v>
      </c>
      <c r="M1016">
        <v>1875</v>
      </c>
      <c r="N1016">
        <v>0</v>
      </c>
    </row>
    <row r="1017" spans="1:14" x14ac:dyDescent="0.25">
      <c r="A1017">
        <v>614.463573</v>
      </c>
      <c r="B1017" s="1">
        <f>DATE(2012,1,5) + TIME(11,7,32)</f>
        <v>40913.463564814818</v>
      </c>
      <c r="C1017">
        <v>80</v>
      </c>
      <c r="D1017">
        <v>70.377922057999996</v>
      </c>
      <c r="E1017">
        <v>50</v>
      </c>
      <c r="F1017">
        <v>49.954658508000001</v>
      </c>
      <c r="G1017">
        <v>1300.0092772999999</v>
      </c>
      <c r="H1017">
        <v>1288.8699951000001</v>
      </c>
      <c r="I1017">
        <v>1383.4807129000001</v>
      </c>
      <c r="J1017">
        <v>1367.9954834</v>
      </c>
      <c r="K1017">
        <v>0</v>
      </c>
      <c r="L1017">
        <v>1875</v>
      </c>
      <c r="M1017">
        <v>1875</v>
      </c>
      <c r="N1017">
        <v>0</v>
      </c>
    </row>
    <row r="1018" spans="1:14" x14ac:dyDescent="0.25">
      <c r="A1018">
        <v>616.55787499999997</v>
      </c>
      <c r="B1018" s="1">
        <f>DATE(2012,1,7) + TIME(13,23,20)</f>
        <v>40915.557870370372</v>
      </c>
      <c r="C1018">
        <v>80</v>
      </c>
      <c r="D1018">
        <v>70.151008606000005</v>
      </c>
      <c r="E1018">
        <v>50</v>
      </c>
      <c r="F1018">
        <v>49.954742432000003</v>
      </c>
      <c r="G1018">
        <v>1299.7546387</v>
      </c>
      <c r="H1018">
        <v>1288.5180664</v>
      </c>
      <c r="I1018">
        <v>1383.4235839999999</v>
      </c>
      <c r="J1018">
        <v>1367.9437256000001</v>
      </c>
      <c r="K1018">
        <v>0</v>
      </c>
      <c r="L1018">
        <v>1875</v>
      </c>
      <c r="M1018">
        <v>1875</v>
      </c>
      <c r="N1018">
        <v>0</v>
      </c>
    </row>
    <row r="1019" spans="1:14" x14ac:dyDescent="0.25">
      <c r="A1019">
        <v>618.67468299999996</v>
      </c>
      <c r="B1019" s="1">
        <f>DATE(2012,1,9) + TIME(16,11,32)</f>
        <v>40917.674675925926</v>
      </c>
      <c r="C1019">
        <v>80</v>
      </c>
      <c r="D1019">
        <v>69.914749146000005</v>
      </c>
      <c r="E1019">
        <v>50</v>
      </c>
      <c r="F1019">
        <v>49.954830170000001</v>
      </c>
      <c r="G1019">
        <v>1299.4929199000001</v>
      </c>
      <c r="H1019">
        <v>1288.1551514</v>
      </c>
      <c r="I1019">
        <v>1383.3670654</v>
      </c>
      <c r="J1019">
        <v>1367.8927002</v>
      </c>
      <c r="K1019">
        <v>0</v>
      </c>
      <c r="L1019">
        <v>1875</v>
      </c>
      <c r="M1019">
        <v>1875</v>
      </c>
      <c r="N1019">
        <v>0</v>
      </c>
    </row>
    <row r="1020" spans="1:14" x14ac:dyDescent="0.25">
      <c r="A1020">
        <v>620.81066399999997</v>
      </c>
      <c r="B1020" s="1">
        <f>DATE(2012,1,11) + TIME(19,27,21)</f>
        <v>40919.810659722221</v>
      </c>
      <c r="C1020">
        <v>80</v>
      </c>
      <c r="D1020">
        <v>69.668579101999995</v>
      </c>
      <c r="E1020">
        <v>50</v>
      </c>
      <c r="F1020">
        <v>49.954917907999999</v>
      </c>
      <c r="G1020">
        <v>1299.2244873</v>
      </c>
      <c r="H1020">
        <v>1287.7817382999999</v>
      </c>
      <c r="I1020">
        <v>1383.3114014</v>
      </c>
      <c r="J1020">
        <v>1367.8422852000001</v>
      </c>
      <c r="K1020">
        <v>0</v>
      </c>
      <c r="L1020">
        <v>1875</v>
      </c>
      <c r="M1020">
        <v>1875</v>
      </c>
      <c r="N1020">
        <v>0</v>
      </c>
    </row>
    <row r="1021" spans="1:14" x14ac:dyDescent="0.25">
      <c r="A1021">
        <v>622.96963200000005</v>
      </c>
      <c r="B1021" s="1">
        <f>DATE(2012,1,13) + TIME(23,16,16)</f>
        <v>40921.969629629632</v>
      </c>
      <c r="C1021">
        <v>80</v>
      </c>
      <c r="D1021">
        <v>69.412048339999998</v>
      </c>
      <c r="E1021">
        <v>50</v>
      </c>
      <c r="F1021">
        <v>49.955001830999997</v>
      </c>
      <c r="G1021">
        <v>1298.949707</v>
      </c>
      <c r="H1021">
        <v>1287.3983154</v>
      </c>
      <c r="I1021">
        <v>1383.2567139</v>
      </c>
      <c r="J1021">
        <v>1367.7927245999999</v>
      </c>
      <c r="K1021">
        <v>0</v>
      </c>
      <c r="L1021">
        <v>1875</v>
      </c>
      <c r="M1021">
        <v>1875</v>
      </c>
      <c r="N1021">
        <v>0</v>
      </c>
    </row>
    <row r="1022" spans="1:14" x14ac:dyDescent="0.25">
      <c r="A1022">
        <v>625.15525300000002</v>
      </c>
      <c r="B1022" s="1">
        <f>DATE(2012,1,16) + TIME(3,43,33)</f>
        <v>40924.155243055553</v>
      </c>
      <c r="C1022">
        <v>80</v>
      </c>
      <c r="D1022">
        <v>69.144165039000001</v>
      </c>
      <c r="E1022">
        <v>50</v>
      </c>
      <c r="F1022">
        <v>49.955093384000001</v>
      </c>
      <c r="G1022">
        <v>1298.668457</v>
      </c>
      <c r="H1022">
        <v>1287.0042725000001</v>
      </c>
      <c r="I1022">
        <v>1383.2025146000001</v>
      </c>
      <c r="J1022">
        <v>1367.7437743999999</v>
      </c>
      <c r="K1022">
        <v>0</v>
      </c>
      <c r="L1022">
        <v>1875</v>
      </c>
      <c r="M1022">
        <v>1875</v>
      </c>
      <c r="N1022">
        <v>0</v>
      </c>
    </row>
    <row r="1023" spans="1:14" x14ac:dyDescent="0.25">
      <c r="A1023">
        <v>627.37117999999998</v>
      </c>
      <c r="B1023" s="1">
        <f>DATE(2012,1,18) + TIME(8,54,29)</f>
        <v>40926.371168981481</v>
      </c>
      <c r="C1023">
        <v>80</v>
      </c>
      <c r="D1023">
        <v>68.863807678000001</v>
      </c>
      <c r="E1023">
        <v>50</v>
      </c>
      <c r="F1023">
        <v>49.955181121999999</v>
      </c>
      <c r="G1023">
        <v>1298.380249</v>
      </c>
      <c r="H1023">
        <v>1286.5991211</v>
      </c>
      <c r="I1023">
        <v>1383.1490478999999</v>
      </c>
      <c r="J1023">
        <v>1367.6953125</v>
      </c>
      <c r="K1023">
        <v>0</v>
      </c>
      <c r="L1023">
        <v>1875</v>
      </c>
      <c r="M1023">
        <v>1875</v>
      </c>
      <c r="N1023">
        <v>0</v>
      </c>
    </row>
    <row r="1024" spans="1:14" x14ac:dyDescent="0.25">
      <c r="A1024">
        <v>629.60409100000004</v>
      </c>
      <c r="B1024" s="1">
        <f>DATE(2012,1,20) + TIME(14,29,53)</f>
        <v>40928.604085648149</v>
      </c>
      <c r="C1024">
        <v>80</v>
      </c>
      <c r="D1024">
        <v>68.570465088000006</v>
      </c>
      <c r="E1024">
        <v>50</v>
      </c>
      <c r="F1024">
        <v>49.955268859999997</v>
      </c>
      <c r="G1024">
        <v>1298.0847168</v>
      </c>
      <c r="H1024">
        <v>1286.1824951000001</v>
      </c>
      <c r="I1024">
        <v>1383.0960693</v>
      </c>
      <c r="J1024">
        <v>1367.6473389</v>
      </c>
      <c r="K1024">
        <v>0</v>
      </c>
      <c r="L1024">
        <v>1875</v>
      </c>
      <c r="M1024">
        <v>1875</v>
      </c>
      <c r="N1024">
        <v>0</v>
      </c>
    </row>
    <row r="1025" spans="1:14" x14ac:dyDescent="0.25">
      <c r="A1025">
        <v>631.85683100000006</v>
      </c>
      <c r="B1025" s="1">
        <f>DATE(2012,1,22) + TIME(20,33,50)</f>
        <v>40930.856828703705</v>
      </c>
      <c r="C1025">
        <v>80</v>
      </c>
      <c r="D1025">
        <v>68.264053344999994</v>
      </c>
      <c r="E1025">
        <v>50</v>
      </c>
      <c r="F1025">
        <v>49.955360413000001</v>
      </c>
      <c r="G1025">
        <v>1297.7834473</v>
      </c>
      <c r="H1025">
        <v>1285.7561035000001</v>
      </c>
      <c r="I1025">
        <v>1383.0437012</v>
      </c>
      <c r="J1025">
        <v>1367.6000977000001</v>
      </c>
      <c r="K1025">
        <v>0</v>
      </c>
      <c r="L1025">
        <v>1875</v>
      </c>
      <c r="M1025">
        <v>1875</v>
      </c>
      <c r="N1025">
        <v>0</v>
      </c>
    </row>
    <row r="1026" spans="1:14" x14ac:dyDescent="0.25">
      <c r="A1026">
        <v>634.13330499999995</v>
      </c>
      <c r="B1026" s="1">
        <f>DATE(2012,1,25) + TIME(3,11,57)</f>
        <v>40933.133298611108</v>
      </c>
      <c r="C1026">
        <v>80</v>
      </c>
      <c r="D1026">
        <v>67.943832396999994</v>
      </c>
      <c r="E1026">
        <v>50</v>
      </c>
      <c r="F1026">
        <v>49.955451965000002</v>
      </c>
      <c r="G1026">
        <v>1297.4763184000001</v>
      </c>
      <c r="H1026">
        <v>1285.3199463000001</v>
      </c>
      <c r="I1026">
        <v>1382.9920654</v>
      </c>
      <c r="J1026">
        <v>1367.5533447</v>
      </c>
      <c r="K1026">
        <v>0</v>
      </c>
      <c r="L1026">
        <v>1875</v>
      </c>
      <c r="M1026">
        <v>1875</v>
      </c>
      <c r="N1026">
        <v>0</v>
      </c>
    </row>
    <row r="1027" spans="1:14" x14ac:dyDescent="0.25">
      <c r="A1027">
        <v>636.43734199999994</v>
      </c>
      <c r="B1027" s="1">
        <f>DATE(2012,1,27) + TIME(10,29,46)</f>
        <v>40935.437337962961</v>
      </c>
      <c r="C1027">
        <v>80</v>
      </c>
      <c r="D1027">
        <v>67.608734131000006</v>
      </c>
      <c r="E1027">
        <v>50</v>
      </c>
      <c r="F1027">
        <v>49.955543517999999</v>
      </c>
      <c r="G1027">
        <v>1297.1629639</v>
      </c>
      <c r="H1027">
        <v>1284.8735352000001</v>
      </c>
      <c r="I1027">
        <v>1382.9410399999999</v>
      </c>
      <c r="J1027">
        <v>1367.5070800999999</v>
      </c>
      <c r="K1027">
        <v>0</v>
      </c>
      <c r="L1027">
        <v>1875</v>
      </c>
      <c r="M1027">
        <v>1875</v>
      </c>
      <c r="N1027">
        <v>0</v>
      </c>
    </row>
    <row r="1028" spans="1:14" x14ac:dyDescent="0.25">
      <c r="A1028">
        <v>638.77275399999996</v>
      </c>
      <c r="B1028" s="1">
        <f>DATE(2012,1,29) + TIME(18,32,45)</f>
        <v>40937.772743055553</v>
      </c>
      <c r="C1028">
        <v>80</v>
      </c>
      <c r="D1028">
        <v>67.257591247999997</v>
      </c>
      <c r="E1028">
        <v>50</v>
      </c>
      <c r="F1028">
        <v>49.955635071000003</v>
      </c>
      <c r="G1028">
        <v>1296.8431396000001</v>
      </c>
      <c r="H1028">
        <v>1284.4162598</v>
      </c>
      <c r="I1028">
        <v>1382.8903809000001</v>
      </c>
      <c r="J1028">
        <v>1367.4613036999999</v>
      </c>
      <c r="K1028">
        <v>0</v>
      </c>
      <c r="L1028">
        <v>1875</v>
      </c>
      <c r="M1028">
        <v>1875</v>
      </c>
      <c r="N1028">
        <v>0</v>
      </c>
    </row>
    <row r="1029" spans="1:14" x14ac:dyDescent="0.25">
      <c r="A1029">
        <v>641.13023799999996</v>
      </c>
      <c r="B1029" s="1">
        <f>DATE(2012,2,1) + TIME(3,7,32)</f>
        <v>40940.130231481482</v>
      </c>
      <c r="C1029">
        <v>80</v>
      </c>
      <c r="D1029">
        <v>66.889732361</v>
      </c>
      <c r="E1029">
        <v>50</v>
      </c>
      <c r="F1029">
        <v>49.955726624</v>
      </c>
      <c r="G1029">
        <v>1296.5164795000001</v>
      </c>
      <c r="H1029">
        <v>1283.9476318</v>
      </c>
      <c r="I1029">
        <v>1382.8399658000001</v>
      </c>
      <c r="J1029">
        <v>1367.4157714999999</v>
      </c>
      <c r="K1029">
        <v>0</v>
      </c>
      <c r="L1029">
        <v>1875</v>
      </c>
      <c r="M1029">
        <v>1875</v>
      </c>
      <c r="N1029">
        <v>0</v>
      </c>
    </row>
    <row r="1030" spans="1:14" x14ac:dyDescent="0.25">
      <c r="A1030">
        <v>643.51034200000004</v>
      </c>
      <c r="B1030" s="1">
        <f>DATE(2012,2,3) + TIME(12,14,53)</f>
        <v>40942.510335648149</v>
      </c>
      <c r="C1030">
        <v>80</v>
      </c>
      <c r="D1030">
        <v>66.505142211999996</v>
      </c>
      <c r="E1030">
        <v>50</v>
      </c>
      <c r="F1030">
        <v>49.955821991000001</v>
      </c>
      <c r="G1030">
        <v>1296.184082</v>
      </c>
      <c r="H1030">
        <v>1283.4689940999999</v>
      </c>
      <c r="I1030">
        <v>1382.7901611</v>
      </c>
      <c r="J1030">
        <v>1367.3706055</v>
      </c>
      <c r="K1030">
        <v>0</v>
      </c>
      <c r="L1030">
        <v>1875</v>
      </c>
      <c r="M1030">
        <v>1875</v>
      </c>
      <c r="N1030">
        <v>0</v>
      </c>
    </row>
    <row r="1031" spans="1:14" x14ac:dyDescent="0.25">
      <c r="A1031">
        <v>645</v>
      </c>
      <c r="B1031" s="1">
        <f>DATE(2012,2,5) + TIME(0,0,0)</f>
        <v>40944</v>
      </c>
      <c r="C1031">
        <v>80</v>
      </c>
      <c r="D1031">
        <v>66.163612365999995</v>
      </c>
      <c r="E1031">
        <v>50</v>
      </c>
      <c r="F1031">
        <v>49.955875397</v>
      </c>
      <c r="G1031">
        <v>1295.8529053</v>
      </c>
      <c r="H1031">
        <v>1283.0035399999999</v>
      </c>
      <c r="I1031">
        <v>1382.7402344</v>
      </c>
      <c r="J1031">
        <v>1367.3253173999999</v>
      </c>
      <c r="K1031">
        <v>0</v>
      </c>
      <c r="L1031">
        <v>1875</v>
      </c>
      <c r="M1031">
        <v>1875</v>
      </c>
      <c r="N1031">
        <v>0</v>
      </c>
    </row>
    <row r="1032" spans="1:14" x14ac:dyDescent="0.25">
      <c r="A1032">
        <v>645.000001</v>
      </c>
      <c r="B1032" s="1">
        <f>DATE(2012,2,5) + TIME(0,0,0)</f>
        <v>40944</v>
      </c>
      <c r="C1032">
        <v>80</v>
      </c>
      <c r="D1032">
        <v>66.163665770999998</v>
      </c>
      <c r="E1032">
        <v>50</v>
      </c>
      <c r="F1032">
        <v>49.955829620000003</v>
      </c>
      <c r="G1032">
        <v>1296.2238769999999</v>
      </c>
      <c r="H1032">
        <v>1296.2238769999999</v>
      </c>
      <c r="I1032">
        <v>1366.9738769999999</v>
      </c>
      <c r="J1032">
        <v>1366.9738769999999</v>
      </c>
      <c r="K1032">
        <v>0</v>
      </c>
      <c r="L1032">
        <v>0</v>
      </c>
      <c r="M1032">
        <v>0</v>
      </c>
      <c r="N1032">
        <v>0</v>
      </c>
    </row>
    <row r="1033" spans="1:14" x14ac:dyDescent="0.25">
      <c r="A1033">
        <v>645.00000399999999</v>
      </c>
      <c r="B1033" s="1">
        <f>DATE(2012,2,5) + TIME(0,0,0)</f>
        <v>40944</v>
      </c>
      <c r="C1033">
        <v>80</v>
      </c>
      <c r="D1033">
        <v>66.163795471</v>
      </c>
      <c r="E1033">
        <v>50</v>
      </c>
      <c r="F1033">
        <v>49.955711364999999</v>
      </c>
      <c r="G1033">
        <v>1297.1865233999999</v>
      </c>
      <c r="H1033">
        <v>1297.1865233999999</v>
      </c>
      <c r="I1033">
        <v>1366.036499</v>
      </c>
      <c r="J1033">
        <v>1366.036499</v>
      </c>
      <c r="K1033">
        <v>0</v>
      </c>
      <c r="L1033">
        <v>0</v>
      </c>
      <c r="M1033">
        <v>0</v>
      </c>
      <c r="N1033">
        <v>0</v>
      </c>
    </row>
    <row r="1034" spans="1:14" x14ac:dyDescent="0.25">
      <c r="A1034">
        <v>645.00001299999997</v>
      </c>
      <c r="B1034" s="1">
        <f>DATE(2012,2,5) + TIME(0,0,1)</f>
        <v>40944.000011574077</v>
      </c>
      <c r="C1034">
        <v>80</v>
      </c>
      <c r="D1034">
        <v>66.1640625</v>
      </c>
      <c r="E1034">
        <v>50</v>
      </c>
      <c r="F1034">
        <v>49.955448150999999</v>
      </c>
      <c r="G1034">
        <v>1299.2293701000001</v>
      </c>
      <c r="H1034">
        <v>1299.2293701000001</v>
      </c>
      <c r="I1034">
        <v>1363.9334716999999</v>
      </c>
      <c r="J1034">
        <v>1363.9334716999999</v>
      </c>
      <c r="K1034">
        <v>0</v>
      </c>
      <c r="L1034">
        <v>0</v>
      </c>
      <c r="M1034">
        <v>0</v>
      </c>
      <c r="N1034">
        <v>0</v>
      </c>
    </row>
    <row r="1035" spans="1:14" x14ac:dyDescent="0.25">
      <c r="A1035">
        <v>645.00004000000001</v>
      </c>
      <c r="B1035" s="1">
        <f>DATE(2012,2,5) + TIME(0,0,3)</f>
        <v>40944.000034722223</v>
      </c>
      <c r="C1035">
        <v>80</v>
      </c>
      <c r="D1035">
        <v>66.164489746000001</v>
      </c>
      <c r="E1035">
        <v>50</v>
      </c>
      <c r="F1035">
        <v>49.955001830999997</v>
      </c>
      <c r="G1035">
        <v>1302.4011230000001</v>
      </c>
      <c r="H1035">
        <v>1302.4011230000001</v>
      </c>
      <c r="I1035">
        <v>1360.4195557</v>
      </c>
      <c r="J1035">
        <v>1360.4195557</v>
      </c>
      <c r="K1035">
        <v>0</v>
      </c>
      <c r="L1035">
        <v>0</v>
      </c>
      <c r="M1035">
        <v>0</v>
      </c>
      <c r="N1035">
        <v>0</v>
      </c>
    </row>
    <row r="1036" spans="1:14" x14ac:dyDescent="0.25">
      <c r="A1036">
        <v>645.00012100000004</v>
      </c>
      <c r="B1036" s="1">
        <f>DATE(2012,2,5) + TIME(0,0,10)</f>
        <v>40944.000115740739</v>
      </c>
      <c r="C1036">
        <v>80</v>
      </c>
      <c r="D1036">
        <v>66.164978027000004</v>
      </c>
      <c r="E1036">
        <v>50</v>
      </c>
      <c r="F1036">
        <v>49.954460144000002</v>
      </c>
      <c r="G1036">
        <v>1306.0839844</v>
      </c>
      <c r="H1036">
        <v>1306.0839844</v>
      </c>
      <c r="I1036">
        <v>1356.130249</v>
      </c>
      <c r="J1036">
        <v>1356.130249</v>
      </c>
      <c r="K1036">
        <v>0</v>
      </c>
      <c r="L1036">
        <v>0</v>
      </c>
      <c r="M1036">
        <v>0</v>
      </c>
      <c r="N1036">
        <v>0</v>
      </c>
    </row>
    <row r="1037" spans="1:14" x14ac:dyDescent="0.25">
      <c r="A1037">
        <v>645.00036399999999</v>
      </c>
      <c r="B1037" s="1">
        <f>DATE(2012,2,5) + TIME(0,0,31)</f>
        <v>40944.000358796293</v>
      </c>
      <c r="C1037">
        <v>80</v>
      </c>
      <c r="D1037">
        <v>66.165473938000005</v>
      </c>
      <c r="E1037">
        <v>50</v>
      </c>
      <c r="F1037">
        <v>49.953891753999997</v>
      </c>
      <c r="G1037">
        <v>1309.8745117000001</v>
      </c>
      <c r="H1037">
        <v>1309.8745117000001</v>
      </c>
      <c r="I1037">
        <v>1351.7121582</v>
      </c>
      <c r="J1037">
        <v>1351.7121582</v>
      </c>
      <c r="K1037">
        <v>0</v>
      </c>
      <c r="L1037">
        <v>0</v>
      </c>
      <c r="M1037">
        <v>0</v>
      </c>
      <c r="N1037">
        <v>0</v>
      </c>
    </row>
    <row r="1038" spans="1:14" x14ac:dyDescent="0.25">
      <c r="A1038">
        <v>645.00109299999997</v>
      </c>
      <c r="B1038" s="1">
        <f>DATE(2012,2,5) + TIME(0,1,34)</f>
        <v>40944.001087962963</v>
      </c>
      <c r="C1038">
        <v>80</v>
      </c>
      <c r="D1038">
        <v>66.165977478000002</v>
      </c>
      <c r="E1038">
        <v>50</v>
      </c>
      <c r="F1038">
        <v>49.953300476000003</v>
      </c>
      <c r="G1038">
        <v>1313.8635254000001</v>
      </c>
      <c r="H1038">
        <v>1313.8635254000001</v>
      </c>
      <c r="I1038">
        <v>1347.2639160000001</v>
      </c>
      <c r="J1038">
        <v>1347.2639160000001</v>
      </c>
      <c r="K1038">
        <v>0</v>
      </c>
      <c r="L1038">
        <v>0</v>
      </c>
      <c r="M1038">
        <v>0</v>
      </c>
      <c r="N1038">
        <v>0</v>
      </c>
    </row>
    <row r="1039" spans="1:14" x14ac:dyDescent="0.25">
      <c r="A1039">
        <v>645.00328000000002</v>
      </c>
      <c r="B1039" s="1">
        <f>DATE(2012,2,5) + TIME(0,4,43)</f>
        <v>40944.003275462965</v>
      </c>
      <c r="C1039">
        <v>80</v>
      </c>
      <c r="D1039">
        <v>66.166503906000003</v>
      </c>
      <c r="E1039">
        <v>50</v>
      </c>
      <c r="F1039">
        <v>49.952617644999997</v>
      </c>
      <c r="G1039">
        <v>1318.4089355000001</v>
      </c>
      <c r="H1039">
        <v>1318.4089355000001</v>
      </c>
      <c r="I1039">
        <v>1342.5841064000001</v>
      </c>
      <c r="J1039">
        <v>1342.5841064000001</v>
      </c>
      <c r="K1039">
        <v>0</v>
      </c>
      <c r="L1039">
        <v>0</v>
      </c>
      <c r="M1039">
        <v>0</v>
      </c>
      <c r="N1039">
        <v>0</v>
      </c>
    </row>
    <row r="1040" spans="1:14" x14ac:dyDescent="0.25">
      <c r="A1040">
        <v>645.00984100000005</v>
      </c>
      <c r="B1040" s="1">
        <f>DATE(2012,2,5) + TIME(0,14,10)</f>
        <v>40944.009837962964</v>
      </c>
      <c r="C1040">
        <v>80</v>
      </c>
      <c r="D1040">
        <v>66.166969299000002</v>
      </c>
      <c r="E1040">
        <v>50</v>
      </c>
      <c r="F1040">
        <v>49.951705933</v>
      </c>
      <c r="G1040">
        <v>1323.5177002</v>
      </c>
      <c r="H1040">
        <v>1323.5177002</v>
      </c>
      <c r="I1040">
        <v>1337.6085204999999</v>
      </c>
      <c r="J1040">
        <v>1337.6085204999999</v>
      </c>
      <c r="K1040">
        <v>0</v>
      </c>
      <c r="L1040">
        <v>0</v>
      </c>
      <c r="M1040">
        <v>0</v>
      </c>
      <c r="N1040">
        <v>0</v>
      </c>
    </row>
    <row r="1041" spans="1:14" x14ac:dyDescent="0.25">
      <c r="A1041">
        <v>645.02952400000004</v>
      </c>
      <c r="B1041" s="1">
        <f>DATE(2012,2,5) + TIME(0,42,30)</f>
        <v>40944.029513888891</v>
      </c>
      <c r="C1041">
        <v>80</v>
      </c>
      <c r="D1041">
        <v>66.167060852000006</v>
      </c>
      <c r="E1041">
        <v>50</v>
      </c>
      <c r="F1041">
        <v>49.950328827</v>
      </c>
      <c r="G1041">
        <v>1328.034668</v>
      </c>
      <c r="H1041">
        <v>1328.034668</v>
      </c>
      <c r="I1041">
        <v>1333.3560791</v>
      </c>
      <c r="J1041">
        <v>1333.3560791</v>
      </c>
      <c r="K1041">
        <v>0</v>
      </c>
      <c r="L1041">
        <v>0</v>
      </c>
      <c r="M1041">
        <v>0</v>
      </c>
      <c r="N1041">
        <v>0</v>
      </c>
    </row>
    <row r="1042" spans="1:14" x14ac:dyDescent="0.25">
      <c r="A1042">
        <v>645.088573</v>
      </c>
      <c r="B1042" s="1">
        <f>DATE(2012,2,5) + TIME(2,7,32)</f>
        <v>40944.088564814818</v>
      </c>
      <c r="C1042">
        <v>80</v>
      </c>
      <c r="D1042">
        <v>66.166160583000007</v>
      </c>
      <c r="E1042">
        <v>50</v>
      </c>
      <c r="F1042">
        <v>49.947570800999998</v>
      </c>
      <c r="G1042">
        <v>1330.5582274999999</v>
      </c>
      <c r="H1042">
        <v>1330.5582274999999</v>
      </c>
      <c r="I1042">
        <v>1331.2893065999999</v>
      </c>
      <c r="J1042">
        <v>1331.2893065999999</v>
      </c>
      <c r="K1042">
        <v>0</v>
      </c>
      <c r="L1042">
        <v>0</v>
      </c>
      <c r="M1042">
        <v>0</v>
      </c>
      <c r="N1042">
        <v>0</v>
      </c>
    </row>
    <row r="1043" spans="1:14" x14ac:dyDescent="0.25">
      <c r="A1043">
        <v>645.26571999999999</v>
      </c>
      <c r="B1043" s="1">
        <f>DATE(2012,2,5) + TIME(6,22,38)</f>
        <v>40944.265717592592</v>
      </c>
      <c r="C1043">
        <v>80</v>
      </c>
      <c r="D1043">
        <v>66.162696838000002</v>
      </c>
      <c r="E1043">
        <v>50</v>
      </c>
      <c r="F1043">
        <v>49.940032959</v>
      </c>
      <c r="G1043">
        <v>1331.2801514</v>
      </c>
      <c r="H1043">
        <v>1331.2801514</v>
      </c>
      <c r="I1043">
        <v>1330.9147949000001</v>
      </c>
      <c r="J1043">
        <v>1330.9147949000001</v>
      </c>
      <c r="K1043">
        <v>0</v>
      </c>
      <c r="L1043">
        <v>0</v>
      </c>
      <c r="M1043">
        <v>0</v>
      </c>
      <c r="N1043">
        <v>0</v>
      </c>
    </row>
    <row r="1044" spans="1:14" x14ac:dyDescent="0.25">
      <c r="A1044">
        <v>645.79716099999996</v>
      </c>
      <c r="B1044" s="1">
        <f>DATE(2012,2,5) + TIME(19,7,54)</f>
        <v>40944.797152777777</v>
      </c>
      <c r="C1044">
        <v>80</v>
      </c>
      <c r="D1044">
        <v>66.152038574000002</v>
      </c>
      <c r="E1044">
        <v>50</v>
      </c>
      <c r="F1044">
        <v>49.917640685999999</v>
      </c>
      <c r="G1044">
        <v>1331.3725586</v>
      </c>
      <c r="H1044">
        <v>1331.3725586</v>
      </c>
      <c r="I1044">
        <v>1330.9068603999999</v>
      </c>
      <c r="J1044">
        <v>1330.9068603999999</v>
      </c>
      <c r="K1044">
        <v>0</v>
      </c>
      <c r="L1044">
        <v>0</v>
      </c>
      <c r="M1044">
        <v>0</v>
      </c>
      <c r="N1044">
        <v>0</v>
      </c>
    </row>
    <row r="1045" spans="1:14" x14ac:dyDescent="0.25">
      <c r="A1045">
        <v>647.39148399999999</v>
      </c>
      <c r="B1045" s="1">
        <f>DATE(2012,2,7) + TIME(9,23,44)</f>
        <v>40946.391481481478</v>
      </c>
      <c r="C1045">
        <v>80</v>
      </c>
      <c r="D1045">
        <v>66.119941710999996</v>
      </c>
      <c r="E1045">
        <v>50</v>
      </c>
      <c r="F1045">
        <v>49.851150513</v>
      </c>
      <c r="G1045">
        <v>1331.3767089999999</v>
      </c>
      <c r="H1045">
        <v>1331.3767089999999</v>
      </c>
      <c r="I1045">
        <v>1330.9082031</v>
      </c>
      <c r="J1045">
        <v>1330.9082031</v>
      </c>
      <c r="K1045">
        <v>0</v>
      </c>
      <c r="L1045">
        <v>0</v>
      </c>
      <c r="M1045">
        <v>0</v>
      </c>
      <c r="N1045">
        <v>0</v>
      </c>
    </row>
    <row r="1046" spans="1:14" x14ac:dyDescent="0.25">
      <c r="A1046">
        <v>650</v>
      </c>
      <c r="B1046" s="1">
        <f>DATE(2012,2,10) + TIME(0,0,0)</f>
        <v>40949</v>
      </c>
      <c r="C1046">
        <v>80</v>
      </c>
      <c r="D1046">
        <v>66.067314147999994</v>
      </c>
      <c r="E1046">
        <v>50</v>
      </c>
      <c r="F1046">
        <v>49.744129180999998</v>
      </c>
      <c r="G1046">
        <v>1331.3746338000001</v>
      </c>
      <c r="H1046">
        <v>1331.3746338000001</v>
      </c>
      <c r="I1046">
        <v>1330.9077147999999</v>
      </c>
      <c r="J1046">
        <v>1330.9077147999999</v>
      </c>
      <c r="K1046">
        <v>0</v>
      </c>
      <c r="L1046">
        <v>0</v>
      </c>
      <c r="M1046">
        <v>0</v>
      </c>
      <c r="N1046">
        <v>0</v>
      </c>
    </row>
    <row r="1047" spans="1:14" x14ac:dyDescent="0.25">
      <c r="A1047">
        <v>650.000001</v>
      </c>
      <c r="B1047" s="1">
        <f>DATE(2012,2,10) + TIME(0,0,0)</f>
        <v>40949</v>
      </c>
      <c r="C1047">
        <v>80</v>
      </c>
      <c r="D1047">
        <v>66.067268372000001</v>
      </c>
      <c r="E1047">
        <v>50</v>
      </c>
      <c r="F1047">
        <v>49.744174956999998</v>
      </c>
      <c r="G1047">
        <v>1331.0427245999999</v>
      </c>
      <c r="H1047">
        <v>1319.5739745999999</v>
      </c>
      <c r="I1047">
        <v>1346.71875</v>
      </c>
      <c r="J1047">
        <v>1331.2590332</v>
      </c>
      <c r="K1047">
        <v>0</v>
      </c>
      <c r="L1047">
        <v>1825</v>
      </c>
      <c r="M1047">
        <v>1825</v>
      </c>
      <c r="N1047">
        <v>0</v>
      </c>
    </row>
    <row r="1048" spans="1:14" x14ac:dyDescent="0.25">
      <c r="A1048">
        <v>650.00000399999999</v>
      </c>
      <c r="B1048" s="1">
        <f>DATE(2012,2,10) + TIME(0,0,0)</f>
        <v>40949</v>
      </c>
      <c r="C1048">
        <v>80</v>
      </c>
      <c r="D1048">
        <v>66.067146300999994</v>
      </c>
      <c r="E1048">
        <v>50</v>
      </c>
      <c r="F1048">
        <v>49.744293212999999</v>
      </c>
      <c r="G1048">
        <v>1330.1796875</v>
      </c>
      <c r="H1048">
        <v>1318.6904297000001</v>
      </c>
      <c r="I1048">
        <v>1347.605957</v>
      </c>
      <c r="J1048">
        <v>1332.1933594</v>
      </c>
      <c r="K1048">
        <v>0</v>
      </c>
      <c r="L1048">
        <v>1825</v>
      </c>
      <c r="M1048">
        <v>1825</v>
      </c>
      <c r="N1048">
        <v>0</v>
      </c>
    </row>
    <row r="1049" spans="1:14" x14ac:dyDescent="0.25">
      <c r="A1049">
        <v>650.00001299999997</v>
      </c>
      <c r="B1049" s="1">
        <f>DATE(2012,2,10) + TIME(0,0,1)</f>
        <v>40949.000011574077</v>
      </c>
      <c r="C1049">
        <v>80</v>
      </c>
      <c r="D1049">
        <v>66.066902161000002</v>
      </c>
      <c r="E1049">
        <v>50</v>
      </c>
      <c r="F1049">
        <v>49.744556426999999</v>
      </c>
      <c r="G1049">
        <v>1328.3322754000001</v>
      </c>
      <c r="H1049">
        <v>1316.7653809000001</v>
      </c>
      <c r="I1049">
        <v>1349.5960693</v>
      </c>
      <c r="J1049">
        <v>1334.2764893000001</v>
      </c>
      <c r="K1049">
        <v>0</v>
      </c>
      <c r="L1049">
        <v>1825</v>
      </c>
      <c r="M1049">
        <v>1825</v>
      </c>
      <c r="N1049">
        <v>0</v>
      </c>
    </row>
    <row r="1050" spans="1:14" x14ac:dyDescent="0.25">
      <c r="A1050">
        <v>650.00004000000001</v>
      </c>
      <c r="B1050" s="1">
        <f>DATE(2012,2,10) + TIME(0,0,3)</f>
        <v>40949.000034722223</v>
      </c>
      <c r="C1050">
        <v>80</v>
      </c>
      <c r="D1050">
        <v>66.066490173000005</v>
      </c>
      <c r="E1050">
        <v>50</v>
      </c>
      <c r="F1050">
        <v>49.744995117000002</v>
      </c>
      <c r="G1050">
        <v>1325.3967285000001</v>
      </c>
      <c r="H1050">
        <v>1313.6541748</v>
      </c>
      <c r="I1050">
        <v>1352.9217529</v>
      </c>
      <c r="J1050">
        <v>1337.7220459</v>
      </c>
      <c r="K1050">
        <v>0</v>
      </c>
      <c r="L1050">
        <v>1825</v>
      </c>
      <c r="M1050">
        <v>1825</v>
      </c>
      <c r="N1050">
        <v>0</v>
      </c>
    </row>
    <row r="1051" spans="1:14" x14ac:dyDescent="0.25">
      <c r="A1051">
        <v>650.00012100000004</v>
      </c>
      <c r="B1051" s="1">
        <f>DATE(2012,2,10) + TIME(0,0,10)</f>
        <v>40949.000115740739</v>
      </c>
      <c r="C1051">
        <v>80</v>
      </c>
      <c r="D1051">
        <v>66.065986632999994</v>
      </c>
      <c r="E1051">
        <v>50</v>
      </c>
      <c r="F1051">
        <v>49.745536803999997</v>
      </c>
      <c r="G1051">
        <v>1321.8671875</v>
      </c>
      <c r="H1051">
        <v>1309.9165039</v>
      </c>
      <c r="I1051">
        <v>1356.980957</v>
      </c>
      <c r="J1051">
        <v>1341.8819579999999</v>
      </c>
      <c r="K1051">
        <v>0</v>
      </c>
      <c r="L1051">
        <v>1825</v>
      </c>
      <c r="M1051">
        <v>1825</v>
      </c>
      <c r="N1051">
        <v>0</v>
      </c>
    </row>
    <row r="1052" spans="1:14" x14ac:dyDescent="0.25">
      <c r="A1052">
        <v>650.00036399999999</v>
      </c>
      <c r="B1052" s="1">
        <f>DATE(2012,2,10) + TIME(0,0,31)</f>
        <v>40949.000358796293</v>
      </c>
      <c r="C1052">
        <v>80</v>
      </c>
      <c r="D1052">
        <v>66.065376282000003</v>
      </c>
      <c r="E1052">
        <v>50</v>
      </c>
      <c r="F1052">
        <v>49.746116637999997</v>
      </c>
      <c r="G1052">
        <v>1318.1262207</v>
      </c>
      <c r="H1052">
        <v>1306.0045166</v>
      </c>
      <c r="I1052">
        <v>1361.1621094</v>
      </c>
      <c r="J1052">
        <v>1346.1335449000001</v>
      </c>
      <c r="K1052">
        <v>0</v>
      </c>
      <c r="L1052">
        <v>1825</v>
      </c>
      <c r="M1052">
        <v>1825</v>
      </c>
      <c r="N1052">
        <v>0</v>
      </c>
    </row>
    <row r="1053" spans="1:14" x14ac:dyDescent="0.25">
      <c r="A1053">
        <v>650.00109299999997</v>
      </c>
      <c r="B1053" s="1">
        <f>DATE(2012,2,10) + TIME(0,1,34)</f>
        <v>40949.001087962963</v>
      </c>
      <c r="C1053">
        <v>80</v>
      </c>
      <c r="D1053">
        <v>66.064498900999993</v>
      </c>
      <c r="E1053">
        <v>50</v>
      </c>
      <c r="F1053">
        <v>49.746799469000003</v>
      </c>
      <c r="G1053">
        <v>1314.1143798999999</v>
      </c>
      <c r="H1053">
        <v>1301.8452147999999</v>
      </c>
      <c r="I1053">
        <v>1365.3896483999999</v>
      </c>
      <c r="J1053">
        <v>1350.4051514</v>
      </c>
      <c r="K1053">
        <v>0</v>
      </c>
      <c r="L1053">
        <v>1825</v>
      </c>
      <c r="M1053">
        <v>1825</v>
      </c>
      <c r="N1053">
        <v>0</v>
      </c>
    </row>
    <row r="1054" spans="1:14" x14ac:dyDescent="0.25">
      <c r="A1054">
        <v>650.00328000000002</v>
      </c>
      <c r="B1054" s="1">
        <f>DATE(2012,2,10) + TIME(0,4,43)</f>
        <v>40949.003275462965</v>
      </c>
      <c r="C1054">
        <v>80</v>
      </c>
      <c r="D1054">
        <v>66.062873839999995</v>
      </c>
      <c r="E1054">
        <v>50</v>
      </c>
      <c r="F1054">
        <v>49.747791290000002</v>
      </c>
      <c r="G1054">
        <v>1309.5223389</v>
      </c>
      <c r="H1054">
        <v>1297.1296387</v>
      </c>
      <c r="I1054">
        <v>1369.9045410000001</v>
      </c>
      <c r="J1054">
        <v>1354.9305420000001</v>
      </c>
      <c r="K1054">
        <v>0</v>
      </c>
      <c r="L1054">
        <v>1825</v>
      </c>
      <c r="M1054">
        <v>1825</v>
      </c>
      <c r="N1054">
        <v>0</v>
      </c>
    </row>
    <row r="1055" spans="1:14" x14ac:dyDescent="0.25">
      <c r="A1055">
        <v>650.00984100000005</v>
      </c>
      <c r="B1055" s="1">
        <f>DATE(2012,2,10) + TIME(0,14,10)</f>
        <v>40949.009837962964</v>
      </c>
      <c r="C1055">
        <v>80</v>
      </c>
      <c r="D1055">
        <v>66.059112549000005</v>
      </c>
      <c r="E1055">
        <v>50</v>
      </c>
      <c r="F1055">
        <v>49.749660491999997</v>
      </c>
      <c r="G1055">
        <v>1304.3961182</v>
      </c>
      <c r="H1055">
        <v>1291.9171143000001</v>
      </c>
      <c r="I1055">
        <v>1374.7818603999999</v>
      </c>
      <c r="J1055">
        <v>1359.7907714999999</v>
      </c>
      <c r="K1055">
        <v>0</v>
      </c>
      <c r="L1055">
        <v>1825</v>
      </c>
      <c r="M1055">
        <v>1825</v>
      </c>
      <c r="N1055">
        <v>0</v>
      </c>
    </row>
    <row r="1056" spans="1:14" x14ac:dyDescent="0.25">
      <c r="A1056">
        <v>650.02952400000004</v>
      </c>
      <c r="B1056" s="1">
        <f>DATE(2012,2,10) + TIME(0,42,30)</f>
        <v>40949.029513888891</v>
      </c>
      <c r="C1056">
        <v>80</v>
      </c>
      <c r="D1056">
        <v>66.049255371000001</v>
      </c>
      <c r="E1056">
        <v>50</v>
      </c>
      <c r="F1056">
        <v>49.753887177000003</v>
      </c>
      <c r="G1056">
        <v>1299.8999022999999</v>
      </c>
      <c r="H1056">
        <v>1287.3706055</v>
      </c>
      <c r="I1056">
        <v>1378.9683838000001</v>
      </c>
      <c r="J1056">
        <v>1363.9577637</v>
      </c>
      <c r="K1056">
        <v>0</v>
      </c>
      <c r="L1056">
        <v>1825</v>
      </c>
      <c r="M1056">
        <v>1825</v>
      </c>
      <c r="N1056">
        <v>0</v>
      </c>
    </row>
    <row r="1057" spans="1:14" x14ac:dyDescent="0.25">
      <c r="A1057">
        <v>650.088573</v>
      </c>
      <c r="B1057" s="1">
        <f>DATE(2012,2,10) + TIME(2,7,32)</f>
        <v>40949.088564814818</v>
      </c>
      <c r="C1057">
        <v>80</v>
      </c>
      <c r="D1057">
        <v>66.022148131999998</v>
      </c>
      <c r="E1057">
        <v>50</v>
      </c>
      <c r="F1057">
        <v>49.764667510999999</v>
      </c>
      <c r="G1057">
        <v>1297.4000243999999</v>
      </c>
      <c r="H1057">
        <v>1284.8452147999999</v>
      </c>
      <c r="I1057">
        <v>1381.0007324000001</v>
      </c>
      <c r="J1057">
        <v>1365.9821777</v>
      </c>
      <c r="K1057">
        <v>0</v>
      </c>
      <c r="L1057">
        <v>1825</v>
      </c>
      <c r="M1057">
        <v>1825</v>
      </c>
      <c r="N1057">
        <v>0</v>
      </c>
    </row>
    <row r="1058" spans="1:14" x14ac:dyDescent="0.25">
      <c r="A1058">
        <v>650.26571999999999</v>
      </c>
      <c r="B1058" s="1">
        <f>DATE(2012,2,10) + TIME(6,22,38)</f>
        <v>40949.265717592592</v>
      </c>
      <c r="C1058">
        <v>80</v>
      </c>
      <c r="D1058">
        <v>65.952072143999999</v>
      </c>
      <c r="E1058">
        <v>50</v>
      </c>
      <c r="F1058">
        <v>49.791786193999997</v>
      </c>
      <c r="G1058">
        <v>1296.6716309000001</v>
      </c>
      <c r="H1058">
        <v>1284.0933838000001</v>
      </c>
      <c r="I1058">
        <v>1381.3669434000001</v>
      </c>
      <c r="J1058">
        <v>1366.3491211</v>
      </c>
      <c r="K1058">
        <v>0</v>
      </c>
      <c r="L1058">
        <v>1825</v>
      </c>
      <c r="M1058">
        <v>1825</v>
      </c>
      <c r="N1058">
        <v>0</v>
      </c>
    </row>
    <row r="1059" spans="1:14" x14ac:dyDescent="0.25">
      <c r="A1059">
        <v>650.79716099999996</v>
      </c>
      <c r="B1059" s="1">
        <f>DATE(2012,2,10) + TIME(19,7,54)</f>
        <v>40949.797152777777</v>
      </c>
      <c r="C1059">
        <v>80</v>
      </c>
      <c r="D1059">
        <v>65.804344177000004</v>
      </c>
      <c r="E1059">
        <v>50</v>
      </c>
      <c r="F1059">
        <v>49.845993042000003</v>
      </c>
      <c r="G1059">
        <v>1296.5415039</v>
      </c>
      <c r="H1059">
        <v>1283.9200439000001</v>
      </c>
      <c r="I1059">
        <v>1381.3682861</v>
      </c>
      <c r="J1059">
        <v>1366.3553466999999</v>
      </c>
      <c r="K1059">
        <v>0</v>
      </c>
      <c r="L1059">
        <v>1825</v>
      </c>
      <c r="M1059">
        <v>1825</v>
      </c>
      <c r="N1059">
        <v>0</v>
      </c>
    </row>
    <row r="1060" spans="1:14" x14ac:dyDescent="0.25">
      <c r="A1060">
        <v>652.39148399999999</v>
      </c>
      <c r="B1060" s="1">
        <f>DATE(2012,2,12) + TIME(9,23,44)</f>
        <v>40951.391481481478</v>
      </c>
      <c r="C1060">
        <v>80</v>
      </c>
      <c r="D1060">
        <v>65.576087951999995</v>
      </c>
      <c r="E1060">
        <v>50</v>
      </c>
      <c r="F1060">
        <v>49.911239623999997</v>
      </c>
      <c r="G1060">
        <v>1296.4445800999999</v>
      </c>
      <c r="H1060">
        <v>1283.7514647999999</v>
      </c>
      <c r="I1060">
        <v>1381.3530272999999</v>
      </c>
      <c r="J1060">
        <v>1366.3463135</v>
      </c>
      <c r="K1060">
        <v>0</v>
      </c>
      <c r="L1060">
        <v>1825</v>
      </c>
      <c r="M1060">
        <v>1825</v>
      </c>
      <c r="N1060">
        <v>0</v>
      </c>
    </row>
    <row r="1061" spans="1:14" x14ac:dyDescent="0.25">
      <c r="A1061">
        <v>654.92649900000004</v>
      </c>
      <c r="B1061" s="1">
        <f>DATE(2012,2,14) + TIME(22,14,9)</f>
        <v>40953.926493055558</v>
      </c>
      <c r="C1061">
        <v>80</v>
      </c>
      <c r="D1061">
        <v>65.268478393999999</v>
      </c>
      <c r="E1061">
        <v>50</v>
      </c>
      <c r="F1061">
        <v>49.942108154000003</v>
      </c>
      <c r="G1061">
        <v>1296.2287598</v>
      </c>
      <c r="H1061">
        <v>1283.4326172000001</v>
      </c>
      <c r="I1061">
        <v>1381.3205565999999</v>
      </c>
      <c r="J1061">
        <v>1366.3179932</v>
      </c>
      <c r="K1061">
        <v>0</v>
      </c>
      <c r="L1061">
        <v>1825</v>
      </c>
      <c r="M1061">
        <v>1825</v>
      </c>
      <c r="N1061">
        <v>0</v>
      </c>
    </row>
    <row r="1062" spans="1:14" x14ac:dyDescent="0.25">
      <c r="A1062">
        <v>657.48031800000001</v>
      </c>
      <c r="B1062" s="1">
        <f>DATE(2012,2,17) + TIME(11,31,39)</f>
        <v>40956.480312500003</v>
      </c>
      <c r="C1062">
        <v>80</v>
      </c>
      <c r="D1062">
        <v>64.849411011000001</v>
      </c>
      <c r="E1062">
        <v>50</v>
      </c>
      <c r="F1062">
        <v>49.951366425000003</v>
      </c>
      <c r="G1062">
        <v>1295.8997803</v>
      </c>
      <c r="H1062">
        <v>1282.9632568</v>
      </c>
      <c r="I1062">
        <v>1381.2711182</v>
      </c>
      <c r="J1062">
        <v>1366.2722168</v>
      </c>
      <c r="K1062">
        <v>0</v>
      </c>
      <c r="L1062">
        <v>1825</v>
      </c>
      <c r="M1062">
        <v>1825</v>
      </c>
      <c r="N1062">
        <v>0</v>
      </c>
    </row>
    <row r="1063" spans="1:14" x14ac:dyDescent="0.25">
      <c r="A1063">
        <v>660.06170499999996</v>
      </c>
      <c r="B1063" s="1">
        <f>DATE(2012,2,20) + TIME(1,28,51)</f>
        <v>40959.061701388891</v>
      </c>
      <c r="C1063">
        <v>80</v>
      </c>
      <c r="D1063">
        <v>64.386970520000006</v>
      </c>
      <c r="E1063">
        <v>50</v>
      </c>
      <c r="F1063">
        <v>49.954177856000001</v>
      </c>
      <c r="G1063">
        <v>1295.5540771000001</v>
      </c>
      <c r="H1063">
        <v>1282.4597168</v>
      </c>
      <c r="I1063">
        <v>1381.2229004000001</v>
      </c>
      <c r="J1063">
        <v>1366.2277832</v>
      </c>
      <c r="K1063">
        <v>0</v>
      </c>
      <c r="L1063">
        <v>1825</v>
      </c>
      <c r="M1063">
        <v>1825</v>
      </c>
      <c r="N1063">
        <v>0</v>
      </c>
    </row>
    <row r="1064" spans="1:14" x14ac:dyDescent="0.25">
      <c r="A1064">
        <v>662.67370700000004</v>
      </c>
      <c r="B1064" s="1">
        <f>DATE(2012,2,22) + TIME(16,10,8)</f>
        <v>40961.673703703702</v>
      </c>
      <c r="C1064">
        <v>80</v>
      </c>
      <c r="D1064">
        <v>63.898571013999998</v>
      </c>
      <c r="E1064">
        <v>50</v>
      </c>
      <c r="F1064">
        <v>49.955081939999999</v>
      </c>
      <c r="G1064">
        <v>1295.1998291</v>
      </c>
      <c r="H1064">
        <v>1281.9396973</v>
      </c>
      <c r="I1064">
        <v>1381.175293</v>
      </c>
      <c r="J1064">
        <v>1366.184082</v>
      </c>
      <c r="K1064">
        <v>0</v>
      </c>
      <c r="L1064">
        <v>1825</v>
      </c>
      <c r="M1064">
        <v>1825</v>
      </c>
      <c r="N1064">
        <v>0</v>
      </c>
    </row>
    <row r="1065" spans="1:14" x14ac:dyDescent="0.25">
      <c r="A1065">
        <v>665.31158400000004</v>
      </c>
      <c r="B1065" s="1">
        <f>DATE(2012,2,25) + TIME(7,28,40)</f>
        <v>40964.311574074076</v>
      </c>
      <c r="C1065">
        <v>80</v>
      </c>
      <c r="D1065">
        <v>63.388935089</v>
      </c>
      <c r="E1065">
        <v>50</v>
      </c>
      <c r="F1065">
        <v>49.955417633000003</v>
      </c>
      <c r="G1065">
        <v>1294.8395995999999</v>
      </c>
      <c r="H1065">
        <v>1281.4082031</v>
      </c>
      <c r="I1065">
        <v>1381.1280518000001</v>
      </c>
      <c r="J1065">
        <v>1366.1409911999999</v>
      </c>
      <c r="K1065">
        <v>0</v>
      </c>
      <c r="L1065">
        <v>1825</v>
      </c>
      <c r="M1065">
        <v>1825</v>
      </c>
      <c r="N1065">
        <v>0</v>
      </c>
    </row>
    <row r="1066" spans="1:14" x14ac:dyDescent="0.25">
      <c r="A1066">
        <v>667.97407299999998</v>
      </c>
      <c r="B1066" s="1">
        <f>DATE(2012,2,27) + TIME(23,22,39)</f>
        <v>40966.974062499998</v>
      </c>
      <c r="C1066">
        <v>80</v>
      </c>
      <c r="D1066">
        <v>62.859840392999999</v>
      </c>
      <c r="E1066">
        <v>50</v>
      </c>
      <c r="F1066">
        <v>49.955589293999999</v>
      </c>
      <c r="G1066">
        <v>1294.4748535000001</v>
      </c>
      <c r="H1066">
        <v>1280.8676757999999</v>
      </c>
      <c r="I1066">
        <v>1381.0811768000001</v>
      </c>
      <c r="J1066">
        <v>1366.0981445</v>
      </c>
      <c r="K1066">
        <v>0</v>
      </c>
      <c r="L1066">
        <v>1825</v>
      </c>
      <c r="M1066">
        <v>1825</v>
      </c>
      <c r="N1066">
        <v>0</v>
      </c>
    </row>
    <row r="1067" spans="1:14" x14ac:dyDescent="0.25">
      <c r="A1067">
        <v>670.66605300000003</v>
      </c>
      <c r="B1067" s="1">
        <f>DATE(2012,3,1) + TIME(15,59,6)</f>
        <v>40969.666041666664</v>
      </c>
      <c r="C1067">
        <v>80</v>
      </c>
      <c r="D1067">
        <v>62.311710357999999</v>
      </c>
      <c r="E1067">
        <v>50</v>
      </c>
      <c r="F1067">
        <v>49.955711364999999</v>
      </c>
      <c r="G1067">
        <v>1294.1062012</v>
      </c>
      <c r="H1067">
        <v>1280.3192139</v>
      </c>
      <c r="I1067">
        <v>1381.0345459</v>
      </c>
      <c r="J1067">
        <v>1366.0556641000001</v>
      </c>
      <c r="K1067">
        <v>0</v>
      </c>
      <c r="L1067">
        <v>1825</v>
      </c>
      <c r="M1067">
        <v>1825</v>
      </c>
      <c r="N1067">
        <v>0</v>
      </c>
    </row>
    <row r="1068" spans="1:14" x14ac:dyDescent="0.25">
      <c r="A1068">
        <v>673.39233400000001</v>
      </c>
      <c r="B1068" s="1">
        <f>DATE(2012,3,4) + TIME(9,24,57)</f>
        <v>40972.392326388886</v>
      </c>
      <c r="C1068">
        <v>80</v>
      </c>
      <c r="D1068">
        <v>61.744083404999998</v>
      </c>
      <c r="E1068">
        <v>50</v>
      </c>
      <c r="F1068">
        <v>49.955821991000001</v>
      </c>
      <c r="G1068">
        <v>1293.7336425999999</v>
      </c>
      <c r="H1068">
        <v>1279.7624512</v>
      </c>
      <c r="I1068">
        <v>1380.9881591999999</v>
      </c>
      <c r="J1068">
        <v>1366.0134277</v>
      </c>
      <c r="K1068">
        <v>0</v>
      </c>
      <c r="L1068">
        <v>1825</v>
      </c>
      <c r="M1068">
        <v>1825</v>
      </c>
      <c r="N1068">
        <v>0</v>
      </c>
    </row>
    <row r="1069" spans="1:14" x14ac:dyDescent="0.25">
      <c r="A1069">
        <v>676.14453100000003</v>
      </c>
      <c r="B1069" s="1">
        <f>DATE(2012,3,7) + TIME(3,28,7)</f>
        <v>40975.144525462965</v>
      </c>
      <c r="C1069">
        <v>80</v>
      </c>
      <c r="D1069">
        <v>61.157104492000002</v>
      </c>
      <c r="E1069">
        <v>50</v>
      </c>
      <c r="F1069">
        <v>49.955928802000003</v>
      </c>
      <c r="G1069">
        <v>1293.3568115</v>
      </c>
      <c r="H1069">
        <v>1279.1971435999999</v>
      </c>
      <c r="I1069">
        <v>1380.9417725000001</v>
      </c>
      <c r="J1069">
        <v>1365.9713135</v>
      </c>
      <c r="K1069">
        <v>0</v>
      </c>
      <c r="L1069">
        <v>1825</v>
      </c>
      <c r="M1069">
        <v>1825</v>
      </c>
      <c r="N1069">
        <v>0</v>
      </c>
    </row>
    <row r="1070" spans="1:14" x14ac:dyDescent="0.25">
      <c r="A1070">
        <v>678.92171299999995</v>
      </c>
      <c r="B1070" s="1">
        <f>DATE(2012,3,9) + TIME(22,7,15)</f>
        <v>40977.921701388892</v>
      </c>
      <c r="C1070">
        <v>80</v>
      </c>
      <c r="D1070">
        <v>60.551952362000002</v>
      </c>
      <c r="E1070">
        <v>50</v>
      </c>
      <c r="F1070">
        <v>49.956031799000002</v>
      </c>
      <c r="G1070">
        <v>1292.9769286999999</v>
      </c>
      <c r="H1070">
        <v>1278.6247559000001</v>
      </c>
      <c r="I1070">
        <v>1380.8957519999999</v>
      </c>
      <c r="J1070">
        <v>1365.9293213000001</v>
      </c>
      <c r="K1070">
        <v>0</v>
      </c>
      <c r="L1070">
        <v>1825</v>
      </c>
      <c r="M1070">
        <v>1825</v>
      </c>
      <c r="N1070">
        <v>0</v>
      </c>
    </row>
    <row r="1071" spans="1:14" x14ac:dyDescent="0.25">
      <c r="A1071">
        <v>681.72911699999997</v>
      </c>
      <c r="B1071" s="1">
        <f>DATE(2012,3,12) + TIME(17,29,55)</f>
        <v>40980.729108796295</v>
      </c>
      <c r="C1071">
        <v>80</v>
      </c>
      <c r="D1071">
        <v>59.928783416999998</v>
      </c>
      <c r="E1071">
        <v>50</v>
      </c>
      <c r="F1071">
        <v>49.956138611</v>
      </c>
      <c r="G1071">
        <v>1292.5946045000001</v>
      </c>
      <c r="H1071">
        <v>1278.0460204999999</v>
      </c>
      <c r="I1071">
        <v>1380.8497314000001</v>
      </c>
      <c r="J1071">
        <v>1365.8875731999999</v>
      </c>
      <c r="K1071">
        <v>0</v>
      </c>
      <c r="L1071">
        <v>1825</v>
      </c>
      <c r="M1071">
        <v>1825</v>
      </c>
      <c r="N1071">
        <v>0</v>
      </c>
    </row>
    <row r="1072" spans="1:14" x14ac:dyDescent="0.25">
      <c r="A1072">
        <v>684.56384200000002</v>
      </c>
      <c r="B1072" s="1">
        <f>DATE(2012,3,15) + TIME(13,31,55)</f>
        <v>40983.563831018517</v>
      </c>
      <c r="C1072">
        <v>80</v>
      </c>
      <c r="D1072">
        <v>59.287239075000002</v>
      </c>
      <c r="E1072">
        <v>50</v>
      </c>
      <c r="F1072">
        <v>49.956245422000002</v>
      </c>
      <c r="G1072">
        <v>1292.2094727000001</v>
      </c>
      <c r="H1072">
        <v>1277.4606934000001</v>
      </c>
      <c r="I1072">
        <v>1380.8039550999999</v>
      </c>
      <c r="J1072">
        <v>1365.8458252</v>
      </c>
      <c r="K1072">
        <v>0</v>
      </c>
      <c r="L1072">
        <v>1825</v>
      </c>
      <c r="M1072">
        <v>1825</v>
      </c>
      <c r="N1072">
        <v>0</v>
      </c>
    </row>
    <row r="1073" spans="1:14" x14ac:dyDescent="0.25">
      <c r="A1073">
        <v>686</v>
      </c>
      <c r="B1073" s="1">
        <f>DATE(2012,3,17) + TIME(0,0,0)</f>
        <v>40985</v>
      </c>
      <c r="C1073">
        <v>80</v>
      </c>
      <c r="D1073">
        <v>58.757858276</v>
      </c>
      <c r="E1073">
        <v>50</v>
      </c>
      <c r="F1073">
        <v>49.956291198999999</v>
      </c>
      <c r="G1073">
        <v>1291.8293457</v>
      </c>
      <c r="H1073">
        <v>1276.9117432</v>
      </c>
      <c r="I1073">
        <v>1380.7576904</v>
      </c>
      <c r="J1073">
        <v>1365.8035889</v>
      </c>
      <c r="K1073">
        <v>0</v>
      </c>
      <c r="L1073">
        <v>1825</v>
      </c>
      <c r="M1073">
        <v>1825</v>
      </c>
      <c r="N1073">
        <v>0</v>
      </c>
    </row>
    <row r="1074" spans="1:14" x14ac:dyDescent="0.25">
      <c r="A1074">
        <v>686.000001</v>
      </c>
      <c r="B1074" s="1">
        <f>DATE(2012,3,17) + TIME(0,0,0)</f>
        <v>40985</v>
      </c>
      <c r="C1074">
        <v>80</v>
      </c>
      <c r="D1074">
        <v>58.757907867</v>
      </c>
      <c r="E1074">
        <v>50</v>
      </c>
      <c r="F1074">
        <v>49.956249237000002</v>
      </c>
      <c r="G1074">
        <v>1292.2169189000001</v>
      </c>
      <c r="H1074">
        <v>1292.2169189000001</v>
      </c>
      <c r="I1074">
        <v>1365.4626464999999</v>
      </c>
      <c r="J1074">
        <v>1365.4626464999999</v>
      </c>
      <c r="K1074">
        <v>0</v>
      </c>
      <c r="L1074">
        <v>0</v>
      </c>
      <c r="M1074">
        <v>0</v>
      </c>
      <c r="N1074">
        <v>0</v>
      </c>
    </row>
    <row r="1075" spans="1:14" x14ac:dyDescent="0.25">
      <c r="A1075">
        <v>686.00000399999999</v>
      </c>
      <c r="B1075" s="1">
        <f>DATE(2012,3,17) + TIME(0,0,0)</f>
        <v>40985</v>
      </c>
      <c r="C1075">
        <v>80</v>
      </c>
      <c r="D1075">
        <v>58.758037567000002</v>
      </c>
      <c r="E1075">
        <v>50</v>
      </c>
      <c r="F1075">
        <v>49.956134796000001</v>
      </c>
      <c r="G1075">
        <v>1293.2360839999999</v>
      </c>
      <c r="H1075">
        <v>1293.2360839999999</v>
      </c>
      <c r="I1075">
        <v>1364.5532227000001</v>
      </c>
      <c r="J1075">
        <v>1364.5532227000001</v>
      </c>
      <c r="K1075">
        <v>0</v>
      </c>
      <c r="L1075">
        <v>0</v>
      </c>
      <c r="M1075">
        <v>0</v>
      </c>
      <c r="N1075">
        <v>0</v>
      </c>
    </row>
    <row r="1076" spans="1:14" x14ac:dyDescent="0.25">
      <c r="A1076">
        <v>686.00001299999997</v>
      </c>
      <c r="B1076" s="1">
        <f>DATE(2012,3,17) + TIME(0,0,1)</f>
        <v>40985.000011574077</v>
      </c>
      <c r="C1076">
        <v>80</v>
      </c>
      <c r="D1076">
        <v>58.758327483999999</v>
      </c>
      <c r="E1076">
        <v>50</v>
      </c>
      <c r="F1076">
        <v>49.955875397</v>
      </c>
      <c r="G1076">
        <v>1295.4567870999999</v>
      </c>
      <c r="H1076">
        <v>1295.4567870999999</v>
      </c>
      <c r="I1076">
        <v>1362.5130615</v>
      </c>
      <c r="J1076">
        <v>1362.5130615</v>
      </c>
      <c r="K1076">
        <v>0</v>
      </c>
      <c r="L1076">
        <v>0</v>
      </c>
      <c r="M1076">
        <v>0</v>
      </c>
      <c r="N1076">
        <v>0</v>
      </c>
    </row>
    <row r="1077" spans="1:14" x14ac:dyDescent="0.25">
      <c r="A1077">
        <v>686.00004000000001</v>
      </c>
      <c r="B1077" s="1">
        <f>DATE(2012,3,17) + TIME(0,0,3)</f>
        <v>40985.000034722223</v>
      </c>
      <c r="C1077">
        <v>80</v>
      </c>
      <c r="D1077">
        <v>58.758785248000002</v>
      </c>
      <c r="E1077">
        <v>50</v>
      </c>
      <c r="F1077">
        <v>49.955448150999999</v>
      </c>
      <c r="G1077">
        <v>1299.0244141000001</v>
      </c>
      <c r="H1077">
        <v>1299.0244141000001</v>
      </c>
      <c r="I1077">
        <v>1359.1040039</v>
      </c>
      <c r="J1077">
        <v>1359.1040039</v>
      </c>
      <c r="K1077">
        <v>0</v>
      </c>
      <c r="L1077">
        <v>0</v>
      </c>
      <c r="M1077">
        <v>0</v>
      </c>
      <c r="N1077">
        <v>0</v>
      </c>
    </row>
    <row r="1078" spans="1:14" x14ac:dyDescent="0.25">
      <c r="A1078">
        <v>686.00012100000004</v>
      </c>
      <c r="B1078" s="1">
        <f>DATE(2012,3,17) + TIME(0,0,10)</f>
        <v>40985.000115740739</v>
      </c>
      <c r="C1078">
        <v>80</v>
      </c>
      <c r="D1078">
        <v>58.759326934999997</v>
      </c>
      <c r="E1078">
        <v>50</v>
      </c>
      <c r="F1078">
        <v>49.954917907999999</v>
      </c>
      <c r="G1078">
        <v>1303.2645264</v>
      </c>
      <c r="H1078">
        <v>1303.2645264</v>
      </c>
      <c r="I1078">
        <v>1354.9425048999999</v>
      </c>
      <c r="J1078">
        <v>1354.9425048999999</v>
      </c>
      <c r="K1078">
        <v>0</v>
      </c>
      <c r="L1078">
        <v>0</v>
      </c>
      <c r="M1078">
        <v>0</v>
      </c>
      <c r="N1078">
        <v>0</v>
      </c>
    </row>
    <row r="1079" spans="1:14" x14ac:dyDescent="0.25">
      <c r="A1079">
        <v>686.00036399999999</v>
      </c>
      <c r="B1079" s="1">
        <f>DATE(2012,3,17) + TIME(0,0,31)</f>
        <v>40985.000358796293</v>
      </c>
      <c r="C1079">
        <v>80</v>
      </c>
      <c r="D1079">
        <v>58.759880066000001</v>
      </c>
      <c r="E1079">
        <v>50</v>
      </c>
      <c r="F1079">
        <v>49.954368590999998</v>
      </c>
      <c r="G1079">
        <v>1307.6502685999999</v>
      </c>
      <c r="H1079">
        <v>1307.6502685999999</v>
      </c>
      <c r="I1079">
        <v>1350.6568603999999</v>
      </c>
      <c r="J1079">
        <v>1350.6568603999999</v>
      </c>
      <c r="K1079">
        <v>0</v>
      </c>
      <c r="L1079">
        <v>0</v>
      </c>
      <c r="M1079">
        <v>0</v>
      </c>
      <c r="N1079">
        <v>0</v>
      </c>
    </row>
    <row r="1080" spans="1:14" x14ac:dyDescent="0.25">
      <c r="A1080">
        <v>686.00109299999997</v>
      </c>
      <c r="B1080" s="1">
        <f>DATE(2012,3,17) + TIME(0,1,34)</f>
        <v>40985.001087962963</v>
      </c>
      <c r="C1080">
        <v>80</v>
      </c>
      <c r="D1080">
        <v>58.760429381999998</v>
      </c>
      <c r="E1080">
        <v>50</v>
      </c>
      <c r="F1080">
        <v>49.953796386999997</v>
      </c>
      <c r="G1080">
        <v>1312.2304687999999</v>
      </c>
      <c r="H1080">
        <v>1312.2304687999999</v>
      </c>
      <c r="I1080">
        <v>1346.359375</v>
      </c>
      <c r="J1080">
        <v>1346.359375</v>
      </c>
      <c r="K1080">
        <v>0</v>
      </c>
      <c r="L1080">
        <v>0</v>
      </c>
      <c r="M1080">
        <v>0</v>
      </c>
      <c r="N1080">
        <v>0</v>
      </c>
    </row>
    <row r="1081" spans="1:14" x14ac:dyDescent="0.25">
      <c r="A1081">
        <v>686.00328000000002</v>
      </c>
      <c r="B1081" s="1">
        <f>DATE(2012,3,17) + TIME(0,4,43)</f>
        <v>40985.003275462965</v>
      </c>
      <c r="C1081">
        <v>80</v>
      </c>
      <c r="D1081">
        <v>58.760967254999997</v>
      </c>
      <c r="E1081">
        <v>50</v>
      </c>
      <c r="F1081">
        <v>49.953144072999997</v>
      </c>
      <c r="G1081">
        <v>1317.2973632999999</v>
      </c>
      <c r="H1081">
        <v>1317.2973632999999</v>
      </c>
      <c r="I1081">
        <v>1341.9118652</v>
      </c>
      <c r="J1081">
        <v>1341.9118652</v>
      </c>
      <c r="K1081">
        <v>0</v>
      </c>
      <c r="L1081">
        <v>0</v>
      </c>
      <c r="M1081">
        <v>0</v>
      </c>
      <c r="N1081">
        <v>0</v>
      </c>
    </row>
    <row r="1082" spans="1:14" x14ac:dyDescent="0.25">
      <c r="A1082">
        <v>686.00984100000005</v>
      </c>
      <c r="B1082" s="1">
        <f>DATE(2012,3,17) + TIME(0,14,10)</f>
        <v>40985.009837962964</v>
      </c>
      <c r="C1082">
        <v>80</v>
      </c>
      <c r="D1082">
        <v>58.761375426999997</v>
      </c>
      <c r="E1082">
        <v>50</v>
      </c>
      <c r="F1082">
        <v>49.952285766999999</v>
      </c>
      <c r="G1082">
        <v>1322.7473144999999</v>
      </c>
      <c r="H1082">
        <v>1322.7473144999999</v>
      </c>
      <c r="I1082">
        <v>1337.2614745999999</v>
      </c>
      <c r="J1082">
        <v>1337.2614745999999</v>
      </c>
      <c r="K1082">
        <v>0</v>
      </c>
      <c r="L1082">
        <v>0</v>
      </c>
      <c r="M1082">
        <v>0</v>
      </c>
      <c r="N1082">
        <v>0</v>
      </c>
    </row>
    <row r="1083" spans="1:14" x14ac:dyDescent="0.25">
      <c r="A1083">
        <v>686.02952400000004</v>
      </c>
      <c r="B1083" s="1">
        <f>DATE(2012,3,17) + TIME(0,42,30)</f>
        <v>40985.029513888891</v>
      </c>
      <c r="C1083">
        <v>80</v>
      </c>
      <c r="D1083">
        <v>58.761356354</v>
      </c>
      <c r="E1083">
        <v>50</v>
      </c>
      <c r="F1083">
        <v>49.950977324999997</v>
      </c>
      <c r="G1083">
        <v>1327.3918457</v>
      </c>
      <c r="H1083">
        <v>1327.3918457</v>
      </c>
      <c r="I1083">
        <v>1333.2937012</v>
      </c>
      <c r="J1083">
        <v>1333.2937012</v>
      </c>
      <c r="K1083">
        <v>0</v>
      </c>
      <c r="L1083">
        <v>0</v>
      </c>
      <c r="M1083">
        <v>0</v>
      </c>
      <c r="N1083">
        <v>0</v>
      </c>
    </row>
    <row r="1084" spans="1:14" x14ac:dyDescent="0.25">
      <c r="A1084">
        <v>686.088573</v>
      </c>
      <c r="B1084" s="1">
        <f>DATE(2012,3,17) + TIME(2,7,32)</f>
        <v>40985.088564814818</v>
      </c>
      <c r="C1084">
        <v>80</v>
      </c>
      <c r="D1084">
        <v>58.760398864999999</v>
      </c>
      <c r="E1084">
        <v>50</v>
      </c>
      <c r="F1084">
        <v>49.948333740000002</v>
      </c>
      <c r="G1084">
        <v>1329.9367675999999</v>
      </c>
      <c r="H1084">
        <v>1329.9367675999999</v>
      </c>
      <c r="I1084">
        <v>1331.3619385</v>
      </c>
      <c r="J1084">
        <v>1331.3619385</v>
      </c>
      <c r="K1084">
        <v>0</v>
      </c>
      <c r="L1084">
        <v>0</v>
      </c>
      <c r="M1084">
        <v>0</v>
      </c>
      <c r="N1084">
        <v>0</v>
      </c>
    </row>
    <row r="1085" spans="1:14" x14ac:dyDescent="0.25">
      <c r="A1085">
        <v>686.26571999999999</v>
      </c>
      <c r="B1085" s="1">
        <f>DATE(2012,3,17) + TIME(6,22,38)</f>
        <v>40985.265717592592</v>
      </c>
      <c r="C1085">
        <v>80</v>
      </c>
      <c r="D1085">
        <v>58.756851196</v>
      </c>
      <c r="E1085">
        <v>50</v>
      </c>
      <c r="F1085">
        <v>49.941093445</v>
      </c>
      <c r="G1085">
        <v>1330.6623535000001</v>
      </c>
      <c r="H1085">
        <v>1330.6623535000001</v>
      </c>
      <c r="I1085">
        <v>1331.0161132999999</v>
      </c>
      <c r="J1085">
        <v>1331.0161132999999</v>
      </c>
      <c r="K1085">
        <v>0</v>
      </c>
      <c r="L1085">
        <v>0</v>
      </c>
      <c r="M1085">
        <v>0</v>
      </c>
      <c r="N1085">
        <v>0</v>
      </c>
    </row>
    <row r="1086" spans="1:14" x14ac:dyDescent="0.25">
      <c r="A1086">
        <v>686.79716099999996</v>
      </c>
      <c r="B1086" s="1">
        <f>DATE(2012,3,17) + TIME(19,7,54)</f>
        <v>40985.797152777777</v>
      </c>
      <c r="C1086">
        <v>80</v>
      </c>
      <c r="D1086">
        <v>58.745929717999999</v>
      </c>
      <c r="E1086">
        <v>50</v>
      </c>
      <c r="F1086">
        <v>49.919570923000002</v>
      </c>
      <c r="G1086">
        <v>1330.7556152</v>
      </c>
      <c r="H1086">
        <v>1330.7556152</v>
      </c>
      <c r="I1086">
        <v>1331.0106201000001</v>
      </c>
      <c r="J1086">
        <v>1331.0106201000001</v>
      </c>
      <c r="K1086">
        <v>0</v>
      </c>
      <c r="L1086">
        <v>0</v>
      </c>
      <c r="M1086">
        <v>0</v>
      </c>
      <c r="N1086">
        <v>0</v>
      </c>
    </row>
    <row r="1087" spans="1:14" x14ac:dyDescent="0.25">
      <c r="A1087">
        <v>688.39148399999999</v>
      </c>
      <c r="B1087" s="1">
        <f>DATE(2012,3,19) + TIME(9,23,44)</f>
        <v>40987.391481481478</v>
      </c>
      <c r="C1087">
        <v>80</v>
      </c>
      <c r="D1087">
        <v>58.713104248</v>
      </c>
      <c r="E1087">
        <v>50</v>
      </c>
      <c r="F1087">
        <v>49.855644226000003</v>
      </c>
      <c r="G1087">
        <v>1330.7601318</v>
      </c>
      <c r="H1087">
        <v>1330.7601318</v>
      </c>
      <c r="I1087">
        <v>1331.0120850000001</v>
      </c>
      <c r="J1087">
        <v>1331.0120850000001</v>
      </c>
      <c r="K1087">
        <v>0</v>
      </c>
      <c r="L1087">
        <v>0</v>
      </c>
      <c r="M1087">
        <v>0</v>
      </c>
      <c r="N1087">
        <v>0</v>
      </c>
    </row>
    <row r="1088" spans="1:14" x14ac:dyDescent="0.25">
      <c r="A1088">
        <v>691</v>
      </c>
      <c r="B1088" s="1">
        <f>DATE(2012,3,22) + TIME(0,0,0)</f>
        <v>40990</v>
      </c>
      <c r="C1088">
        <v>80</v>
      </c>
      <c r="D1088">
        <v>58.659347533999998</v>
      </c>
      <c r="E1088">
        <v>50</v>
      </c>
      <c r="F1088">
        <v>49.752693176000001</v>
      </c>
      <c r="G1088">
        <v>1330.7589111</v>
      </c>
      <c r="H1088">
        <v>1330.7589111</v>
      </c>
      <c r="I1088">
        <v>1331.0114745999999</v>
      </c>
      <c r="J1088">
        <v>1331.0114745999999</v>
      </c>
      <c r="K1088">
        <v>0</v>
      </c>
      <c r="L1088">
        <v>0</v>
      </c>
      <c r="M1088">
        <v>0</v>
      </c>
      <c r="N1088">
        <v>0</v>
      </c>
    </row>
    <row r="1089" spans="1:14" x14ac:dyDescent="0.25">
      <c r="A1089">
        <v>691.000001</v>
      </c>
      <c r="B1089" s="1">
        <f>DATE(2012,3,22) + TIME(0,0,0)</f>
        <v>40990</v>
      </c>
      <c r="C1089">
        <v>80</v>
      </c>
      <c r="D1089">
        <v>58.659297942999999</v>
      </c>
      <c r="E1089">
        <v>50</v>
      </c>
      <c r="F1089">
        <v>49.752738952999998</v>
      </c>
      <c r="G1089">
        <v>1330.3850098</v>
      </c>
      <c r="H1089">
        <v>1316.0469971</v>
      </c>
      <c r="I1089">
        <v>1346.7156981999999</v>
      </c>
      <c r="J1089">
        <v>1331.3604736</v>
      </c>
      <c r="K1089">
        <v>0</v>
      </c>
      <c r="L1089">
        <v>1825</v>
      </c>
      <c r="M1089">
        <v>1825</v>
      </c>
      <c r="N1089">
        <v>0</v>
      </c>
    </row>
    <row r="1090" spans="1:14" x14ac:dyDescent="0.25">
      <c r="A1090">
        <v>691.00000399999999</v>
      </c>
      <c r="B1090" s="1">
        <f>DATE(2012,3,22) + TIME(0,0,0)</f>
        <v>40990</v>
      </c>
      <c r="C1090">
        <v>80</v>
      </c>
      <c r="D1090">
        <v>58.659168243000003</v>
      </c>
      <c r="E1090">
        <v>50</v>
      </c>
      <c r="F1090">
        <v>49.752857208000002</v>
      </c>
      <c r="G1090">
        <v>1329.4064940999999</v>
      </c>
      <c r="H1090">
        <v>1315.1386719</v>
      </c>
      <c r="I1090">
        <v>1347.6027832</v>
      </c>
      <c r="J1090">
        <v>1332.2890625</v>
      </c>
      <c r="K1090">
        <v>0</v>
      </c>
      <c r="L1090">
        <v>1825</v>
      </c>
      <c r="M1090">
        <v>1825</v>
      </c>
      <c r="N1090">
        <v>0</v>
      </c>
    </row>
    <row r="1091" spans="1:14" x14ac:dyDescent="0.25">
      <c r="A1091">
        <v>691.00001299999997</v>
      </c>
      <c r="B1091" s="1">
        <f>DATE(2012,3,22) + TIME(0,0,1)</f>
        <v>40990.000011574077</v>
      </c>
      <c r="C1091">
        <v>80</v>
      </c>
      <c r="D1091">
        <v>58.658889770999998</v>
      </c>
      <c r="E1091">
        <v>50</v>
      </c>
      <c r="F1091">
        <v>49.753116607999999</v>
      </c>
      <c r="G1091">
        <v>1327.2857666</v>
      </c>
      <c r="H1091">
        <v>1313.0872803</v>
      </c>
      <c r="I1091">
        <v>1349.5930175999999</v>
      </c>
      <c r="J1091">
        <v>1334.3607178</v>
      </c>
      <c r="K1091">
        <v>0</v>
      </c>
      <c r="L1091">
        <v>1825</v>
      </c>
      <c r="M1091">
        <v>1825</v>
      </c>
      <c r="N1091">
        <v>0</v>
      </c>
    </row>
    <row r="1092" spans="1:14" x14ac:dyDescent="0.25">
      <c r="A1092">
        <v>691.00004000000001</v>
      </c>
      <c r="B1092" s="1">
        <f>DATE(2012,3,22) + TIME(0,0,3)</f>
        <v>40990.000034722223</v>
      </c>
      <c r="C1092">
        <v>80</v>
      </c>
      <c r="D1092">
        <v>58.658428192000002</v>
      </c>
      <c r="E1092">
        <v>50</v>
      </c>
      <c r="F1092">
        <v>49.753555298000002</v>
      </c>
      <c r="G1092">
        <v>1323.8555908000001</v>
      </c>
      <c r="H1092">
        <v>1309.6013184000001</v>
      </c>
      <c r="I1092">
        <v>1352.9185791</v>
      </c>
      <c r="J1092">
        <v>1337.7918701000001</v>
      </c>
      <c r="K1092">
        <v>0</v>
      </c>
      <c r="L1092">
        <v>1825</v>
      </c>
      <c r="M1092">
        <v>1825</v>
      </c>
      <c r="N1092">
        <v>0</v>
      </c>
    </row>
    <row r="1093" spans="1:14" x14ac:dyDescent="0.25">
      <c r="A1093">
        <v>691.00012100000004</v>
      </c>
      <c r="B1093" s="1">
        <f>DATE(2012,3,22) + TIME(0,0,10)</f>
        <v>40990.000115740739</v>
      </c>
      <c r="C1093">
        <v>80</v>
      </c>
      <c r="D1093">
        <v>58.657833099000001</v>
      </c>
      <c r="E1093">
        <v>50</v>
      </c>
      <c r="F1093">
        <v>49.754093169999997</v>
      </c>
      <c r="G1093">
        <v>1319.6722411999999</v>
      </c>
      <c r="H1093">
        <v>1305.2445068</v>
      </c>
      <c r="I1093">
        <v>1356.9775391000001</v>
      </c>
      <c r="J1093">
        <v>1341.9398193</v>
      </c>
      <c r="K1093">
        <v>0</v>
      </c>
      <c r="L1093">
        <v>1825</v>
      </c>
      <c r="M1093">
        <v>1825</v>
      </c>
      <c r="N1093">
        <v>0</v>
      </c>
    </row>
    <row r="1094" spans="1:14" x14ac:dyDescent="0.25">
      <c r="A1094">
        <v>691.00036399999999</v>
      </c>
      <c r="B1094" s="1">
        <f>DATE(2012,3,22) + TIME(0,0,31)</f>
        <v>40990.000358796293</v>
      </c>
      <c r="C1094">
        <v>80</v>
      </c>
      <c r="D1094">
        <v>58.657096863</v>
      </c>
      <c r="E1094">
        <v>50</v>
      </c>
      <c r="F1094">
        <v>49.754673003999997</v>
      </c>
      <c r="G1094">
        <v>1315.2329102000001</v>
      </c>
      <c r="H1094">
        <v>1300.6419678</v>
      </c>
      <c r="I1094">
        <v>1361.1566161999999</v>
      </c>
      <c r="J1094">
        <v>1346.1820068</v>
      </c>
      <c r="K1094">
        <v>0</v>
      </c>
      <c r="L1094">
        <v>1825</v>
      </c>
      <c r="M1094">
        <v>1825</v>
      </c>
      <c r="N1094">
        <v>0</v>
      </c>
    </row>
    <row r="1095" spans="1:14" x14ac:dyDescent="0.25">
      <c r="A1095">
        <v>691.00109299999997</v>
      </c>
      <c r="B1095" s="1">
        <f>DATE(2012,3,22) + TIME(0,1,34)</f>
        <v>40990.001087962963</v>
      </c>
      <c r="C1095">
        <v>80</v>
      </c>
      <c r="D1095">
        <v>58.656002045000001</v>
      </c>
      <c r="E1095">
        <v>50</v>
      </c>
      <c r="F1095">
        <v>49.755344391000001</v>
      </c>
      <c r="G1095">
        <v>1310.5356445</v>
      </c>
      <c r="H1095">
        <v>1295.8134766000001</v>
      </c>
      <c r="I1095">
        <v>1365.3598632999999</v>
      </c>
      <c r="J1095">
        <v>1350.4266356999999</v>
      </c>
      <c r="K1095">
        <v>0</v>
      </c>
      <c r="L1095">
        <v>1825</v>
      </c>
      <c r="M1095">
        <v>1825</v>
      </c>
      <c r="N1095">
        <v>0</v>
      </c>
    </row>
    <row r="1096" spans="1:14" x14ac:dyDescent="0.25">
      <c r="A1096">
        <v>691.00328000000002</v>
      </c>
      <c r="B1096" s="1">
        <f>DATE(2012,3,22) + TIME(0,4,43)</f>
        <v>40990.003275462965</v>
      </c>
      <c r="C1096">
        <v>80</v>
      </c>
      <c r="D1096">
        <v>58.653850554999998</v>
      </c>
      <c r="E1096">
        <v>50</v>
      </c>
      <c r="F1096">
        <v>49.756305695000002</v>
      </c>
      <c r="G1096">
        <v>1305.3295897999999</v>
      </c>
      <c r="H1096">
        <v>1290.5047606999999</v>
      </c>
      <c r="I1096">
        <v>1369.7673339999999</v>
      </c>
      <c r="J1096">
        <v>1354.8461914</v>
      </c>
      <c r="K1096">
        <v>0</v>
      </c>
      <c r="L1096">
        <v>1825</v>
      </c>
      <c r="M1096">
        <v>1825</v>
      </c>
      <c r="N1096">
        <v>0</v>
      </c>
    </row>
    <row r="1097" spans="1:14" x14ac:dyDescent="0.25">
      <c r="A1097">
        <v>691.00984100000005</v>
      </c>
      <c r="B1097" s="1">
        <f>DATE(2012,3,22) + TIME(0,14,10)</f>
        <v>40990.009837962964</v>
      </c>
      <c r="C1097">
        <v>80</v>
      </c>
      <c r="D1097">
        <v>58.648639678999999</v>
      </c>
      <c r="E1097">
        <v>50</v>
      </c>
      <c r="F1097">
        <v>49.758106232000003</v>
      </c>
      <c r="G1097">
        <v>1299.7537841999999</v>
      </c>
      <c r="H1097">
        <v>1284.855957</v>
      </c>
      <c r="I1097">
        <v>1374.4483643000001</v>
      </c>
      <c r="J1097">
        <v>1359.5123291</v>
      </c>
      <c r="K1097">
        <v>0</v>
      </c>
      <c r="L1097">
        <v>1825</v>
      </c>
      <c r="M1097">
        <v>1825</v>
      </c>
      <c r="N1097">
        <v>0</v>
      </c>
    </row>
    <row r="1098" spans="1:14" x14ac:dyDescent="0.25">
      <c r="A1098">
        <v>691.02952400000004</v>
      </c>
      <c r="B1098" s="1">
        <f>DATE(2012,3,22) + TIME(0,42,30)</f>
        <v>40990.029513888891</v>
      </c>
      <c r="C1098">
        <v>80</v>
      </c>
      <c r="D1098">
        <v>58.634418488000001</v>
      </c>
      <c r="E1098">
        <v>50</v>
      </c>
      <c r="F1098">
        <v>49.762176513999997</v>
      </c>
      <c r="G1098">
        <v>1295.0225829999999</v>
      </c>
      <c r="H1098">
        <v>1280.0776367000001</v>
      </c>
      <c r="I1098">
        <v>1378.4577637</v>
      </c>
      <c r="J1098">
        <v>1363.5045166</v>
      </c>
      <c r="K1098">
        <v>0</v>
      </c>
      <c r="L1098">
        <v>1825</v>
      </c>
      <c r="M1098">
        <v>1825</v>
      </c>
      <c r="N1098">
        <v>0</v>
      </c>
    </row>
    <row r="1099" spans="1:14" x14ac:dyDescent="0.25">
      <c r="A1099">
        <v>691.088573</v>
      </c>
      <c r="B1099" s="1">
        <f>DATE(2012,3,22) + TIME(2,7,32)</f>
        <v>40990.088564814818</v>
      </c>
      <c r="C1099">
        <v>80</v>
      </c>
      <c r="D1099">
        <v>58.594635009999998</v>
      </c>
      <c r="E1099">
        <v>50</v>
      </c>
      <c r="F1099">
        <v>49.772556305000002</v>
      </c>
      <c r="G1099">
        <v>1292.4399414</v>
      </c>
      <c r="H1099">
        <v>1277.4667969</v>
      </c>
      <c r="I1099">
        <v>1380.4056396000001</v>
      </c>
      <c r="J1099">
        <v>1365.4458007999999</v>
      </c>
      <c r="K1099">
        <v>0</v>
      </c>
      <c r="L1099">
        <v>1825</v>
      </c>
      <c r="M1099">
        <v>1825</v>
      </c>
      <c r="N1099">
        <v>0</v>
      </c>
    </row>
    <row r="1100" spans="1:14" x14ac:dyDescent="0.25">
      <c r="A1100">
        <v>691.26571999999999</v>
      </c>
      <c r="B1100" s="1">
        <f>DATE(2012,3,22) + TIME(6,22,38)</f>
        <v>40990.265717592592</v>
      </c>
      <c r="C1100">
        <v>80</v>
      </c>
      <c r="D1100">
        <v>58.492332458</v>
      </c>
      <c r="E1100">
        <v>50</v>
      </c>
      <c r="F1100">
        <v>49.798686981000003</v>
      </c>
      <c r="G1100">
        <v>1291.6934814000001</v>
      </c>
      <c r="H1100">
        <v>1276.6887207</v>
      </c>
      <c r="I1100">
        <v>1380.7512207</v>
      </c>
      <c r="J1100">
        <v>1365.7923584</v>
      </c>
      <c r="K1100">
        <v>0</v>
      </c>
      <c r="L1100">
        <v>1825</v>
      </c>
      <c r="M1100">
        <v>1825</v>
      </c>
      <c r="N1100">
        <v>0</v>
      </c>
    </row>
    <row r="1101" spans="1:14" x14ac:dyDescent="0.25">
      <c r="A1101">
        <v>691.79716099999996</v>
      </c>
      <c r="B1101" s="1">
        <f>DATE(2012,3,22) + TIME(19,7,54)</f>
        <v>40990.797152777777</v>
      </c>
      <c r="C1101">
        <v>80</v>
      </c>
      <c r="D1101">
        <v>58.281772613999998</v>
      </c>
      <c r="E1101">
        <v>50</v>
      </c>
      <c r="F1101">
        <v>49.850986481</v>
      </c>
      <c r="G1101">
        <v>1291.565918</v>
      </c>
      <c r="H1101">
        <v>1276.5013428</v>
      </c>
      <c r="I1101">
        <v>1380.7508545000001</v>
      </c>
      <c r="J1101">
        <v>1365.7966309000001</v>
      </c>
      <c r="K1101">
        <v>0</v>
      </c>
      <c r="L1101">
        <v>1825</v>
      </c>
      <c r="M1101">
        <v>1825</v>
      </c>
      <c r="N1101">
        <v>0</v>
      </c>
    </row>
    <row r="1102" spans="1:14" x14ac:dyDescent="0.25">
      <c r="A1102">
        <v>693.39148399999999</v>
      </c>
      <c r="B1102" s="1">
        <f>DATE(2012,3,24) + TIME(9,23,44)</f>
        <v>40992.391481481478</v>
      </c>
      <c r="C1102">
        <v>80</v>
      </c>
      <c r="D1102">
        <v>57.968639373999999</v>
      </c>
      <c r="E1102">
        <v>50</v>
      </c>
      <c r="F1102">
        <v>49.914081572999997</v>
      </c>
      <c r="G1102">
        <v>1291.4744873</v>
      </c>
      <c r="H1102">
        <v>1276.3164062000001</v>
      </c>
      <c r="I1102">
        <v>1380.7369385</v>
      </c>
      <c r="J1102">
        <v>1365.7886963000001</v>
      </c>
      <c r="K1102">
        <v>0</v>
      </c>
      <c r="L1102">
        <v>1825</v>
      </c>
      <c r="M1102">
        <v>1825</v>
      </c>
      <c r="N1102">
        <v>0</v>
      </c>
    </row>
    <row r="1103" spans="1:14" x14ac:dyDescent="0.25">
      <c r="A1103">
        <v>696.29387799999995</v>
      </c>
      <c r="B1103" s="1">
        <f>DATE(2012,3,27) + TIME(7,3,11)</f>
        <v>40995.293877314813</v>
      </c>
      <c r="C1103">
        <v>80</v>
      </c>
      <c r="D1103">
        <v>57.540199280000003</v>
      </c>
      <c r="E1103">
        <v>50</v>
      </c>
      <c r="F1103">
        <v>49.945213318</v>
      </c>
      <c r="G1103">
        <v>1291.2595214999999</v>
      </c>
      <c r="H1103">
        <v>1275.9736327999999</v>
      </c>
      <c r="I1103">
        <v>1380.7094727000001</v>
      </c>
      <c r="J1103">
        <v>1365.7646483999999</v>
      </c>
      <c r="K1103">
        <v>0</v>
      </c>
      <c r="L1103">
        <v>1825</v>
      </c>
      <c r="M1103">
        <v>1825</v>
      </c>
      <c r="N1103">
        <v>0</v>
      </c>
    </row>
    <row r="1104" spans="1:14" x14ac:dyDescent="0.25">
      <c r="A1104">
        <v>699.22555399999999</v>
      </c>
      <c r="B1104" s="1">
        <f>DATE(2012,3,30) + TIME(5,24,47)</f>
        <v>40998.225543981483</v>
      </c>
      <c r="C1104">
        <v>80</v>
      </c>
      <c r="D1104">
        <v>56.907024384000003</v>
      </c>
      <c r="E1104">
        <v>50</v>
      </c>
      <c r="F1104">
        <v>49.953716278000002</v>
      </c>
      <c r="G1104">
        <v>1290.8890381000001</v>
      </c>
      <c r="H1104">
        <v>1275.4191894999999</v>
      </c>
      <c r="I1104">
        <v>1380.6618652</v>
      </c>
      <c r="J1104">
        <v>1365.7197266000001</v>
      </c>
      <c r="K1104">
        <v>0</v>
      </c>
      <c r="L1104">
        <v>1825</v>
      </c>
      <c r="M1104">
        <v>1825</v>
      </c>
      <c r="N1104">
        <v>0</v>
      </c>
    </row>
    <row r="1105" spans="1:14" x14ac:dyDescent="0.25">
      <c r="A1105">
        <v>701</v>
      </c>
      <c r="B1105" s="1">
        <f>DATE(2012,4,1) + TIME(0,0,0)</f>
        <v>41000</v>
      </c>
      <c r="C1105">
        <v>80</v>
      </c>
      <c r="D1105">
        <v>56.310211182000003</v>
      </c>
      <c r="E1105">
        <v>50</v>
      </c>
      <c r="F1105">
        <v>49.955688477000002</v>
      </c>
      <c r="G1105">
        <v>1290.5076904</v>
      </c>
      <c r="H1105">
        <v>1274.8563231999999</v>
      </c>
      <c r="I1105">
        <v>1380.6147461</v>
      </c>
      <c r="J1105">
        <v>1365.6757812000001</v>
      </c>
      <c r="K1105">
        <v>0</v>
      </c>
      <c r="L1105">
        <v>1825</v>
      </c>
      <c r="M1105">
        <v>1825</v>
      </c>
      <c r="N1105">
        <v>0</v>
      </c>
    </row>
    <row r="1106" spans="1:14" x14ac:dyDescent="0.25">
      <c r="A1106">
        <v>701.000001</v>
      </c>
      <c r="B1106" s="1">
        <f>DATE(2012,4,1) + TIME(0,0,0)</f>
        <v>41000</v>
      </c>
      <c r="C1106">
        <v>80</v>
      </c>
      <c r="D1106">
        <v>56.310260773000003</v>
      </c>
      <c r="E1106">
        <v>50</v>
      </c>
      <c r="F1106">
        <v>49.955646514999998</v>
      </c>
      <c r="G1106">
        <v>1290.8992920000001</v>
      </c>
      <c r="H1106">
        <v>1290.8992920000001</v>
      </c>
      <c r="I1106">
        <v>1365.3352050999999</v>
      </c>
      <c r="J1106">
        <v>1365.3352050999999</v>
      </c>
      <c r="K1106">
        <v>0</v>
      </c>
      <c r="L1106">
        <v>0</v>
      </c>
      <c r="M1106">
        <v>0</v>
      </c>
      <c r="N1106">
        <v>0</v>
      </c>
    </row>
    <row r="1107" spans="1:14" x14ac:dyDescent="0.25">
      <c r="A1107">
        <v>701.00000399999999</v>
      </c>
      <c r="B1107" s="1">
        <f>DATE(2012,4,1) + TIME(0,0,0)</f>
        <v>41000</v>
      </c>
      <c r="C1107">
        <v>80</v>
      </c>
      <c r="D1107">
        <v>56.310394287000001</v>
      </c>
      <c r="E1107">
        <v>50</v>
      </c>
      <c r="F1107">
        <v>49.955532073999997</v>
      </c>
      <c r="G1107">
        <v>1291.9334716999999</v>
      </c>
      <c r="H1107">
        <v>1291.9334716999999</v>
      </c>
      <c r="I1107">
        <v>1364.4266356999999</v>
      </c>
      <c r="J1107">
        <v>1364.4266356999999</v>
      </c>
      <c r="K1107">
        <v>0</v>
      </c>
      <c r="L1107">
        <v>0</v>
      </c>
      <c r="M1107">
        <v>0</v>
      </c>
      <c r="N1107">
        <v>0</v>
      </c>
    </row>
    <row r="1108" spans="1:14" x14ac:dyDescent="0.25">
      <c r="A1108">
        <v>701.00001299999997</v>
      </c>
      <c r="B1108" s="1">
        <f>DATE(2012,4,1) + TIME(0,0,1)</f>
        <v>41000.000011574077</v>
      </c>
      <c r="C1108">
        <v>80</v>
      </c>
      <c r="D1108">
        <v>56.310684203999998</v>
      </c>
      <c r="E1108">
        <v>50</v>
      </c>
      <c r="F1108">
        <v>49.955276488999999</v>
      </c>
      <c r="G1108">
        <v>1294.2069091999999</v>
      </c>
      <c r="H1108">
        <v>1294.2069091999999</v>
      </c>
      <c r="I1108">
        <v>1362.3885498</v>
      </c>
      <c r="J1108">
        <v>1362.3885498</v>
      </c>
      <c r="K1108">
        <v>0</v>
      </c>
      <c r="L1108">
        <v>0</v>
      </c>
      <c r="M1108">
        <v>0</v>
      </c>
      <c r="N1108">
        <v>0</v>
      </c>
    </row>
    <row r="1109" spans="1:14" x14ac:dyDescent="0.25">
      <c r="A1109">
        <v>701.00004000000001</v>
      </c>
      <c r="B1109" s="1">
        <f>DATE(2012,4,1) + TIME(0,0,3)</f>
        <v>41000.000034722223</v>
      </c>
      <c r="C1109">
        <v>80</v>
      </c>
      <c r="D1109">
        <v>56.311153412000003</v>
      </c>
      <c r="E1109">
        <v>50</v>
      </c>
      <c r="F1109">
        <v>49.954845427999999</v>
      </c>
      <c r="G1109">
        <v>1297.902832</v>
      </c>
      <c r="H1109">
        <v>1297.902832</v>
      </c>
      <c r="I1109">
        <v>1358.9826660000001</v>
      </c>
      <c r="J1109">
        <v>1358.9826660000001</v>
      </c>
      <c r="K1109">
        <v>0</v>
      </c>
      <c r="L1109">
        <v>0</v>
      </c>
      <c r="M1109">
        <v>0</v>
      </c>
      <c r="N1109">
        <v>0</v>
      </c>
    </row>
    <row r="1110" spans="1:14" x14ac:dyDescent="0.25">
      <c r="A1110">
        <v>701.00012100000004</v>
      </c>
      <c r="B1110" s="1">
        <f>DATE(2012,4,1) + TIME(0,0,10)</f>
        <v>41000.000115740739</v>
      </c>
      <c r="C1110">
        <v>80</v>
      </c>
      <c r="D1110">
        <v>56.311714172000002</v>
      </c>
      <c r="E1110">
        <v>50</v>
      </c>
      <c r="F1110">
        <v>49.954318999999998</v>
      </c>
      <c r="G1110">
        <v>1302.3326416</v>
      </c>
      <c r="H1110">
        <v>1302.3326416</v>
      </c>
      <c r="I1110">
        <v>1354.8245850000001</v>
      </c>
      <c r="J1110">
        <v>1354.8245850000001</v>
      </c>
      <c r="K1110">
        <v>0</v>
      </c>
      <c r="L1110">
        <v>0</v>
      </c>
      <c r="M1110">
        <v>0</v>
      </c>
      <c r="N1110">
        <v>0</v>
      </c>
    </row>
    <row r="1111" spans="1:14" x14ac:dyDescent="0.25">
      <c r="A1111">
        <v>701.00036399999999</v>
      </c>
      <c r="B1111" s="1">
        <f>DATE(2012,4,1) + TIME(0,0,31)</f>
        <v>41000.000358796293</v>
      </c>
      <c r="C1111">
        <v>80</v>
      </c>
      <c r="D1111">
        <v>56.312282562</v>
      </c>
      <c r="E1111">
        <v>50</v>
      </c>
      <c r="F1111">
        <v>49.953769684000001</v>
      </c>
      <c r="G1111">
        <v>1306.9217529</v>
      </c>
      <c r="H1111">
        <v>1306.9217529</v>
      </c>
      <c r="I1111">
        <v>1350.5411377</v>
      </c>
      <c r="J1111">
        <v>1350.5411377</v>
      </c>
      <c r="K1111">
        <v>0</v>
      </c>
      <c r="L1111">
        <v>0</v>
      </c>
      <c r="M1111">
        <v>0</v>
      </c>
      <c r="N1111">
        <v>0</v>
      </c>
    </row>
    <row r="1112" spans="1:14" x14ac:dyDescent="0.25">
      <c r="A1112">
        <v>701.00109299999997</v>
      </c>
      <c r="B1112" s="1">
        <f>DATE(2012,4,1) + TIME(0,1,34)</f>
        <v>41000.001087962963</v>
      </c>
      <c r="C1112">
        <v>80</v>
      </c>
      <c r="D1112">
        <v>56.312850951999998</v>
      </c>
      <c r="E1112">
        <v>50</v>
      </c>
      <c r="F1112">
        <v>49.953197479000004</v>
      </c>
      <c r="G1112">
        <v>1311.7005615</v>
      </c>
      <c r="H1112">
        <v>1311.7005615</v>
      </c>
      <c r="I1112">
        <v>1346.2469481999999</v>
      </c>
      <c r="J1112">
        <v>1346.2469481999999</v>
      </c>
      <c r="K1112">
        <v>0</v>
      </c>
      <c r="L1112">
        <v>0</v>
      </c>
      <c r="M1112">
        <v>0</v>
      </c>
      <c r="N1112">
        <v>0</v>
      </c>
    </row>
    <row r="1113" spans="1:14" x14ac:dyDescent="0.25">
      <c r="A1113">
        <v>701.00328000000002</v>
      </c>
      <c r="B1113" s="1">
        <f>DATE(2012,4,1) + TIME(0,4,43)</f>
        <v>41000.003275462965</v>
      </c>
      <c r="C1113">
        <v>80</v>
      </c>
      <c r="D1113">
        <v>56.313396453999999</v>
      </c>
      <c r="E1113">
        <v>50</v>
      </c>
      <c r="F1113">
        <v>49.952548981</v>
      </c>
      <c r="G1113">
        <v>1316.9437256000001</v>
      </c>
      <c r="H1113">
        <v>1316.9437256000001</v>
      </c>
      <c r="I1113">
        <v>1341.8178711</v>
      </c>
      <c r="J1113">
        <v>1341.8178711</v>
      </c>
      <c r="K1113">
        <v>0</v>
      </c>
      <c r="L1113">
        <v>0</v>
      </c>
      <c r="M1113">
        <v>0</v>
      </c>
      <c r="N1113">
        <v>0</v>
      </c>
    </row>
    <row r="1114" spans="1:14" x14ac:dyDescent="0.25">
      <c r="A1114">
        <v>701.00984100000005</v>
      </c>
      <c r="B1114" s="1">
        <f>DATE(2012,4,1) + TIME(0,14,10)</f>
        <v>41000.009837962964</v>
      </c>
      <c r="C1114">
        <v>80</v>
      </c>
      <c r="D1114">
        <v>56.313800811999997</v>
      </c>
      <c r="E1114">
        <v>50</v>
      </c>
      <c r="F1114">
        <v>49.951698303000001</v>
      </c>
      <c r="G1114">
        <v>1322.5185547000001</v>
      </c>
      <c r="H1114">
        <v>1322.5185547000001</v>
      </c>
      <c r="I1114">
        <v>1337.2100829999999</v>
      </c>
      <c r="J1114">
        <v>1337.2100829999999</v>
      </c>
      <c r="K1114">
        <v>0</v>
      </c>
      <c r="L1114">
        <v>0</v>
      </c>
      <c r="M1114">
        <v>0</v>
      </c>
      <c r="N1114">
        <v>0</v>
      </c>
    </row>
    <row r="1115" spans="1:14" x14ac:dyDescent="0.25">
      <c r="A1115">
        <v>701.02952400000004</v>
      </c>
      <c r="B1115" s="1">
        <f>DATE(2012,4,1) + TIME(0,42,30)</f>
        <v>41000.029513888891</v>
      </c>
      <c r="C1115">
        <v>80</v>
      </c>
      <c r="D1115">
        <v>56.313781738000003</v>
      </c>
      <c r="E1115">
        <v>50</v>
      </c>
      <c r="F1115">
        <v>49.950408936000002</v>
      </c>
      <c r="G1115">
        <v>1327.2238769999999</v>
      </c>
      <c r="H1115">
        <v>1327.2238769999999</v>
      </c>
      <c r="I1115">
        <v>1333.2866211</v>
      </c>
      <c r="J1115">
        <v>1333.2866211</v>
      </c>
      <c r="K1115">
        <v>0</v>
      </c>
      <c r="L1115">
        <v>0</v>
      </c>
      <c r="M1115">
        <v>0</v>
      </c>
      <c r="N1115">
        <v>0</v>
      </c>
    </row>
    <row r="1116" spans="1:14" x14ac:dyDescent="0.25">
      <c r="A1116">
        <v>701.088573</v>
      </c>
      <c r="B1116" s="1">
        <f>DATE(2012,4,1) + TIME(2,7,32)</f>
        <v>41000.088564814818</v>
      </c>
      <c r="C1116">
        <v>80</v>
      </c>
      <c r="D1116">
        <v>56.312892914000003</v>
      </c>
      <c r="E1116">
        <v>50</v>
      </c>
      <c r="F1116">
        <v>49.947799683</v>
      </c>
      <c r="G1116">
        <v>1329.7885742000001</v>
      </c>
      <c r="H1116">
        <v>1329.7885742000001</v>
      </c>
      <c r="I1116">
        <v>1331.3785399999999</v>
      </c>
      <c r="J1116">
        <v>1331.3785399999999</v>
      </c>
      <c r="K1116">
        <v>0</v>
      </c>
      <c r="L1116">
        <v>0</v>
      </c>
      <c r="M1116">
        <v>0</v>
      </c>
      <c r="N1116">
        <v>0</v>
      </c>
    </row>
    <row r="1117" spans="1:14" x14ac:dyDescent="0.25">
      <c r="A1117">
        <v>701.26571999999999</v>
      </c>
      <c r="B1117" s="1">
        <f>DATE(2012,4,1) + TIME(6,22,38)</f>
        <v>41000.265717592592</v>
      </c>
      <c r="C1117">
        <v>80</v>
      </c>
      <c r="D1117">
        <v>56.309600830000001</v>
      </c>
      <c r="E1117">
        <v>50</v>
      </c>
      <c r="F1117">
        <v>49.940658569</v>
      </c>
      <c r="G1117">
        <v>1330.5194091999999</v>
      </c>
      <c r="H1117">
        <v>1330.5194091999999</v>
      </c>
      <c r="I1117">
        <v>1331.0390625</v>
      </c>
      <c r="J1117">
        <v>1331.0390625</v>
      </c>
      <c r="K1117">
        <v>0</v>
      </c>
      <c r="L1117">
        <v>0</v>
      </c>
      <c r="M1117">
        <v>0</v>
      </c>
      <c r="N1117">
        <v>0</v>
      </c>
    </row>
    <row r="1118" spans="1:14" x14ac:dyDescent="0.25">
      <c r="A1118">
        <v>701.79716099999996</v>
      </c>
      <c r="B1118" s="1">
        <f>DATE(2012,4,1) + TIME(19,7,54)</f>
        <v>41000.797152777777</v>
      </c>
      <c r="C1118">
        <v>80</v>
      </c>
      <c r="D1118">
        <v>56.299449920999997</v>
      </c>
      <c r="E1118">
        <v>50</v>
      </c>
      <c r="F1118">
        <v>49.919433593999997</v>
      </c>
      <c r="G1118">
        <v>1330.6134033000001</v>
      </c>
      <c r="H1118">
        <v>1330.6134033000001</v>
      </c>
      <c r="I1118">
        <v>1331.0343018000001</v>
      </c>
      <c r="J1118">
        <v>1331.0343018000001</v>
      </c>
      <c r="K1118">
        <v>0</v>
      </c>
      <c r="L1118">
        <v>0</v>
      </c>
      <c r="M1118">
        <v>0</v>
      </c>
      <c r="N1118">
        <v>0</v>
      </c>
    </row>
    <row r="1119" spans="1:14" x14ac:dyDescent="0.25">
      <c r="A1119">
        <v>703.39148399999999</v>
      </c>
      <c r="B1119" s="1">
        <f>DATE(2012,4,3) + TIME(9,23,44)</f>
        <v>41002.391481481478</v>
      </c>
      <c r="C1119">
        <v>80</v>
      </c>
      <c r="D1119">
        <v>56.268936156999999</v>
      </c>
      <c r="E1119">
        <v>50</v>
      </c>
      <c r="F1119">
        <v>49.856376648000001</v>
      </c>
      <c r="G1119">
        <v>1330.6180420000001</v>
      </c>
      <c r="H1119">
        <v>1330.6180420000001</v>
      </c>
      <c r="I1119">
        <v>1331.0357666</v>
      </c>
      <c r="J1119">
        <v>1331.0357666</v>
      </c>
      <c r="K1119">
        <v>0</v>
      </c>
      <c r="L1119">
        <v>0</v>
      </c>
      <c r="M1119">
        <v>0</v>
      </c>
      <c r="N1119">
        <v>0</v>
      </c>
    </row>
    <row r="1120" spans="1:14" x14ac:dyDescent="0.25">
      <c r="A1120">
        <v>706</v>
      </c>
      <c r="B1120" s="1">
        <f>DATE(2012,4,6) + TIME(0,0,0)</f>
        <v>41005</v>
      </c>
      <c r="C1120">
        <v>80</v>
      </c>
      <c r="D1120">
        <v>56.218948363999999</v>
      </c>
      <c r="E1120">
        <v>50</v>
      </c>
      <c r="F1120">
        <v>49.754817963000001</v>
      </c>
      <c r="G1120">
        <v>1330.6171875</v>
      </c>
      <c r="H1120">
        <v>1330.6171875</v>
      </c>
      <c r="I1120">
        <v>1331.0352783000001</v>
      </c>
      <c r="J1120">
        <v>1331.0352783000001</v>
      </c>
      <c r="K1120">
        <v>0</v>
      </c>
      <c r="L1120">
        <v>0</v>
      </c>
      <c r="M1120">
        <v>0</v>
      </c>
      <c r="N1120">
        <v>0</v>
      </c>
    </row>
    <row r="1121" spans="1:14" x14ac:dyDescent="0.25">
      <c r="A1121">
        <v>706.000001</v>
      </c>
      <c r="B1121" s="1">
        <f>DATE(2012,4,6) + TIME(0,0,0)</f>
        <v>41005</v>
      </c>
      <c r="C1121">
        <v>80</v>
      </c>
      <c r="D1121">
        <v>56.218917847</v>
      </c>
      <c r="E1121">
        <v>50</v>
      </c>
      <c r="F1121">
        <v>49.75484848</v>
      </c>
      <c r="G1121">
        <v>1330.3707274999999</v>
      </c>
      <c r="H1121">
        <v>1320.5748291</v>
      </c>
      <c r="I1121">
        <v>1341.7272949000001</v>
      </c>
      <c r="J1121">
        <v>1331.2728271000001</v>
      </c>
      <c r="K1121">
        <v>0</v>
      </c>
      <c r="L1121">
        <v>1215</v>
      </c>
      <c r="M1121">
        <v>1215</v>
      </c>
      <c r="N1121">
        <v>0</v>
      </c>
    </row>
    <row r="1122" spans="1:14" x14ac:dyDescent="0.25">
      <c r="A1122">
        <v>706.00000399999999</v>
      </c>
      <c r="B1122" s="1">
        <f>DATE(2012,4,6) + TIME(0,0,0)</f>
        <v>41005</v>
      </c>
      <c r="C1122">
        <v>80</v>
      </c>
      <c r="D1122">
        <v>56.218833922999998</v>
      </c>
      <c r="E1122">
        <v>50</v>
      </c>
      <c r="F1122">
        <v>49.754924774000003</v>
      </c>
      <c r="G1122">
        <v>1329.7226562000001</v>
      </c>
      <c r="H1122">
        <v>1319.9683838000001</v>
      </c>
      <c r="I1122">
        <v>1342.3178711</v>
      </c>
      <c r="J1122">
        <v>1331.9041748</v>
      </c>
      <c r="K1122">
        <v>0</v>
      </c>
      <c r="L1122">
        <v>1215</v>
      </c>
      <c r="M1122">
        <v>1215</v>
      </c>
      <c r="N1122">
        <v>0</v>
      </c>
    </row>
    <row r="1123" spans="1:14" x14ac:dyDescent="0.25">
      <c r="A1123">
        <v>706.00001299999997</v>
      </c>
      <c r="B1123" s="1">
        <f>DATE(2012,4,6) + TIME(0,0,1)</f>
        <v>41005.000011574077</v>
      </c>
      <c r="C1123">
        <v>80</v>
      </c>
      <c r="D1123">
        <v>56.218647003000001</v>
      </c>
      <c r="E1123">
        <v>50</v>
      </c>
      <c r="F1123">
        <v>49.755104064999998</v>
      </c>
      <c r="G1123">
        <v>1328.3032227000001</v>
      </c>
      <c r="H1123">
        <v>1318.5838623</v>
      </c>
      <c r="I1123">
        <v>1343.6428223</v>
      </c>
      <c r="J1123">
        <v>1333.3089600000001</v>
      </c>
      <c r="K1123">
        <v>0</v>
      </c>
      <c r="L1123">
        <v>1215</v>
      </c>
      <c r="M1123">
        <v>1215</v>
      </c>
      <c r="N1123">
        <v>0</v>
      </c>
    </row>
    <row r="1124" spans="1:14" x14ac:dyDescent="0.25">
      <c r="A1124">
        <v>706.00004000000001</v>
      </c>
      <c r="B1124" s="1">
        <f>DATE(2012,4,6) + TIME(0,0,3)</f>
        <v>41005.000034722223</v>
      </c>
      <c r="C1124">
        <v>80</v>
      </c>
      <c r="D1124">
        <v>56.218338013</v>
      </c>
      <c r="E1124">
        <v>50</v>
      </c>
      <c r="F1124">
        <v>49.755397797000001</v>
      </c>
      <c r="G1124">
        <v>1325.9726562000001</v>
      </c>
      <c r="H1124">
        <v>1316.1950684000001</v>
      </c>
      <c r="I1124">
        <v>1345.8569336</v>
      </c>
      <c r="J1124">
        <v>1335.6254882999999</v>
      </c>
      <c r="K1124">
        <v>0</v>
      </c>
      <c r="L1124">
        <v>1215</v>
      </c>
      <c r="M1124">
        <v>1215</v>
      </c>
      <c r="N1124">
        <v>0</v>
      </c>
    </row>
    <row r="1125" spans="1:14" x14ac:dyDescent="0.25">
      <c r="A1125">
        <v>706.00012100000004</v>
      </c>
      <c r="B1125" s="1">
        <f>DATE(2012,4,6) + TIME(0,0,10)</f>
        <v>41005.000115740739</v>
      </c>
      <c r="C1125">
        <v>80</v>
      </c>
      <c r="D1125">
        <v>56.217929839999996</v>
      </c>
      <c r="E1125">
        <v>50</v>
      </c>
      <c r="F1125">
        <v>49.755760193</v>
      </c>
      <c r="G1125">
        <v>1323.0932617000001</v>
      </c>
      <c r="H1125">
        <v>1313.1732178</v>
      </c>
      <c r="I1125">
        <v>1348.5592041</v>
      </c>
      <c r="J1125">
        <v>1338.4132079999999</v>
      </c>
      <c r="K1125">
        <v>0</v>
      </c>
      <c r="L1125">
        <v>1215</v>
      </c>
      <c r="M1125">
        <v>1215</v>
      </c>
      <c r="N1125">
        <v>0</v>
      </c>
    </row>
    <row r="1126" spans="1:14" x14ac:dyDescent="0.25">
      <c r="A1126">
        <v>706.00036399999999</v>
      </c>
      <c r="B1126" s="1">
        <f>DATE(2012,4,6) + TIME(0,0,31)</f>
        <v>41005.000358796293</v>
      </c>
      <c r="C1126">
        <v>80</v>
      </c>
      <c r="D1126">
        <v>56.217422485</v>
      </c>
      <c r="E1126">
        <v>50</v>
      </c>
      <c r="F1126">
        <v>49.756145476999997</v>
      </c>
      <c r="G1126">
        <v>1320.0217285000001</v>
      </c>
      <c r="H1126">
        <v>1309.9714355000001</v>
      </c>
      <c r="I1126">
        <v>1351.3416748</v>
      </c>
      <c r="J1126">
        <v>1341.255249</v>
      </c>
      <c r="K1126">
        <v>0</v>
      </c>
      <c r="L1126">
        <v>1215</v>
      </c>
      <c r="M1126">
        <v>1215</v>
      </c>
      <c r="N1126">
        <v>0</v>
      </c>
    </row>
    <row r="1127" spans="1:14" x14ac:dyDescent="0.25">
      <c r="A1127">
        <v>706.00109299999997</v>
      </c>
      <c r="B1127" s="1">
        <f>DATE(2012,4,6) + TIME(0,1,34)</f>
        <v>41005.001087962963</v>
      </c>
      <c r="C1127">
        <v>80</v>
      </c>
      <c r="D1127">
        <v>56.216651917</v>
      </c>
      <c r="E1127">
        <v>50</v>
      </c>
      <c r="F1127">
        <v>49.756584167</v>
      </c>
      <c r="G1127">
        <v>1316.7761230000001</v>
      </c>
      <c r="H1127">
        <v>1306.6259766000001</v>
      </c>
      <c r="I1127">
        <v>1354.1387939000001</v>
      </c>
      <c r="J1127">
        <v>1344.0916748</v>
      </c>
      <c r="K1127">
        <v>0</v>
      </c>
      <c r="L1127">
        <v>1215</v>
      </c>
      <c r="M1127">
        <v>1215</v>
      </c>
      <c r="N1127">
        <v>0</v>
      </c>
    </row>
    <row r="1128" spans="1:14" x14ac:dyDescent="0.25">
      <c r="A1128">
        <v>706.00328000000002</v>
      </c>
      <c r="B1128" s="1">
        <f>DATE(2012,4,6) + TIME(0,4,43)</f>
        <v>41005.003275462965</v>
      </c>
      <c r="C1128">
        <v>80</v>
      </c>
      <c r="D1128">
        <v>56.215118408000002</v>
      </c>
      <c r="E1128">
        <v>50</v>
      </c>
      <c r="F1128">
        <v>49.757198334000002</v>
      </c>
      <c r="G1128">
        <v>1313.2047118999999</v>
      </c>
      <c r="H1128">
        <v>1302.9797363</v>
      </c>
      <c r="I1128">
        <v>1357.0612793</v>
      </c>
      <c r="J1128">
        <v>1347.0290527</v>
      </c>
      <c r="K1128">
        <v>0</v>
      </c>
      <c r="L1128">
        <v>1215</v>
      </c>
      <c r="M1128">
        <v>1215</v>
      </c>
      <c r="N1128">
        <v>0</v>
      </c>
    </row>
    <row r="1129" spans="1:14" x14ac:dyDescent="0.25">
      <c r="A1129">
        <v>706.00984100000005</v>
      </c>
      <c r="B1129" s="1">
        <f>DATE(2012,4,6) + TIME(0,14,10)</f>
        <v>41005.009837962964</v>
      </c>
      <c r="C1129">
        <v>80</v>
      </c>
      <c r="D1129">
        <v>56.211353301999999</v>
      </c>
      <c r="E1129">
        <v>50</v>
      </c>
      <c r="F1129">
        <v>49.758319855000003</v>
      </c>
      <c r="G1129">
        <v>1309.4176024999999</v>
      </c>
      <c r="H1129">
        <v>1299.1418457</v>
      </c>
      <c r="I1129">
        <v>1360.1496582</v>
      </c>
      <c r="J1129">
        <v>1350.1107178</v>
      </c>
      <c r="K1129">
        <v>0</v>
      </c>
      <c r="L1129">
        <v>1215</v>
      </c>
      <c r="M1129">
        <v>1215</v>
      </c>
      <c r="N1129">
        <v>0</v>
      </c>
    </row>
    <row r="1130" spans="1:14" x14ac:dyDescent="0.25">
      <c r="A1130">
        <v>706.02952400000004</v>
      </c>
      <c r="B1130" s="1">
        <f>DATE(2012,4,6) + TIME(0,42,30)</f>
        <v>41005.029513888891</v>
      </c>
      <c r="C1130">
        <v>80</v>
      </c>
      <c r="D1130">
        <v>56.200935364000003</v>
      </c>
      <c r="E1130">
        <v>50</v>
      </c>
      <c r="F1130">
        <v>49.760818481000001</v>
      </c>
      <c r="G1130">
        <v>1306.2313231999999</v>
      </c>
      <c r="H1130">
        <v>1295.9243164</v>
      </c>
      <c r="I1130">
        <v>1362.7891846</v>
      </c>
      <c r="J1130">
        <v>1352.7401123</v>
      </c>
      <c r="K1130">
        <v>0</v>
      </c>
      <c r="L1130">
        <v>1215</v>
      </c>
      <c r="M1130">
        <v>1215</v>
      </c>
      <c r="N1130">
        <v>0</v>
      </c>
    </row>
    <row r="1131" spans="1:14" x14ac:dyDescent="0.25">
      <c r="A1131">
        <v>706.088573</v>
      </c>
      <c r="B1131" s="1">
        <f>DATE(2012,4,6) + TIME(2,7,32)</f>
        <v>41005.088564814818</v>
      </c>
      <c r="C1131">
        <v>80</v>
      </c>
      <c r="D1131">
        <v>56.171169280999997</v>
      </c>
      <c r="E1131">
        <v>50</v>
      </c>
      <c r="F1131">
        <v>49.767250060999999</v>
      </c>
      <c r="G1131">
        <v>1304.5008545000001</v>
      </c>
      <c r="H1131">
        <v>1294.1767577999999</v>
      </c>
      <c r="I1131">
        <v>1364.0699463000001</v>
      </c>
      <c r="J1131">
        <v>1354.0166016000001</v>
      </c>
      <c r="K1131">
        <v>0</v>
      </c>
      <c r="L1131">
        <v>1215</v>
      </c>
      <c r="M1131">
        <v>1215</v>
      </c>
      <c r="N1131">
        <v>0</v>
      </c>
    </row>
    <row r="1132" spans="1:14" x14ac:dyDescent="0.25">
      <c r="A1132">
        <v>706.26571999999999</v>
      </c>
      <c r="B1132" s="1">
        <f>DATE(2012,4,6) + TIME(6,22,38)</f>
        <v>41005.265717592592</v>
      </c>
      <c r="C1132">
        <v>80</v>
      </c>
      <c r="D1132">
        <v>56.090885161999999</v>
      </c>
      <c r="E1132">
        <v>50</v>
      </c>
      <c r="F1132">
        <v>49.784206390000001</v>
      </c>
      <c r="G1132">
        <v>1304.003418</v>
      </c>
      <c r="H1132">
        <v>1293.6619873</v>
      </c>
      <c r="I1132">
        <v>1364.2963867000001</v>
      </c>
      <c r="J1132">
        <v>1354.2432861</v>
      </c>
      <c r="K1132">
        <v>0</v>
      </c>
      <c r="L1132">
        <v>1215</v>
      </c>
      <c r="M1132">
        <v>1215</v>
      </c>
      <c r="N1132">
        <v>0</v>
      </c>
    </row>
    <row r="1133" spans="1:14" x14ac:dyDescent="0.25">
      <c r="A1133">
        <v>706.79716099999996</v>
      </c>
      <c r="B1133" s="1">
        <f>DATE(2012,4,6) + TIME(19,7,54)</f>
        <v>41005.797152777777</v>
      </c>
      <c r="C1133">
        <v>80</v>
      </c>
      <c r="D1133">
        <v>55.908245086999997</v>
      </c>
      <c r="E1133">
        <v>50</v>
      </c>
      <c r="F1133">
        <v>49.822250365999999</v>
      </c>
      <c r="G1133">
        <v>1303.9244385</v>
      </c>
      <c r="H1133">
        <v>1293.5479736</v>
      </c>
      <c r="I1133">
        <v>1364.2969971</v>
      </c>
      <c r="J1133">
        <v>1354.2460937999999</v>
      </c>
      <c r="K1133">
        <v>0</v>
      </c>
      <c r="L1133">
        <v>1215</v>
      </c>
      <c r="M1133">
        <v>1215</v>
      </c>
      <c r="N1133">
        <v>0</v>
      </c>
    </row>
    <row r="1134" spans="1:14" x14ac:dyDescent="0.25">
      <c r="A1134">
        <v>708.39148399999999</v>
      </c>
      <c r="B1134" s="1">
        <f>DATE(2012,4,8) + TIME(9,23,44)</f>
        <v>41007.391481481478</v>
      </c>
      <c r="C1134">
        <v>80</v>
      </c>
      <c r="D1134">
        <v>55.604705811000002</v>
      </c>
      <c r="E1134">
        <v>50</v>
      </c>
      <c r="F1134">
        <v>49.879230499000002</v>
      </c>
      <c r="G1134">
        <v>1303.8779297000001</v>
      </c>
      <c r="H1134">
        <v>1293.4406738</v>
      </c>
      <c r="I1134">
        <v>1364.2902832</v>
      </c>
      <c r="J1134">
        <v>1354.2430420000001</v>
      </c>
      <c r="K1134">
        <v>0</v>
      </c>
      <c r="L1134">
        <v>1215</v>
      </c>
      <c r="M1134">
        <v>1215</v>
      </c>
      <c r="N1134">
        <v>0</v>
      </c>
    </row>
    <row r="1135" spans="1:14" x14ac:dyDescent="0.25">
      <c r="A1135">
        <v>712.495859</v>
      </c>
      <c r="B1135" s="1">
        <f>DATE(2012,4,12) + TIME(11,54,2)</f>
        <v>41011.495856481481</v>
      </c>
      <c r="C1135">
        <v>80</v>
      </c>
      <c r="D1135">
        <v>55.206005095999998</v>
      </c>
      <c r="E1135">
        <v>50</v>
      </c>
      <c r="F1135">
        <v>49.920425414999997</v>
      </c>
      <c r="G1135">
        <v>1303.7707519999999</v>
      </c>
      <c r="H1135">
        <v>1293.2517089999999</v>
      </c>
      <c r="I1135">
        <v>1364.2786865</v>
      </c>
      <c r="J1135">
        <v>1354.2347411999999</v>
      </c>
      <c r="K1135">
        <v>0</v>
      </c>
      <c r="L1135">
        <v>1215</v>
      </c>
      <c r="M1135">
        <v>1215</v>
      </c>
      <c r="N1135">
        <v>0</v>
      </c>
    </row>
    <row r="1136" spans="1:14" x14ac:dyDescent="0.25">
      <c r="A1136">
        <v>717.02038700000003</v>
      </c>
      <c r="B1136" s="1">
        <f>DATE(2012,4,17) + TIME(0,29,21)</f>
        <v>41016.020381944443</v>
      </c>
      <c r="C1136">
        <v>80</v>
      </c>
      <c r="D1136">
        <v>54.579662323000001</v>
      </c>
      <c r="E1136">
        <v>50</v>
      </c>
      <c r="F1136">
        <v>49.932434082</v>
      </c>
      <c r="G1136">
        <v>1303.5303954999999</v>
      </c>
      <c r="H1136">
        <v>1292.8918457</v>
      </c>
      <c r="I1136">
        <v>1364.2513428</v>
      </c>
      <c r="J1136">
        <v>1354.2105713000001</v>
      </c>
      <c r="K1136">
        <v>0</v>
      </c>
      <c r="L1136">
        <v>1215</v>
      </c>
      <c r="M1136">
        <v>1215</v>
      </c>
      <c r="N1136">
        <v>0</v>
      </c>
    </row>
    <row r="1137" spans="1:14" x14ac:dyDescent="0.25">
      <c r="A1137">
        <v>721.61158</v>
      </c>
      <c r="B1137" s="1">
        <f>DATE(2012,4,21) + TIME(14,40,40)</f>
        <v>41020.611574074072</v>
      </c>
      <c r="C1137">
        <v>80</v>
      </c>
      <c r="D1137">
        <v>53.856357574</v>
      </c>
      <c r="E1137">
        <v>50</v>
      </c>
      <c r="F1137">
        <v>49.935749053999999</v>
      </c>
      <c r="G1137">
        <v>1303.2581786999999</v>
      </c>
      <c r="H1137">
        <v>1292.4744873</v>
      </c>
      <c r="I1137">
        <v>1364.2218018000001</v>
      </c>
      <c r="J1137">
        <v>1354.1842041</v>
      </c>
      <c r="K1137">
        <v>0</v>
      </c>
      <c r="L1137">
        <v>1215</v>
      </c>
      <c r="M1137">
        <v>1215</v>
      </c>
      <c r="N1137">
        <v>0</v>
      </c>
    </row>
    <row r="1138" spans="1:14" x14ac:dyDescent="0.25">
      <c r="A1138">
        <v>726.26700400000004</v>
      </c>
      <c r="B1138" s="1">
        <f>DATE(2012,4,26) + TIME(6,24,29)</f>
        <v>41025.267002314817</v>
      </c>
      <c r="C1138">
        <v>80</v>
      </c>
      <c r="D1138">
        <v>53.102775573999999</v>
      </c>
      <c r="E1138">
        <v>50</v>
      </c>
      <c r="F1138">
        <v>49.936782837000003</v>
      </c>
      <c r="G1138">
        <v>1302.9803466999999</v>
      </c>
      <c r="H1138">
        <v>1292.0417480000001</v>
      </c>
      <c r="I1138">
        <v>1364.1920166</v>
      </c>
      <c r="J1138">
        <v>1354.1578368999999</v>
      </c>
      <c r="K1138">
        <v>0</v>
      </c>
      <c r="L1138">
        <v>1215</v>
      </c>
      <c r="M1138">
        <v>1215</v>
      </c>
      <c r="N1138">
        <v>0</v>
      </c>
    </row>
    <row r="1139" spans="1:14" x14ac:dyDescent="0.25">
      <c r="A1139">
        <v>731</v>
      </c>
      <c r="B1139" s="1">
        <f>DATE(2012,5,1) + TIME(0,0,0)</f>
        <v>41030</v>
      </c>
      <c r="C1139">
        <v>80</v>
      </c>
      <c r="D1139">
        <v>52.335498809999997</v>
      </c>
      <c r="E1139">
        <v>50</v>
      </c>
      <c r="F1139">
        <v>49.937225341999998</v>
      </c>
      <c r="G1139">
        <v>1302.7014160000001</v>
      </c>
      <c r="H1139">
        <v>1291.6037598</v>
      </c>
      <c r="I1139">
        <v>1364.1622314000001</v>
      </c>
      <c r="J1139">
        <v>1354.1313477000001</v>
      </c>
      <c r="K1139">
        <v>0</v>
      </c>
      <c r="L1139">
        <v>1215</v>
      </c>
      <c r="M1139">
        <v>1215</v>
      </c>
      <c r="N1139">
        <v>0</v>
      </c>
    </row>
    <row r="1140" spans="1:14" x14ac:dyDescent="0.25">
      <c r="A1140">
        <v>731.000001</v>
      </c>
      <c r="B1140" s="1">
        <f>DATE(2012,5,1) + TIME(0,0,0)</f>
        <v>41030</v>
      </c>
      <c r="C1140">
        <v>80</v>
      </c>
      <c r="D1140">
        <v>52.335597991999997</v>
      </c>
      <c r="E1140">
        <v>50</v>
      </c>
      <c r="F1140">
        <v>49.937164307000003</v>
      </c>
      <c r="G1140">
        <v>1316.6292725000001</v>
      </c>
      <c r="H1140">
        <v>1303.2794189000001</v>
      </c>
      <c r="I1140">
        <v>1353.6597899999999</v>
      </c>
      <c r="J1140">
        <v>1342.9997559000001</v>
      </c>
      <c r="K1140">
        <v>1375</v>
      </c>
      <c r="L1140">
        <v>0</v>
      </c>
      <c r="M1140">
        <v>0</v>
      </c>
      <c r="N1140">
        <v>1375</v>
      </c>
    </row>
    <row r="1141" spans="1:14" x14ac:dyDescent="0.25">
      <c r="A1141">
        <v>731.00000399999999</v>
      </c>
      <c r="B1141" s="1">
        <f>DATE(2012,5,1) + TIME(0,0,0)</f>
        <v>41030</v>
      </c>
      <c r="C1141">
        <v>80</v>
      </c>
      <c r="D1141">
        <v>52.335861205999997</v>
      </c>
      <c r="E1141">
        <v>50</v>
      </c>
      <c r="F1141">
        <v>49.937007903999998</v>
      </c>
      <c r="G1141">
        <v>1317.9382324000001</v>
      </c>
      <c r="H1141">
        <v>1304.8032227000001</v>
      </c>
      <c r="I1141">
        <v>1352.4016113</v>
      </c>
      <c r="J1141">
        <v>1341.7408447</v>
      </c>
      <c r="K1141">
        <v>1375</v>
      </c>
      <c r="L1141">
        <v>0</v>
      </c>
      <c r="M1141">
        <v>0</v>
      </c>
      <c r="N1141">
        <v>1375</v>
      </c>
    </row>
    <row r="1142" spans="1:14" x14ac:dyDescent="0.25">
      <c r="A1142">
        <v>731.00001299999997</v>
      </c>
      <c r="B1142" s="1">
        <f>DATE(2012,5,1) + TIME(0,0,1)</f>
        <v>41030.000011574077</v>
      </c>
      <c r="C1142">
        <v>80</v>
      </c>
      <c r="D1142">
        <v>52.336494446000003</v>
      </c>
      <c r="E1142">
        <v>50</v>
      </c>
      <c r="F1142">
        <v>49.936649322999997</v>
      </c>
      <c r="G1142">
        <v>1320.965332</v>
      </c>
      <c r="H1142">
        <v>1308.1512451000001</v>
      </c>
      <c r="I1142">
        <v>1349.5788574000001</v>
      </c>
      <c r="J1142">
        <v>1338.9169922000001</v>
      </c>
      <c r="K1142">
        <v>1375</v>
      </c>
      <c r="L1142">
        <v>0</v>
      </c>
      <c r="M1142">
        <v>0</v>
      </c>
      <c r="N1142">
        <v>1375</v>
      </c>
    </row>
    <row r="1143" spans="1:14" x14ac:dyDescent="0.25">
      <c r="A1143">
        <v>731.00004000000001</v>
      </c>
      <c r="B1143" s="1">
        <f>DATE(2012,5,1) + TIME(0,0,3)</f>
        <v>41030.000034722223</v>
      </c>
      <c r="C1143">
        <v>80</v>
      </c>
      <c r="D1143">
        <v>52.337802887000002</v>
      </c>
      <c r="E1143">
        <v>50</v>
      </c>
      <c r="F1143">
        <v>49.936054230000003</v>
      </c>
      <c r="G1143">
        <v>1326.2725829999999</v>
      </c>
      <c r="H1143">
        <v>1313.6341553</v>
      </c>
      <c r="I1143">
        <v>1344.8587646000001</v>
      </c>
      <c r="J1143">
        <v>1334.1984863</v>
      </c>
      <c r="K1143">
        <v>1375</v>
      </c>
      <c r="L1143">
        <v>0</v>
      </c>
      <c r="M1143">
        <v>0</v>
      </c>
      <c r="N1143">
        <v>1375</v>
      </c>
    </row>
    <row r="1144" spans="1:14" x14ac:dyDescent="0.25">
      <c r="A1144">
        <v>731.00012100000004</v>
      </c>
      <c r="B1144" s="1">
        <f>DATE(2012,5,1) + TIME(0,0,10)</f>
        <v>41030.000115740739</v>
      </c>
      <c r="C1144">
        <v>80</v>
      </c>
      <c r="D1144">
        <v>52.340511321999998</v>
      </c>
      <c r="E1144">
        <v>50</v>
      </c>
      <c r="F1144">
        <v>49.935317992999998</v>
      </c>
      <c r="G1144">
        <v>1333.0635986</v>
      </c>
      <c r="H1144">
        <v>1320.3447266000001</v>
      </c>
      <c r="I1144">
        <v>1339.0922852000001</v>
      </c>
      <c r="J1144">
        <v>1328.4388428</v>
      </c>
      <c r="K1144">
        <v>1375</v>
      </c>
      <c r="L1144">
        <v>0</v>
      </c>
      <c r="M1144">
        <v>0</v>
      </c>
      <c r="N1144">
        <v>1375</v>
      </c>
    </row>
    <row r="1145" spans="1:14" x14ac:dyDescent="0.25">
      <c r="A1145">
        <v>731.00036399999999</v>
      </c>
      <c r="B1145" s="1">
        <f>DATE(2012,5,1) + TIME(0,0,31)</f>
        <v>41030.000358796293</v>
      </c>
      <c r="C1145">
        <v>80</v>
      </c>
      <c r="D1145">
        <v>52.347026825</v>
      </c>
      <c r="E1145">
        <v>50</v>
      </c>
      <c r="F1145">
        <v>49.934532165999997</v>
      </c>
      <c r="G1145">
        <v>1340.2855225000001</v>
      </c>
      <c r="H1145">
        <v>1327.4282227000001</v>
      </c>
      <c r="I1145">
        <v>1333.1477050999999</v>
      </c>
      <c r="J1145">
        <v>1322.5065918</v>
      </c>
      <c r="K1145">
        <v>1375</v>
      </c>
      <c r="L1145">
        <v>0</v>
      </c>
      <c r="M1145">
        <v>0</v>
      </c>
      <c r="N1145">
        <v>1375</v>
      </c>
    </row>
    <row r="1146" spans="1:14" x14ac:dyDescent="0.25">
      <c r="A1146">
        <v>731.00109299999997</v>
      </c>
      <c r="B1146" s="1">
        <f>DATE(2012,5,1) + TIME(0,1,34)</f>
        <v>41030.001087962963</v>
      </c>
      <c r="C1146">
        <v>80</v>
      </c>
      <c r="D1146">
        <v>52.364967346</v>
      </c>
      <c r="E1146">
        <v>50</v>
      </c>
      <c r="F1146">
        <v>49.933666229000004</v>
      </c>
      <c r="G1146">
        <v>1347.7857666</v>
      </c>
      <c r="H1146">
        <v>1334.8111572</v>
      </c>
      <c r="I1146">
        <v>1327.1754149999999</v>
      </c>
      <c r="J1146">
        <v>1316.5467529</v>
      </c>
      <c r="K1146">
        <v>1375</v>
      </c>
      <c r="L1146">
        <v>0</v>
      </c>
      <c r="M1146">
        <v>0</v>
      </c>
      <c r="N1146">
        <v>1375</v>
      </c>
    </row>
    <row r="1147" spans="1:14" x14ac:dyDescent="0.25">
      <c r="A1147">
        <v>731.00328000000002</v>
      </c>
      <c r="B1147" s="1">
        <f>DATE(2012,5,1) + TIME(0,4,43)</f>
        <v>41030.003275462965</v>
      </c>
      <c r="C1147">
        <v>80</v>
      </c>
      <c r="D1147">
        <v>52.417278289999999</v>
      </c>
      <c r="E1147">
        <v>50</v>
      </c>
      <c r="F1147">
        <v>49.932537078999999</v>
      </c>
      <c r="G1147">
        <v>1355.8214111</v>
      </c>
      <c r="H1147">
        <v>1342.755249</v>
      </c>
      <c r="I1147">
        <v>1320.9699707</v>
      </c>
      <c r="J1147">
        <v>1310.3293457</v>
      </c>
      <c r="K1147">
        <v>1375</v>
      </c>
      <c r="L1147">
        <v>0</v>
      </c>
      <c r="M1147">
        <v>0</v>
      </c>
      <c r="N1147">
        <v>1375</v>
      </c>
    </row>
    <row r="1148" spans="1:14" x14ac:dyDescent="0.25">
      <c r="A1148">
        <v>731.00984100000005</v>
      </c>
      <c r="B1148" s="1">
        <f>DATE(2012,5,1) + TIME(0,14,10)</f>
        <v>41030.009837962964</v>
      </c>
      <c r="C1148">
        <v>80</v>
      </c>
      <c r="D1148">
        <v>52.572349547999998</v>
      </c>
      <c r="E1148">
        <v>50</v>
      </c>
      <c r="F1148">
        <v>49.930660248000002</v>
      </c>
      <c r="G1148">
        <v>1364.0789795000001</v>
      </c>
      <c r="H1148">
        <v>1350.9608154</v>
      </c>
      <c r="I1148">
        <v>1314.4177245999999</v>
      </c>
      <c r="J1148">
        <v>1303.7393798999999</v>
      </c>
      <c r="K1148">
        <v>1375</v>
      </c>
      <c r="L1148">
        <v>0</v>
      </c>
      <c r="M1148">
        <v>0</v>
      </c>
      <c r="N1148">
        <v>1375</v>
      </c>
    </row>
    <row r="1149" spans="1:14" x14ac:dyDescent="0.25">
      <c r="A1149">
        <v>731.02952400000004</v>
      </c>
      <c r="B1149" s="1">
        <f>DATE(2012,5,1) + TIME(0,42,30)</f>
        <v>41030.029513888891</v>
      </c>
      <c r="C1149">
        <v>80</v>
      </c>
      <c r="D1149">
        <v>53.029525757000002</v>
      </c>
      <c r="E1149">
        <v>50</v>
      </c>
      <c r="F1149">
        <v>49.926822661999999</v>
      </c>
      <c r="G1149">
        <v>1370.8139647999999</v>
      </c>
      <c r="H1149">
        <v>1357.7368164</v>
      </c>
      <c r="I1149">
        <v>1308.7806396000001</v>
      </c>
      <c r="J1149">
        <v>1298.0734863</v>
      </c>
      <c r="K1149">
        <v>1375</v>
      </c>
      <c r="L1149">
        <v>0</v>
      </c>
      <c r="M1149">
        <v>0</v>
      </c>
      <c r="N1149">
        <v>1375</v>
      </c>
    </row>
    <row r="1150" spans="1:14" x14ac:dyDescent="0.25">
      <c r="A1150">
        <v>731.06653300000005</v>
      </c>
      <c r="B1150" s="1">
        <f>DATE(2012,5,1) + TIME(1,35,48)</f>
        <v>41030.066527777781</v>
      </c>
      <c r="C1150">
        <v>80</v>
      </c>
      <c r="D1150">
        <v>53.862728119000003</v>
      </c>
      <c r="E1150">
        <v>50</v>
      </c>
      <c r="F1150">
        <v>49.920703887999998</v>
      </c>
      <c r="G1150">
        <v>1373.8167725000001</v>
      </c>
      <c r="H1150">
        <v>1360.8939209</v>
      </c>
      <c r="I1150">
        <v>1306.2872314000001</v>
      </c>
      <c r="J1150">
        <v>1295.5699463000001</v>
      </c>
      <c r="K1150">
        <v>1375</v>
      </c>
      <c r="L1150">
        <v>0</v>
      </c>
      <c r="M1150">
        <v>0</v>
      </c>
      <c r="N1150">
        <v>1375</v>
      </c>
    </row>
    <row r="1151" spans="1:14" x14ac:dyDescent="0.25">
      <c r="A1151">
        <v>731.10434899999996</v>
      </c>
      <c r="B1151" s="1">
        <f>DATE(2012,5,1) + TIME(2,30,15)</f>
        <v>41030.10434027778</v>
      </c>
      <c r="C1151">
        <v>80</v>
      </c>
      <c r="D1151">
        <v>54.688270568999997</v>
      </c>
      <c r="E1151">
        <v>50</v>
      </c>
      <c r="F1151">
        <v>49.914733886999997</v>
      </c>
      <c r="G1151">
        <v>1374.6151123</v>
      </c>
      <c r="H1151">
        <v>1361.8442382999999</v>
      </c>
      <c r="I1151">
        <v>1305.6638184000001</v>
      </c>
      <c r="J1151">
        <v>1294.9439697</v>
      </c>
      <c r="K1151">
        <v>1375</v>
      </c>
      <c r="L1151">
        <v>0</v>
      </c>
      <c r="M1151">
        <v>0</v>
      </c>
      <c r="N1151">
        <v>1375</v>
      </c>
    </row>
    <row r="1152" spans="1:14" x14ac:dyDescent="0.25">
      <c r="A1152">
        <v>731.14293899999996</v>
      </c>
      <c r="B1152" s="1">
        <f>DATE(2012,5,1) + TIME(3,25,49)</f>
        <v>41030.142928240741</v>
      </c>
      <c r="C1152">
        <v>80</v>
      </c>
      <c r="D1152">
        <v>55.504550934000001</v>
      </c>
      <c r="E1152">
        <v>50</v>
      </c>
      <c r="F1152">
        <v>49.908756255999997</v>
      </c>
      <c r="G1152">
        <v>1374.7517089999999</v>
      </c>
      <c r="H1152">
        <v>1362.1309814000001</v>
      </c>
      <c r="I1152">
        <v>1305.5281981999999</v>
      </c>
      <c r="J1152">
        <v>1294.8073730000001</v>
      </c>
      <c r="K1152">
        <v>1375</v>
      </c>
      <c r="L1152">
        <v>0</v>
      </c>
      <c r="M1152">
        <v>0</v>
      </c>
      <c r="N1152">
        <v>1375</v>
      </c>
    </row>
    <row r="1153" spans="1:14" x14ac:dyDescent="0.25">
      <c r="A1153">
        <v>731.18232</v>
      </c>
      <c r="B1153" s="1">
        <f>DATE(2012,5,1) + TIME(4,22,32)</f>
        <v>41030.182314814818</v>
      </c>
      <c r="C1153">
        <v>80</v>
      </c>
      <c r="D1153">
        <v>56.311141968000001</v>
      </c>
      <c r="E1153">
        <v>50</v>
      </c>
      <c r="F1153">
        <v>49.902721405000001</v>
      </c>
      <c r="G1153">
        <v>1374.6704102000001</v>
      </c>
      <c r="H1153">
        <v>1362.1953125</v>
      </c>
      <c r="I1153">
        <v>1305.5136719</v>
      </c>
      <c r="J1153">
        <v>1294.7923584</v>
      </c>
      <c r="K1153">
        <v>1375</v>
      </c>
      <c r="L1153">
        <v>0</v>
      </c>
      <c r="M1153">
        <v>0</v>
      </c>
      <c r="N1153">
        <v>1375</v>
      </c>
    </row>
    <row r="1154" spans="1:14" x14ac:dyDescent="0.25">
      <c r="A1154">
        <v>731.22252500000002</v>
      </c>
      <c r="B1154" s="1">
        <f>DATE(2012,5,1) + TIME(5,20,26)</f>
        <v>41030.22252314815</v>
      </c>
      <c r="C1154">
        <v>80</v>
      </c>
      <c r="D1154">
        <v>57.107929230000003</v>
      </c>
      <c r="E1154">
        <v>50</v>
      </c>
      <c r="F1154">
        <v>49.896614075000002</v>
      </c>
      <c r="G1154">
        <v>1374.5147704999999</v>
      </c>
      <c r="H1154">
        <v>1362.1798096</v>
      </c>
      <c r="I1154">
        <v>1305.5228271000001</v>
      </c>
      <c r="J1154">
        <v>1294.8010254000001</v>
      </c>
      <c r="K1154">
        <v>1375</v>
      </c>
      <c r="L1154">
        <v>0</v>
      </c>
      <c r="M1154">
        <v>0</v>
      </c>
      <c r="N1154">
        <v>1375</v>
      </c>
    </row>
    <row r="1155" spans="1:14" x14ac:dyDescent="0.25">
      <c r="A1155">
        <v>731.26354800000001</v>
      </c>
      <c r="B1155" s="1">
        <f>DATE(2012,5,1) + TIME(6,19,30)</f>
        <v>41030.263541666667</v>
      </c>
      <c r="C1155">
        <v>80</v>
      </c>
      <c r="D1155">
        <v>57.894054412999999</v>
      </c>
      <c r="E1155">
        <v>50</v>
      </c>
      <c r="F1155">
        <v>49.890438080000003</v>
      </c>
      <c r="G1155">
        <v>1374.3354492000001</v>
      </c>
      <c r="H1155">
        <v>1362.1348877</v>
      </c>
      <c r="I1155">
        <v>1305.5324707</v>
      </c>
      <c r="J1155">
        <v>1294.8103027</v>
      </c>
      <c r="K1155">
        <v>1375</v>
      </c>
      <c r="L1155">
        <v>0</v>
      </c>
      <c r="M1155">
        <v>0</v>
      </c>
      <c r="N1155">
        <v>1375</v>
      </c>
    </row>
    <row r="1156" spans="1:14" x14ac:dyDescent="0.25">
      <c r="A1156">
        <v>731.30541400000004</v>
      </c>
      <c r="B1156" s="1">
        <f>DATE(2012,5,1) + TIME(7,19,47)</f>
        <v>41030.305405092593</v>
      </c>
      <c r="C1156">
        <v>80</v>
      </c>
      <c r="D1156">
        <v>58.669258118000002</v>
      </c>
      <c r="E1156">
        <v>50</v>
      </c>
      <c r="F1156">
        <v>49.884185791</v>
      </c>
      <c r="G1156">
        <v>1374.1511230000001</v>
      </c>
      <c r="H1156">
        <v>1362.0797118999999</v>
      </c>
      <c r="I1156">
        <v>1305.5386963000001</v>
      </c>
      <c r="J1156">
        <v>1294.8160399999999</v>
      </c>
      <c r="K1156">
        <v>1375</v>
      </c>
      <c r="L1156">
        <v>0</v>
      </c>
      <c r="M1156">
        <v>0</v>
      </c>
      <c r="N1156">
        <v>1375</v>
      </c>
    </row>
    <row r="1157" spans="1:14" x14ac:dyDescent="0.25">
      <c r="A1157">
        <v>731.34816499999999</v>
      </c>
      <c r="B1157" s="1">
        <f>DATE(2012,5,1) + TIME(8,21,21)</f>
        <v>41030.34815972222</v>
      </c>
      <c r="C1157">
        <v>80</v>
      </c>
      <c r="D1157">
        <v>59.433555603000002</v>
      </c>
      <c r="E1157">
        <v>50</v>
      </c>
      <c r="F1157">
        <v>49.877861023000001</v>
      </c>
      <c r="G1157">
        <v>1373.9689940999999</v>
      </c>
      <c r="H1157">
        <v>1362.0217285000001</v>
      </c>
      <c r="I1157">
        <v>1305.5422363</v>
      </c>
      <c r="J1157">
        <v>1294.8192139</v>
      </c>
      <c r="K1157">
        <v>1375</v>
      </c>
      <c r="L1157">
        <v>0</v>
      </c>
      <c r="M1157">
        <v>0</v>
      </c>
      <c r="N1157">
        <v>1375</v>
      </c>
    </row>
    <row r="1158" spans="1:14" x14ac:dyDescent="0.25">
      <c r="A1158">
        <v>731.39184599999999</v>
      </c>
      <c r="B1158" s="1">
        <f>DATE(2012,5,1) + TIME(9,24,15)</f>
        <v>41030.391840277778</v>
      </c>
      <c r="C1158">
        <v>80</v>
      </c>
      <c r="D1158">
        <v>60.186813354000002</v>
      </c>
      <c r="E1158">
        <v>50</v>
      </c>
      <c r="F1158">
        <v>49.871448516999997</v>
      </c>
      <c r="G1158">
        <v>1373.7922363</v>
      </c>
      <c r="H1158">
        <v>1361.9639893000001</v>
      </c>
      <c r="I1158">
        <v>1305.5440673999999</v>
      </c>
      <c r="J1158">
        <v>1294.8206786999999</v>
      </c>
      <c r="K1158">
        <v>1375</v>
      </c>
      <c r="L1158">
        <v>0</v>
      </c>
      <c r="M1158">
        <v>0</v>
      </c>
      <c r="N1158">
        <v>1375</v>
      </c>
    </row>
    <row r="1159" spans="1:14" x14ac:dyDescent="0.25">
      <c r="A1159">
        <v>731.43650500000001</v>
      </c>
      <c r="B1159" s="1">
        <f>DATE(2012,5,1) + TIME(10,28,34)</f>
        <v>41030.43650462963</v>
      </c>
      <c r="C1159">
        <v>80</v>
      </c>
      <c r="D1159">
        <v>60.92874527</v>
      </c>
      <c r="E1159">
        <v>50</v>
      </c>
      <c r="F1159">
        <v>49.864952086999999</v>
      </c>
      <c r="G1159">
        <v>1373.6217041</v>
      </c>
      <c r="H1159">
        <v>1361.9077147999999</v>
      </c>
      <c r="I1159">
        <v>1305.5449219</v>
      </c>
      <c r="J1159">
        <v>1294.8211670000001</v>
      </c>
      <c r="K1159">
        <v>1375</v>
      </c>
      <c r="L1159">
        <v>0</v>
      </c>
      <c r="M1159">
        <v>0</v>
      </c>
      <c r="N1159">
        <v>1375</v>
      </c>
    </row>
    <row r="1160" spans="1:14" x14ac:dyDescent="0.25">
      <c r="A1160">
        <v>731.48219300000005</v>
      </c>
      <c r="B1160" s="1">
        <f>DATE(2012,5,1) + TIME(11,34,21)</f>
        <v>41030.482187499998</v>
      </c>
      <c r="C1160">
        <v>80</v>
      </c>
      <c r="D1160">
        <v>61.659713744999998</v>
      </c>
      <c r="E1160">
        <v>50</v>
      </c>
      <c r="F1160">
        <v>49.858364105</v>
      </c>
      <c r="G1160">
        <v>1373.4577637</v>
      </c>
      <c r="H1160">
        <v>1361.8535156</v>
      </c>
      <c r="I1160">
        <v>1305.5454102000001</v>
      </c>
      <c r="J1160">
        <v>1294.8210449000001</v>
      </c>
      <c r="K1160">
        <v>1375</v>
      </c>
      <c r="L1160">
        <v>0</v>
      </c>
      <c r="M1160">
        <v>0</v>
      </c>
      <c r="N1160">
        <v>1375</v>
      </c>
    </row>
    <row r="1161" spans="1:14" x14ac:dyDescent="0.25">
      <c r="A1161">
        <v>731.52896499999997</v>
      </c>
      <c r="B1161" s="1">
        <f>DATE(2012,5,1) + TIME(12,41,42)</f>
        <v>41030.528958333336</v>
      </c>
      <c r="C1161">
        <v>80</v>
      </c>
      <c r="D1161">
        <v>62.379676818999997</v>
      </c>
      <c r="E1161">
        <v>50</v>
      </c>
      <c r="F1161">
        <v>49.851680756</v>
      </c>
      <c r="G1161">
        <v>1373.300293</v>
      </c>
      <c r="H1161">
        <v>1361.8013916</v>
      </c>
      <c r="I1161">
        <v>1305.5455322</v>
      </c>
      <c r="J1161">
        <v>1294.8208007999999</v>
      </c>
      <c r="K1161">
        <v>1375</v>
      </c>
      <c r="L1161">
        <v>0</v>
      </c>
      <c r="M1161">
        <v>0</v>
      </c>
      <c r="N1161">
        <v>1375</v>
      </c>
    </row>
    <row r="1162" spans="1:14" x14ac:dyDescent="0.25">
      <c r="A1162">
        <v>731.57685900000001</v>
      </c>
      <c r="B1162" s="1">
        <f>DATE(2012,5,1) + TIME(13,50,40)</f>
        <v>41030.576851851853</v>
      </c>
      <c r="C1162">
        <v>80</v>
      </c>
      <c r="D1162">
        <v>63.088279724000003</v>
      </c>
      <c r="E1162">
        <v>50</v>
      </c>
      <c r="F1162">
        <v>49.844894408999998</v>
      </c>
      <c r="G1162">
        <v>1373.1492920000001</v>
      </c>
      <c r="H1162">
        <v>1361.7515868999999</v>
      </c>
      <c r="I1162">
        <v>1305.5455322</v>
      </c>
      <c r="J1162">
        <v>1294.8203125</v>
      </c>
      <c r="K1162">
        <v>1375</v>
      </c>
      <c r="L1162">
        <v>0</v>
      </c>
      <c r="M1162">
        <v>0</v>
      </c>
      <c r="N1162">
        <v>1375</v>
      </c>
    </row>
    <row r="1163" spans="1:14" x14ac:dyDescent="0.25">
      <c r="A1163">
        <v>731.62593400000003</v>
      </c>
      <c r="B1163" s="1">
        <f>DATE(2012,5,1) + TIME(15,1,20)</f>
        <v>41030.625925925924</v>
      </c>
      <c r="C1163">
        <v>80</v>
      </c>
      <c r="D1163">
        <v>63.785427093999999</v>
      </c>
      <c r="E1163">
        <v>50</v>
      </c>
      <c r="F1163">
        <v>49.838005066000001</v>
      </c>
      <c r="G1163">
        <v>1373.0043945</v>
      </c>
      <c r="H1163">
        <v>1361.7039795000001</v>
      </c>
      <c r="I1163">
        <v>1305.5454102000001</v>
      </c>
      <c r="J1163">
        <v>1294.8198242000001</v>
      </c>
      <c r="K1163">
        <v>1375</v>
      </c>
      <c r="L1163">
        <v>0</v>
      </c>
      <c r="M1163">
        <v>0</v>
      </c>
      <c r="N1163">
        <v>1375</v>
      </c>
    </row>
    <row r="1164" spans="1:14" x14ac:dyDescent="0.25">
      <c r="A1164">
        <v>731.67624499999999</v>
      </c>
      <c r="B1164" s="1">
        <f>DATE(2012,5,1) + TIME(16,13,47)</f>
        <v>41030.676238425927</v>
      </c>
      <c r="C1164">
        <v>80</v>
      </c>
      <c r="D1164">
        <v>64.470916747999993</v>
      </c>
      <c r="E1164">
        <v>50</v>
      </c>
      <c r="F1164">
        <v>49.831001282000003</v>
      </c>
      <c r="G1164">
        <v>1372.8653564000001</v>
      </c>
      <c r="H1164">
        <v>1361.6582031</v>
      </c>
      <c r="I1164">
        <v>1305.5451660000001</v>
      </c>
      <c r="J1164">
        <v>1294.8192139</v>
      </c>
      <c r="K1164">
        <v>1375</v>
      </c>
      <c r="L1164">
        <v>0</v>
      </c>
      <c r="M1164">
        <v>0</v>
      </c>
      <c r="N1164">
        <v>1375</v>
      </c>
    </row>
    <row r="1165" spans="1:14" x14ac:dyDescent="0.25">
      <c r="A1165">
        <v>731.72787000000005</v>
      </c>
      <c r="B1165" s="1">
        <f>DATE(2012,5,1) + TIME(17,28,7)</f>
        <v>41030.727858796294</v>
      </c>
      <c r="C1165">
        <v>80</v>
      </c>
      <c r="D1165">
        <v>65.144798279</v>
      </c>
      <c r="E1165">
        <v>50</v>
      </c>
      <c r="F1165">
        <v>49.823883057000003</v>
      </c>
      <c r="G1165">
        <v>1372.7319336</v>
      </c>
      <c r="H1165">
        <v>1361.6145019999999</v>
      </c>
      <c r="I1165">
        <v>1305.5449219</v>
      </c>
      <c r="J1165">
        <v>1294.8184814000001</v>
      </c>
      <c r="K1165">
        <v>1375</v>
      </c>
      <c r="L1165">
        <v>0</v>
      </c>
      <c r="M1165">
        <v>0</v>
      </c>
      <c r="N1165">
        <v>1375</v>
      </c>
    </row>
    <row r="1166" spans="1:14" x14ac:dyDescent="0.25">
      <c r="A1166">
        <v>731.780888</v>
      </c>
      <c r="B1166" s="1">
        <f>DATE(2012,5,1) + TIME(18,44,28)</f>
        <v>41030.78087962963</v>
      </c>
      <c r="C1166">
        <v>80</v>
      </c>
      <c r="D1166">
        <v>65.807083129999995</v>
      </c>
      <c r="E1166">
        <v>50</v>
      </c>
      <c r="F1166">
        <v>49.816635132000002</v>
      </c>
      <c r="G1166">
        <v>1372.6037598</v>
      </c>
      <c r="H1166">
        <v>1361.5725098</v>
      </c>
      <c r="I1166">
        <v>1305.5446777</v>
      </c>
      <c r="J1166">
        <v>1294.817749</v>
      </c>
      <c r="K1166">
        <v>1375</v>
      </c>
      <c r="L1166">
        <v>0</v>
      </c>
      <c r="M1166">
        <v>0</v>
      </c>
      <c r="N1166">
        <v>1375</v>
      </c>
    </row>
    <row r="1167" spans="1:14" x14ac:dyDescent="0.25">
      <c r="A1167">
        <v>731.83537899999999</v>
      </c>
      <c r="B1167" s="1">
        <f>DATE(2012,5,1) + TIME(20,2,56)</f>
        <v>41030.835370370369</v>
      </c>
      <c r="C1167">
        <v>80</v>
      </c>
      <c r="D1167">
        <v>66.457511901999993</v>
      </c>
      <c r="E1167">
        <v>50</v>
      </c>
      <c r="F1167">
        <v>49.809257506999998</v>
      </c>
      <c r="G1167">
        <v>1372.4807129000001</v>
      </c>
      <c r="H1167">
        <v>1361.5321045000001</v>
      </c>
      <c r="I1167">
        <v>1305.5443115</v>
      </c>
      <c r="J1167">
        <v>1294.8168945</v>
      </c>
      <c r="K1167">
        <v>1375</v>
      </c>
      <c r="L1167">
        <v>0</v>
      </c>
      <c r="M1167">
        <v>0</v>
      </c>
      <c r="N1167">
        <v>1375</v>
      </c>
    </row>
    <row r="1168" spans="1:14" x14ac:dyDescent="0.25">
      <c r="A1168">
        <v>731.89143100000001</v>
      </c>
      <c r="B1168" s="1">
        <f>DATE(2012,5,1) + TIME(21,23,39)</f>
        <v>41030.891423611109</v>
      </c>
      <c r="C1168">
        <v>80</v>
      </c>
      <c r="D1168">
        <v>67.095947265999996</v>
      </c>
      <c r="E1168">
        <v>50</v>
      </c>
      <c r="F1168">
        <v>49.801734924000002</v>
      </c>
      <c r="G1168">
        <v>1372.3624268000001</v>
      </c>
      <c r="H1168">
        <v>1361.4931641000001</v>
      </c>
      <c r="I1168">
        <v>1305.5439452999999</v>
      </c>
      <c r="J1168">
        <v>1294.8160399999999</v>
      </c>
      <c r="K1168">
        <v>1375</v>
      </c>
      <c r="L1168">
        <v>0</v>
      </c>
      <c r="M1168">
        <v>0</v>
      </c>
      <c r="N1168">
        <v>1375</v>
      </c>
    </row>
    <row r="1169" spans="1:14" x14ac:dyDescent="0.25">
      <c r="A1169">
        <v>731.94914100000005</v>
      </c>
      <c r="B1169" s="1">
        <f>DATE(2012,5,1) + TIME(22,46,45)</f>
        <v>41030.949131944442</v>
      </c>
      <c r="C1169">
        <v>80</v>
      </c>
      <c r="D1169">
        <v>67.722229003999999</v>
      </c>
      <c r="E1169">
        <v>50</v>
      </c>
      <c r="F1169">
        <v>49.794063567999999</v>
      </c>
      <c r="G1169">
        <v>1372.2486572</v>
      </c>
      <c r="H1169">
        <v>1361.4556885</v>
      </c>
      <c r="I1169">
        <v>1305.5435791</v>
      </c>
      <c r="J1169">
        <v>1294.8151855000001</v>
      </c>
      <c r="K1169">
        <v>1375</v>
      </c>
      <c r="L1169">
        <v>0</v>
      </c>
      <c r="M1169">
        <v>0</v>
      </c>
      <c r="N1169">
        <v>1375</v>
      </c>
    </row>
    <row r="1170" spans="1:14" x14ac:dyDescent="0.25">
      <c r="A1170">
        <v>732.00861299999997</v>
      </c>
      <c r="B1170" s="1">
        <f>DATE(2012,5,2) + TIME(0,12,24)</f>
        <v>41031.008611111109</v>
      </c>
      <c r="C1170">
        <v>80</v>
      </c>
      <c r="D1170">
        <v>68.336181640999996</v>
      </c>
      <c r="E1170">
        <v>50</v>
      </c>
      <c r="F1170">
        <v>49.786231995000001</v>
      </c>
      <c r="G1170">
        <v>1372.1391602000001</v>
      </c>
      <c r="H1170">
        <v>1361.4194336</v>
      </c>
      <c r="I1170">
        <v>1305.5430908000001</v>
      </c>
      <c r="J1170">
        <v>1294.8142089999999</v>
      </c>
      <c r="K1170">
        <v>1375</v>
      </c>
      <c r="L1170">
        <v>0</v>
      </c>
      <c r="M1170">
        <v>0</v>
      </c>
      <c r="N1170">
        <v>1375</v>
      </c>
    </row>
    <row r="1171" spans="1:14" x14ac:dyDescent="0.25">
      <c r="A1171">
        <v>732.06995700000004</v>
      </c>
      <c r="B1171" s="1">
        <f>DATE(2012,5,2) + TIME(1,40,44)</f>
        <v>41031.069953703707</v>
      </c>
      <c r="C1171">
        <v>80</v>
      </c>
      <c r="D1171">
        <v>68.937614440999994</v>
      </c>
      <c r="E1171">
        <v>50</v>
      </c>
      <c r="F1171">
        <v>49.778228759999998</v>
      </c>
      <c r="G1171">
        <v>1372.0336914</v>
      </c>
      <c r="H1171">
        <v>1361.3842772999999</v>
      </c>
      <c r="I1171">
        <v>1305.5426024999999</v>
      </c>
      <c r="J1171">
        <v>1294.8132324000001</v>
      </c>
      <c r="K1171">
        <v>1375</v>
      </c>
      <c r="L1171">
        <v>0</v>
      </c>
      <c r="M1171">
        <v>0</v>
      </c>
      <c r="N1171">
        <v>1375</v>
      </c>
    </row>
    <row r="1172" spans="1:14" x14ac:dyDescent="0.25">
      <c r="A1172">
        <v>732.13329799999997</v>
      </c>
      <c r="B1172" s="1">
        <f>DATE(2012,5,2) + TIME(3,11,56)</f>
        <v>41031.133287037039</v>
      </c>
      <c r="C1172">
        <v>80</v>
      </c>
      <c r="D1172">
        <v>69.526306152000004</v>
      </c>
      <c r="E1172">
        <v>50</v>
      </c>
      <c r="F1172">
        <v>49.770042418999999</v>
      </c>
      <c r="G1172">
        <v>1371.9321289</v>
      </c>
      <c r="H1172">
        <v>1361.3502197</v>
      </c>
      <c r="I1172">
        <v>1305.5419922000001</v>
      </c>
      <c r="J1172">
        <v>1294.8121338000001</v>
      </c>
      <c r="K1172">
        <v>1375</v>
      </c>
      <c r="L1172">
        <v>0</v>
      </c>
      <c r="M1172">
        <v>0</v>
      </c>
      <c r="N1172">
        <v>1375</v>
      </c>
    </row>
    <row r="1173" spans="1:14" x14ac:dyDescent="0.25">
      <c r="A1173">
        <v>732.19876899999997</v>
      </c>
      <c r="B1173" s="1">
        <f>DATE(2012,5,2) + TIME(4,46,13)</f>
        <v>41031.198761574073</v>
      </c>
      <c r="C1173">
        <v>80</v>
      </c>
      <c r="D1173">
        <v>70.101966857999997</v>
      </c>
      <c r="E1173">
        <v>50</v>
      </c>
      <c r="F1173">
        <v>49.761665344000001</v>
      </c>
      <c r="G1173">
        <v>1371.8341064000001</v>
      </c>
      <c r="H1173">
        <v>1361.3168945</v>
      </c>
      <c r="I1173">
        <v>1305.5413818</v>
      </c>
      <c r="J1173">
        <v>1294.8110352000001</v>
      </c>
      <c r="K1173">
        <v>1375</v>
      </c>
      <c r="L1173">
        <v>0</v>
      </c>
      <c r="M1173">
        <v>0</v>
      </c>
      <c r="N1173">
        <v>1375</v>
      </c>
    </row>
    <row r="1174" spans="1:14" x14ac:dyDescent="0.25">
      <c r="A1174">
        <v>732.26653699999997</v>
      </c>
      <c r="B1174" s="1">
        <f>DATE(2012,5,2) + TIME(6,23,48)</f>
        <v>41031.266527777778</v>
      </c>
      <c r="C1174">
        <v>80</v>
      </c>
      <c r="D1174">
        <v>70.664230347</v>
      </c>
      <c r="E1174">
        <v>50</v>
      </c>
      <c r="F1174">
        <v>49.753074646000002</v>
      </c>
      <c r="G1174">
        <v>1371.7395019999999</v>
      </c>
      <c r="H1174">
        <v>1361.2844238</v>
      </c>
      <c r="I1174">
        <v>1305.5407714999999</v>
      </c>
      <c r="J1174">
        <v>1294.8098144999999</v>
      </c>
      <c r="K1174">
        <v>1375</v>
      </c>
      <c r="L1174">
        <v>0</v>
      </c>
      <c r="M1174">
        <v>0</v>
      </c>
      <c r="N1174">
        <v>1375</v>
      </c>
    </row>
    <row r="1175" spans="1:14" x14ac:dyDescent="0.25">
      <c r="A1175">
        <v>732.33675900000003</v>
      </c>
      <c r="B1175" s="1">
        <f>DATE(2012,5,2) + TIME(8,4,55)</f>
        <v>41031.336747685185</v>
      </c>
      <c r="C1175">
        <v>80</v>
      </c>
      <c r="D1175">
        <v>71.213119507000002</v>
      </c>
      <c r="E1175">
        <v>50</v>
      </c>
      <c r="F1175">
        <v>49.744258881</v>
      </c>
      <c r="G1175">
        <v>1371.6480713000001</v>
      </c>
      <c r="H1175">
        <v>1361.2525635</v>
      </c>
      <c r="I1175">
        <v>1305.5401611</v>
      </c>
      <c r="J1175">
        <v>1294.8085937999999</v>
      </c>
      <c r="K1175">
        <v>1375</v>
      </c>
      <c r="L1175">
        <v>0</v>
      </c>
      <c r="M1175">
        <v>0</v>
      </c>
      <c r="N1175">
        <v>1375</v>
      </c>
    </row>
    <row r="1176" spans="1:14" x14ac:dyDescent="0.25">
      <c r="A1176">
        <v>732.40960099999995</v>
      </c>
      <c r="B1176" s="1">
        <f>DATE(2012,5,2) + TIME(9,49,49)</f>
        <v>41031.409594907411</v>
      </c>
      <c r="C1176">
        <v>80</v>
      </c>
      <c r="D1176">
        <v>71.748275757000002</v>
      </c>
      <c r="E1176">
        <v>50</v>
      </c>
      <c r="F1176">
        <v>49.735206603999998</v>
      </c>
      <c r="G1176">
        <v>1371.5595702999999</v>
      </c>
      <c r="H1176">
        <v>1361.2211914</v>
      </c>
      <c r="I1176">
        <v>1305.5394286999999</v>
      </c>
      <c r="J1176">
        <v>1294.8073730000001</v>
      </c>
      <c r="K1176">
        <v>1375</v>
      </c>
      <c r="L1176">
        <v>0</v>
      </c>
      <c r="M1176">
        <v>0</v>
      </c>
      <c r="N1176">
        <v>1375</v>
      </c>
    </row>
    <row r="1177" spans="1:14" x14ac:dyDescent="0.25">
      <c r="A1177">
        <v>732.48526100000004</v>
      </c>
      <c r="B1177" s="1">
        <f>DATE(2012,5,2) + TIME(11,38,46)</f>
        <v>41031.485254629632</v>
      </c>
      <c r="C1177">
        <v>80</v>
      </c>
      <c r="D1177">
        <v>72.269393921000002</v>
      </c>
      <c r="E1177">
        <v>50</v>
      </c>
      <c r="F1177">
        <v>49.725894928000002</v>
      </c>
      <c r="G1177">
        <v>1371.4738769999999</v>
      </c>
      <c r="H1177">
        <v>1361.1903076000001</v>
      </c>
      <c r="I1177">
        <v>1305.5385742000001</v>
      </c>
      <c r="J1177">
        <v>1294.8060303</v>
      </c>
      <c r="K1177">
        <v>1375</v>
      </c>
      <c r="L1177">
        <v>0</v>
      </c>
      <c r="M1177">
        <v>0</v>
      </c>
      <c r="N1177">
        <v>1375</v>
      </c>
    </row>
    <row r="1178" spans="1:14" x14ac:dyDescent="0.25">
      <c r="A1178">
        <v>732.56395799999996</v>
      </c>
      <c r="B1178" s="1">
        <f>DATE(2012,5,2) + TIME(13,32,5)</f>
        <v>41031.563946759263</v>
      </c>
      <c r="C1178">
        <v>80</v>
      </c>
      <c r="D1178">
        <v>72.776199340999995</v>
      </c>
      <c r="E1178">
        <v>50</v>
      </c>
      <c r="F1178">
        <v>49.716308593999997</v>
      </c>
      <c r="G1178">
        <v>1371.3907471</v>
      </c>
      <c r="H1178">
        <v>1361.1595459</v>
      </c>
      <c r="I1178">
        <v>1305.5378418</v>
      </c>
      <c r="J1178">
        <v>1294.8045654</v>
      </c>
      <c r="K1178">
        <v>1375</v>
      </c>
      <c r="L1178">
        <v>0</v>
      </c>
      <c r="M1178">
        <v>0</v>
      </c>
      <c r="N1178">
        <v>1375</v>
      </c>
    </row>
    <row r="1179" spans="1:14" x14ac:dyDescent="0.25">
      <c r="A1179">
        <v>732.64593400000001</v>
      </c>
      <c r="B1179" s="1">
        <f>DATE(2012,5,2) + TIME(15,30,8)</f>
        <v>41031.645925925928</v>
      </c>
      <c r="C1179">
        <v>80</v>
      </c>
      <c r="D1179">
        <v>73.268356323000006</v>
      </c>
      <c r="E1179">
        <v>50</v>
      </c>
      <c r="F1179">
        <v>49.706424712999997</v>
      </c>
      <c r="G1179">
        <v>1371.3100586</v>
      </c>
      <c r="H1179">
        <v>1361.1290283000001</v>
      </c>
      <c r="I1179">
        <v>1305.5369873</v>
      </c>
      <c r="J1179">
        <v>1294.8032227000001</v>
      </c>
      <c r="K1179">
        <v>1375</v>
      </c>
      <c r="L1179">
        <v>0</v>
      </c>
      <c r="M1179">
        <v>0</v>
      </c>
      <c r="N1179">
        <v>1375</v>
      </c>
    </row>
    <row r="1180" spans="1:14" x14ac:dyDescent="0.25">
      <c r="A1180">
        <v>732.73146099999997</v>
      </c>
      <c r="B1180" s="1">
        <f>DATE(2012,5,2) + TIME(17,33,18)</f>
        <v>41031.731458333335</v>
      </c>
      <c r="C1180">
        <v>80</v>
      </c>
      <c r="D1180">
        <v>73.745559692</v>
      </c>
      <c r="E1180">
        <v>50</v>
      </c>
      <c r="F1180">
        <v>49.696220398000001</v>
      </c>
      <c r="G1180">
        <v>1371.2314452999999</v>
      </c>
      <c r="H1180">
        <v>1361.0985106999999</v>
      </c>
      <c r="I1180">
        <v>1305.5360106999999</v>
      </c>
      <c r="J1180">
        <v>1294.8016356999999</v>
      </c>
      <c r="K1180">
        <v>1375</v>
      </c>
      <c r="L1180">
        <v>0</v>
      </c>
      <c r="M1180">
        <v>0</v>
      </c>
      <c r="N1180">
        <v>1375</v>
      </c>
    </row>
    <row r="1181" spans="1:14" x14ac:dyDescent="0.25">
      <c r="A1181">
        <v>732.82084599999996</v>
      </c>
      <c r="B1181" s="1">
        <f>DATE(2012,5,2) + TIME(19,42,1)</f>
        <v>41031.820844907408</v>
      </c>
      <c r="C1181">
        <v>80</v>
      </c>
      <c r="D1181">
        <v>74.207466124999996</v>
      </c>
      <c r="E1181">
        <v>50</v>
      </c>
      <c r="F1181">
        <v>49.685665131</v>
      </c>
      <c r="G1181">
        <v>1371.1547852000001</v>
      </c>
      <c r="H1181">
        <v>1361.067749</v>
      </c>
      <c r="I1181">
        <v>1305.5350341999999</v>
      </c>
      <c r="J1181">
        <v>1294.8000488</v>
      </c>
      <c r="K1181">
        <v>1375</v>
      </c>
      <c r="L1181">
        <v>0</v>
      </c>
      <c r="M1181">
        <v>0</v>
      </c>
      <c r="N1181">
        <v>1375</v>
      </c>
    </row>
    <row r="1182" spans="1:14" x14ac:dyDescent="0.25">
      <c r="A1182">
        <v>732.91443200000003</v>
      </c>
      <c r="B1182" s="1">
        <f>DATE(2012,5,2) + TIME(21,56,46)</f>
        <v>41031.914421296293</v>
      </c>
      <c r="C1182">
        <v>80</v>
      </c>
      <c r="D1182">
        <v>74.653739928999997</v>
      </c>
      <c r="E1182">
        <v>50</v>
      </c>
      <c r="F1182">
        <v>49.674732208000002</v>
      </c>
      <c r="G1182">
        <v>1371.0798339999999</v>
      </c>
      <c r="H1182">
        <v>1361.0368652</v>
      </c>
      <c r="I1182">
        <v>1305.5340576000001</v>
      </c>
      <c r="J1182">
        <v>1294.7984618999999</v>
      </c>
      <c r="K1182">
        <v>1375</v>
      </c>
      <c r="L1182">
        <v>0</v>
      </c>
      <c r="M1182">
        <v>0</v>
      </c>
      <c r="N1182">
        <v>1375</v>
      </c>
    </row>
    <row r="1183" spans="1:14" x14ac:dyDescent="0.25">
      <c r="A1183">
        <v>733.012609</v>
      </c>
      <c r="B1183" s="1">
        <f>DATE(2012,5,3) + TIME(0,18,9)</f>
        <v>41032.012604166666</v>
      </c>
      <c r="C1183">
        <v>80</v>
      </c>
      <c r="D1183">
        <v>75.083961486999996</v>
      </c>
      <c r="E1183">
        <v>50</v>
      </c>
      <c r="F1183">
        <v>49.663383484000001</v>
      </c>
      <c r="G1183">
        <v>1371.0065918</v>
      </c>
      <c r="H1183">
        <v>1361.0054932</v>
      </c>
      <c r="I1183">
        <v>1305.5329589999999</v>
      </c>
      <c r="J1183">
        <v>1294.7966309000001</v>
      </c>
      <c r="K1183">
        <v>1375</v>
      </c>
      <c r="L1183">
        <v>0</v>
      </c>
      <c r="M1183">
        <v>0</v>
      </c>
      <c r="N1183">
        <v>1375</v>
      </c>
    </row>
    <row r="1184" spans="1:14" x14ac:dyDescent="0.25">
      <c r="A1184">
        <v>733.11583399999995</v>
      </c>
      <c r="B1184" s="1">
        <f>DATE(2012,5,3) + TIME(2,46,48)</f>
        <v>41032.115833333337</v>
      </c>
      <c r="C1184">
        <v>80</v>
      </c>
      <c r="D1184">
        <v>75.497612000000004</v>
      </c>
      <c r="E1184">
        <v>50</v>
      </c>
      <c r="F1184">
        <v>49.651584624999998</v>
      </c>
      <c r="G1184">
        <v>1370.9345702999999</v>
      </c>
      <c r="H1184">
        <v>1360.9735106999999</v>
      </c>
      <c r="I1184">
        <v>1305.5318603999999</v>
      </c>
      <c r="J1184">
        <v>1294.7947998</v>
      </c>
      <c r="K1184">
        <v>1375</v>
      </c>
      <c r="L1184">
        <v>0</v>
      </c>
      <c r="M1184">
        <v>0</v>
      </c>
      <c r="N1184">
        <v>1375</v>
      </c>
    </row>
    <row r="1185" spans="1:14" x14ac:dyDescent="0.25">
      <c r="A1185">
        <v>733.22467300000005</v>
      </c>
      <c r="B1185" s="1">
        <f>DATE(2012,5,3) + TIME(5,23,31)</f>
        <v>41032.224664351852</v>
      </c>
      <c r="C1185">
        <v>80</v>
      </c>
      <c r="D1185">
        <v>75.894767760999997</v>
      </c>
      <c r="E1185">
        <v>50</v>
      </c>
      <c r="F1185">
        <v>49.639282227000002</v>
      </c>
      <c r="G1185">
        <v>1370.8635254000001</v>
      </c>
      <c r="H1185">
        <v>1360.9407959</v>
      </c>
      <c r="I1185">
        <v>1305.5306396000001</v>
      </c>
      <c r="J1185">
        <v>1294.7929687999999</v>
      </c>
      <c r="K1185">
        <v>1375</v>
      </c>
      <c r="L1185">
        <v>0</v>
      </c>
      <c r="M1185">
        <v>0</v>
      </c>
      <c r="N1185">
        <v>1375</v>
      </c>
    </row>
    <row r="1186" spans="1:14" x14ac:dyDescent="0.25">
      <c r="A1186">
        <v>733.33965799999999</v>
      </c>
      <c r="B1186" s="1">
        <f>DATE(2012,5,3) + TIME(8,9,6)</f>
        <v>41032.33965277778</v>
      </c>
      <c r="C1186">
        <v>80</v>
      </c>
      <c r="D1186">
        <v>76.274818420000003</v>
      </c>
      <c r="E1186">
        <v>50</v>
      </c>
      <c r="F1186">
        <v>49.626430511000002</v>
      </c>
      <c r="G1186">
        <v>1370.793457</v>
      </c>
      <c r="H1186">
        <v>1360.9071045000001</v>
      </c>
      <c r="I1186">
        <v>1305.5294189000001</v>
      </c>
      <c r="J1186">
        <v>1294.7908935999999</v>
      </c>
      <c r="K1186">
        <v>1375</v>
      </c>
      <c r="L1186">
        <v>0</v>
      </c>
      <c r="M1186">
        <v>0</v>
      </c>
      <c r="N1186">
        <v>1375</v>
      </c>
    </row>
    <row r="1187" spans="1:14" x14ac:dyDescent="0.25">
      <c r="A1187">
        <v>733.46147299999996</v>
      </c>
      <c r="B1187" s="1">
        <f>DATE(2012,5,3) + TIME(11,4,31)</f>
        <v>41032.461469907408</v>
      </c>
      <c r="C1187">
        <v>80</v>
      </c>
      <c r="D1187">
        <v>76.637397766000007</v>
      </c>
      <c r="E1187">
        <v>50</v>
      </c>
      <c r="F1187">
        <v>49.612976074000002</v>
      </c>
      <c r="G1187">
        <v>1370.723999</v>
      </c>
      <c r="H1187">
        <v>1360.8724365</v>
      </c>
      <c r="I1187">
        <v>1305.5280762</v>
      </c>
      <c r="J1187">
        <v>1294.7888184000001</v>
      </c>
      <c r="K1187">
        <v>1375</v>
      </c>
      <c r="L1187">
        <v>0</v>
      </c>
      <c r="M1187">
        <v>0</v>
      </c>
      <c r="N1187">
        <v>1375</v>
      </c>
    </row>
    <row r="1188" spans="1:14" x14ac:dyDescent="0.25">
      <c r="A1188">
        <v>733.59091799999999</v>
      </c>
      <c r="B1188" s="1">
        <f>DATE(2012,5,3) + TIME(14,10,55)</f>
        <v>41032.590914351851</v>
      </c>
      <c r="C1188">
        <v>80</v>
      </c>
      <c r="D1188">
        <v>76.982147217000005</v>
      </c>
      <c r="E1188">
        <v>50</v>
      </c>
      <c r="F1188">
        <v>49.598846436000002</v>
      </c>
      <c r="G1188">
        <v>1370.6550293</v>
      </c>
      <c r="H1188">
        <v>1360.8364257999999</v>
      </c>
      <c r="I1188">
        <v>1305.5266113</v>
      </c>
      <c r="J1188">
        <v>1294.7866211</v>
      </c>
      <c r="K1188">
        <v>1375</v>
      </c>
      <c r="L1188">
        <v>0</v>
      </c>
      <c r="M1188">
        <v>0</v>
      </c>
      <c r="N1188">
        <v>1375</v>
      </c>
    </row>
    <row r="1189" spans="1:14" x14ac:dyDescent="0.25">
      <c r="A1189">
        <v>733.72893699999997</v>
      </c>
      <c r="B1189" s="1">
        <f>DATE(2012,5,3) + TIME(17,29,40)</f>
        <v>41032.728935185187</v>
      </c>
      <c r="C1189">
        <v>80</v>
      </c>
      <c r="D1189">
        <v>77.308708190999994</v>
      </c>
      <c r="E1189">
        <v>50</v>
      </c>
      <c r="F1189">
        <v>49.583969115999999</v>
      </c>
      <c r="G1189">
        <v>1370.5860596</v>
      </c>
      <c r="H1189">
        <v>1360.7989502</v>
      </c>
      <c r="I1189">
        <v>1305.5250243999999</v>
      </c>
      <c r="J1189">
        <v>1294.7841797000001</v>
      </c>
      <c r="K1189">
        <v>1375</v>
      </c>
      <c r="L1189">
        <v>0</v>
      </c>
      <c r="M1189">
        <v>0</v>
      </c>
      <c r="N1189">
        <v>1375</v>
      </c>
    </row>
    <row r="1190" spans="1:14" x14ac:dyDescent="0.25">
      <c r="A1190">
        <v>733.876621</v>
      </c>
      <c r="B1190" s="1">
        <f>DATE(2012,5,3) + TIME(21,2,20)</f>
        <v>41032.876620370371</v>
      </c>
      <c r="C1190">
        <v>80</v>
      </c>
      <c r="D1190">
        <v>77.616661071999999</v>
      </c>
      <c r="E1190">
        <v>50</v>
      </c>
      <c r="F1190">
        <v>49.568248748999999</v>
      </c>
      <c r="G1190">
        <v>1370.5168457</v>
      </c>
      <c r="H1190">
        <v>1360.7597656</v>
      </c>
      <c r="I1190">
        <v>1305.5234375</v>
      </c>
      <c r="J1190">
        <v>1294.7817382999999</v>
      </c>
      <c r="K1190">
        <v>1375</v>
      </c>
      <c r="L1190">
        <v>0</v>
      </c>
      <c r="M1190">
        <v>0</v>
      </c>
      <c r="N1190">
        <v>1375</v>
      </c>
    </row>
    <row r="1191" spans="1:14" x14ac:dyDescent="0.25">
      <c r="A1191">
        <v>734.03534200000001</v>
      </c>
      <c r="B1191" s="1">
        <f>DATE(2012,5,4) + TIME(0,50,53)</f>
        <v>41033.03533564815</v>
      </c>
      <c r="C1191">
        <v>80</v>
      </c>
      <c r="D1191">
        <v>77.905738830999994</v>
      </c>
      <c r="E1191">
        <v>50</v>
      </c>
      <c r="F1191">
        <v>49.551570892000001</v>
      </c>
      <c r="G1191">
        <v>1370.4471435999999</v>
      </c>
      <c r="H1191">
        <v>1360.7186279</v>
      </c>
      <c r="I1191">
        <v>1305.5216064000001</v>
      </c>
      <c r="J1191">
        <v>1294.7790527</v>
      </c>
      <c r="K1191">
        <v>1375</v>
      </c>
      <c r="L1191">
        <v>0</v>
      </c>
      <c r="M1191">
        <v>0</v>
      </c>
      <c r="N1191">
        <v>1375</v>
      </c>
    </row>
    <row r="1192" spans="1:14" x14ac:dyDescent="0.25">
      <c r="A1192">
        <v>734.20425699999998</v>
      </c>
      <c r="B1192" s="1">
        <f>DATE(2012,5,4) + TIME(4,54,7)</f>
        <v>41033.204247685186</v>
      </c>
      <c r="C1192">
        <v>80</v>
      </c>
      <c r="D1192">
        <v>78.172241210999999</v>
      </c>
      <c r="E1192">
        <v>50</v>
      </c>
      <c r="F1192">
        <v>49.534038543999998</v>
      </c>
      <c r="G1192">
        <v>1370.3775635</v>
      </c>
      <c r="H1192">
        <v>1360.6756591999999</v>
      </c>
      <c r="I1192">
        <v>1305.5197754000001</v>
      </c>
      <c r="J1192">
        <v>1294.7762451000001</v>
      </c>
      <c r="K1192">
        <v>1375</v>
      </c>
      <c r="L1192">
        <v>0</v>
      </c>
      <c r="M1192">
        <v>0</v>
      </c>
      <c r="N1192">
        <v>1375</v>
      </c>
    </row>
    <row r="1193" spans="1:14" x14ac:dyDescent="0.25">
      <c r="A1193">
        <v>734.37455999999997</v>
      </c>
      <c r="B1193" s="1">
        <f>DATE(2012,5,4) + TIME(8,59,21)</f>
        <v>41033.374548611115</v>
      </c>
      <c r="C1193">
        <v>80</v>
      </c>
      <c r="D1193">
        <v>78.404731749999996</v>
      </c>
      <c r="E1193">
        <v>50</v>
      </c>
      <c r="F1193">
        <v>49.516471863</v>
      </c>
      <c r="G1193">
        <v>1370.3114014</v>
      </c>
      <c r="H1193">
        <v>1360.6325684000001</v>
      </c>
      <c r="I1193">
        <v>1305.5175781</v>
      </c>
      <c r="J1193">
        <v>1294.7731934000001</v>
      </c>
      <c r="K1193">
        <v>1375</v>
      </c>
      <c r="L1193">
        <v>0</v>
      </c>
      <c r="M1193">
        <v>0</v>
      </c>
      <c r="N1193">
        <v>1375</v>
      </c>
    </row>
    <row r="1194" spans="1:14" x14ac:dyDescent="0.25">
      <c r="A1194">
        <v>734.54704800000002</v>
      </c>
      <c r="B1194" s="1">
        <f>DATE(2012,5,4) + TIME(13,7,44)</f>
        <v>41033.547037037039</v>
      </c>
      <c r="C1194">
        <v>80</v>
      </c>
      <c r="D1194">
        <v>78.608116150000001</v>
      </c>
      <c r="E1194">
        <v>50</v>
      </c>
      <c r="F1194">
        <v>49.498802185000002</v>
      </c>
      <c r="G1194">
        <v>1370.2474365</v>
      </c>
      <c r="H1194">
        <v>1360.5894774999999</v>
      </c>
      <c r="I1194">
        <v>1305.5155029</v>
      </c>
      <c r="J1194">
        <v>1294.7701416</v>
      </c>
      <c r="K1194">
        <v>1375</v>
      </c>
      <c r="L1194">
        <v>0</v>
      </c>
      <c r="M1194">
        <v>0</v>
      </c>
      <c r="N1194">
        <v>1375</v>
      </c>
    </row>
    <row r="1195" spans="1:14" x14ac:dyDescent="0.25">
      <c r="A1195">
        <v>734.72213599999998</v>
      </c>
      <c r="B1195" s="1">
        <f>DATE(2012,5,4) + TIME(17,19,52)</f>
        <v>41033.722129629627</v>
      </c>
      <c r="C1195">
        <v>80</v>
      </c>
      <c r="D1195">
        <v>78.786048889</v>
      </c>
      <c r="E1195">
        <v>50</v>
      </c>
      <c r="F1195">
        <v>49.480983733999999</v>
      </c>
      <c r="G1195">
        <v>1370.1853027</v>
      </c>
      <c r="H1195">
        <v>1360.5465088000001</v>
      </c>
      <c r="I1195">
        <v>1305.5133057</v>
      </c>
      <c r="J1195">
        <v>1294.7670897999999</v>
      </c>
      <c r="K1195">
        <v>1375</v>
      </c>
      <c r="L1195">
        <v>0</v>
      </c>
      <c r="M1195">
        <v>0</v>
      </c>
      <c r="N1195">
        <v>1375</v>
      </c>
    </row>
    <row r="1196" spans="1:14" x14ac:dyDescent="0.25">
      <c r="A1196">
        <v>734.89973299999997</v>
      </c>
      <c r="B1196" s="1">
        <f>DATE(2012,5,4) + TIME(21,35,36)</f>
        <v>41033.899722222224</v>
      </c>
      <c r="C1196">
        <v>80</v>
      </c>
      <c r="D1196">
        <v>78.941307068</v>
      </c>
      <c r="E1196">
        <v>50</v>
      </c>
      <c r="F1196">
        <v>49.463027953999998</v>
      </c>
      <c r="G1196">
        <v>1370.1247559000001</v>
      </c>
      <c r="H1196">
        <v>1360.503418</v>
      </c>
      <c r="I1196">
        <v>1305.5111084</v>
      </c>
      <c r="J1196">
        <v>1294.7640381000001</v>
      </c>
      <c r="K1196">
        <v>1375</v>
      </c>
      <c r="L1196">
        <v>0</v>
      </c>
      <c r="M1196">
        <v>0</v>
      </c>
      <c r="N1196">
        <v>1375</v>
      </c>
    </row>
    <row r="1197" spans="1:14" x14ac:dyDescent="0.25">
      <c r="A1197">
        <v>735.080061</v>
      </c>
      <c r="B1197" s="1">
        <f>DATE(2012,5,5) + TIME(1,55,17)</f>
        <v>41034.080057870371</v>
      </c>
      <c r="C1197">
        <v>80</v>
      </c>
      <c r="D1197">
        <v>79.076629639000004</v>
      </c>
      <c r="E1197">
        <v>50</v>
      </c>
      <c r="F1197">
        <v>49.444911957000002</v>
      </c>
      <c r="G1197">
        <v>1370.0656738</v>
      </c>
      <c r="H1197">
        <v>1360.4603271000001</v>
      </c>
      <c r="I1197">
        <v>1305.5087891000001</v>
      </c>
      <c r="J1197">
        <v>1294.7608643000001</v>
      </c>
      <c r="K1197">
        <v>1375</v>
      </c>
      <c r="L1197">
        <v>0</v>
      </c>
      <c r="M1197">
        <v>0</v>
      </c>
      <c r="N1197">
        <v>1375</v>
      </c>
    </row>
    <row r="1198" spans="1:14" x14ac:dyDescent="0.25">
      <c r="A1198">
        <v>735.26351299999999</v>
      </c>
      <c r="B1198" s="1">
        <f>DATE(2012,5,5) + TIME(6,19,27)</f>
        <v>41034.263506944444</v>
      </c>
      <c r="C1198">
        <v>80</v>
      </c>
      <c r="D1198">
        <v>79.194534301999994</v>
      </c>
      <c r="E1198">
        <v>50</v>
      </c>
      <c r="F1198">
        <v>49.426605225000003</v>
      </c>
      <c r="G1198">
        <v>1370.0078125</v>
      </c>
      <c r="H1198">
        <v>1360.4172363</v>
      </c>
      <c r="I1198">
        <v>1305.5064697</v>
      </c>
      <c r="J1198">
        <v>1294.7575684000001</v>
      </c>
      <c r="K1198">
        <v>1375</v>
      </c>
      <c r="L1198">
        <v>0</v>
      </c>
      <c r="M1198">
        <v>0</v>
      </c>
      <c r="N1198">
        <v>1375</v>
      </c>
    </row>
    <row r="1199" spans="1:14" x14ac:dyDescent="0.25">
      <c r="A1199">
        <v>735.45053600000006</v>
      </c>
      <c r="B1199" s="1">
        <f>DATE(2012,5,5) + TIME(10,48,46)</f>
        <v>41034.450532407405</v>
      </c>
      <c r="C1199">
        <v>80</v>
      </c>
      <c r="D1199">
        <v>79.297203064000001</v>
      </c>
      <c r="E1199">
        <v>50</v>
      </c>
      <c r="F1199">
        <v>49.408061981000003</v>
      </c>
      <c r="G1199">
        <v>1369.9508057</v>
      </c>
      <c r="H1199">
        <v>1360.3741454999999</v>
      </c>
      <c r="I1199">
        <v>1305.5041504000001</v>
      </c>
      <c r="J1199">
        <v>1294.7543945</v>
      </c>
      <c r="K1199">
        <v>1375</v>
      </c>
      <c r="L1199">
        <v>0</v>
      </c>
      <c r="M1199">
        <v>0</v>
      </c>
      <c r="N1199">
        <v>1375</v>
      </c>
    </row>
    <row r="1200" spans="1:14" x14ac:dyDescent="0.25">
      <c r="A1200">
        <v>735.64114199999995</v>
      </c>
      <c r="B1200" s="1">
        <f>DATE(2012,5,5) + TIME(15,23,14)</f>
        <v>41034.641134259262</v>
      </c>
      <c r="C1200">
        <v>80</v>
      </c>
      <c r="D1200">
        <v>79.386360167999996</v>
      </c>
      <c r="E1200">
        <v>50</v>
      </c>
      <c r="F1200">
        <v>49.389286040999998</v>
      </c>
      <c r="G1200">
        <v>1369.8946533000001</v>
      </c>
      <c r="H1200">
        <v>1360.3309326000001</v>
      </c>
      <c r="I1200">
        <v>1305.5017089999999</v>
      </c>
      <c r="J1200">
        <v>1294.7509766000001</v>
      </c>
      <c r="K1200">
        <v>1375</v>
      </c>
      <c r="L1200">
        <v>0</v>
      </c>
      <c r="M1200">
        <v>0</v>
      </c>
      <c r="N1200">
        <v>1375</v>
      </c>
    </row>
    <row r="1201" spans="1:14" x14ac:dyDescent="0.25">
      <c r="A1201">
        <v>735.83530599999995</v>
      </c>
      <c r="B1201" s="1">
        <f>DATE(2012,5,5) + TIME(20,2,50)</f>
        <v>41034.835300925923</v>
      </c>
      <c r="C1201">
        <v>80</v>
      </c>
      <c r="D1201">
        <v>79.463539123999993</v>
      </c>
      <c r="E1201">
        <v>50</v>
      </c>
      <c r="F1201">
        <v>49.370277405000003</v>
      </c>
      <c r="G1201">
        <v>1369.8392334</v>
      </c>
      <c r="H1201">
        <v>1360.2877197</v>
      </c>
      <c r="I1201">
        <v>1305.4992675999999</v>
      </c>
      <c r="J1201">
        <v>1294.7476807</v>
      </c>
      <c r="K1201">
        <v>1375</v>
      </c>
      <c r="L1201">
        <v>0</v>
      </c>
      <c r="M1201">
        <v>0</v>
      </c>
      <c r="N1201">
        <v>1375</v>
      </c>
    </row>
    <row r="1202" spans="1:14" x14ac:dyDescent="0.25">
      <c r="A1202">
        <v>736.03342899999996</v>
      </c>
      <c r="B1202" s="1">
        <f>DATE(2012,5,6) + TIME(0,48,8)</f>
        <v>41035.033425925925</v>
      </c>
      <c r="C1202">
        <v>80</v>
      </c>
      <c r="D1202">
        <v>79.530296325999998</v>
      </c>
      <c r="E1202">
        <v>50</v>
      </c>
      <c r="F1202">
        <v>49.351009369000003</v>
      </c>
      <c r="G1202">
        <v>1369.7845459</v>
      </c>
      <c r="H1202">
        <v>1360.2445068</v>
      </c>
      <c r="I1202">
        <v>1305.4967041</v>
      </c>
      <c r="J1202">
        <v>1294.7441406</v>
      </c>
      <c r="K1202">
        <v>1375</v>
      </c>
      <c r="L1202">
        <v>0</v>
      </c>
      <c r="M1202">
        <v>0</v>
      </c>
      <c r="N1202">
        <v>1375</v>
      </c>
    </row>
    <row r="1203" spans="1:14" x14ac:dyDescent="0.25">
      <c r="A1203">
        <v>736.235997</v>
      </c>
      <c r="B1203" s="1">
        <f>DATE(2012,5,6) + TIME(5,39,50)</f>
        <v>41035.235995370371</v>
      </c>
      <c r="C1203">
        <v>80</v>
      </c>
      <c r="D1203">
        <v>79.587974548000005</v>
      </c>
      <c r="E1203">
        <v>50</v>
      </c>
      <c r="F1203">
        <v>49.331432343000003</v>
      </c>
      <c r="G1203">
        <v>1369.7302245999999</v>
      </c>
      <c r="H1203">
        <v>1360.2011719</v>
      </c>
      <c r="I1203">
        <v>1305.4941406</v>
      </c>
      <c r="J1203">
        <v>1294.7406006000001</v>
      </c>
      <c r="K1203">
        <v>1375</v>
      </c>
      <c r="L1203">
        <v>0</v>
      </c>
      <c r="M1203">
        <v>0</v>
      </c>
      <c r="N1203">
        <v>1375</v>
      </c>
    </row>
    <row r="1204" spans="1:14" x14ac:dyDescent="0.25">
      <c r="A1204">
        <v>736.44337499999995</v>
      </c>
      <c r="B1204" s="1">
        <f>DATE(2012,5,6) + TIME(10,38,27)</f>
        <v>41035.443368055552</v>
      </c>
      <c r="C1204">
        <v>80</v>
      </c>
      <c r="D1204">
        <v>79.637718200999998</v>
      </c>
      <c r="E1204">
        <v>50</v>
      </c>
      <c r="F1204">
        <v>49.311523438000002</v>
      </c>
      <c r="G1204">
        <v>1369.6763916</v>
      </c>
      <c r="H1204">
        <v>1360.1578368999999</v>
      </c>
      <c r="I1204">
        <v>1305.4914550999999</v>
      </c>
      <c r="J1204">
        <v>1294.7370605000001</v>
      </c>
      <c r="K1204">
        <v>1375</v>
      </c>
      <c r="L1204">
        <v>0</v>
      </c>
      <c r="M1204">
        <v>0</v>
      </c>
      <c r="N1204">
        <v>1375</v>
      </c>
    </row>
    <row r="1205" spans="1:14" x14ac:dyDescent="0.25">
      <c r="A1205">
        <v>736.65601700000002</v>
      </c>
      <c r="B1205" s="1">
        <f>DATE(2012,5,6) + TIME(15,44,39)</f>
        <v>41035.656006944446</v>
      </c>
      <c r="C1205">
        <v>80</v>
      </c>
      <c r="D1205">
        <v>79.680534363000007</v>
      </c>
      <c r="E1205">
        <v>50</v>
      </c>
      <c r="F1205">
        <v>49.291240692000002</v>
      </c>
      <c r="G1205">
        <v>1369.6229248</v>
      </c>
      <c r="H1205">
        <v>1360.1143798999999</v>
      </c>
      <c r="I1205">
        <v>1305.4887695</v>
      </c>
      <c r="J1205">
        <v>1294.7333983999999</v>
      </c>
      <c r="K1205">
        <v>1375</v>
      </c>
      <c r="L1205">
        <v>0</v>
      </c>
      <c r="M1205">
        <v>0</v>
      </c>
      <c r="N1205">
        <v>1375</v>
      </c>
    </row>
    <row r="1206" spans="1:14" x14ac:dyDescent="0.25">
      <c r="A1206">
        <v>736.87442799999997</v>
      </c>
      <c r="B1206" s="1">
        <f>DATE(2012,5,6) + TIME(20,59,10)</f>
        <v>41035.874421296299</v>
      </c>
      <c r="C1206">
        <v>80</v>
      </c>
      <c r="D1206">
        <v>79.717315674000005</v>
      </c>
      <c r="E1206">
        <v>50</v>
      </c>
      <c r="F1206">
        <v>49.270549774000003</v>
      </c>
      <c r="G1206">
        <v>1369.5694579999999</v>
      </c>
      <c r="H1206">
        <v>1360.0708007999999</v>
      </c>
      <c r="I1206">
        <v>1305.4859618999999</v>
      </c>
      <c r="J1206">
        <v>1294.7296143000001</v>
      </c>
      <c r="K1206">
        <v>1375</v>
      </c>
      <c r="L1206">
        <v>0</v>
      </c>
      <c r="M1206">
        <v>0</v>
      </c>
      <c r="N1206">
        <v>1375</v>
      </c>
    </row>
    <row r="1207" spans="1:14" x14ac:dyDescent="0.25">
      <c r="A1207">
        <v>737.099153</v>
      </c>
      <c r="B1207" s="1">
        <f>DATE(2012,5,7) + TIME(2,22,46)</f>
        <v>41036.099143518521</v>
      </c>
      <c r="C1207">
        <v>80</v>
      </c>
      <c r="D1207">
        <v>79.748855590999995</v>
      </c>
      <c r="E1207">
        <v>50</v>
      </c>
      <c r="F1207">
        <v>49.249408721999998</v>
      </c>
      <c r="G1207">
        <v>1369.5161132999999</v>
      </c>
      <c r="H1207">
        <v>1360.0270995999999</v>
      </c>
      <c r="I1207">
        <v>1305.4831543</v>
      </c>
      <c r="J1207">
        <v>1294.7257079999999</v>
      </c>
      <c r="K1207">
        <v>1375</v>
      </c>
      <c r="L1207">
        <v>0</v>
      </c>
      <c r="M1207">
        <v>0</v>
      </c>
      <c r="N1207">
        <v>1375</v>
      </c>
    </row>
    <row r="1208" spans="1:14" x14ac:dyDescent="0.25">
      <c r="A1208">
        <v>737.33079199999997</v>
      </c>
      <c r="B1208" s="1">
        <f>DATE(2012,5,7) + TIME(7,56,20)</f>
        <v>41036.330787037034</v>
      </c>
      <c r="C1208">
        <v>80</v>
      </c>
      <c r="D1208">
        <v>79.775825499999996</v>
      </c>
      <c r="E1208">
        <v>50</v>
      </c>
      <c r="F1208">
        <v>49.227767944</v>
      </c>
      <c r="G1208">
        <v>1369.4627685999999</v>
      </c>
      <c r="H1208">
        <v>1359.9831543</v>
      </c>
      <c r="I1208">
        <v>1305.4801024999999</v>
      </c>
      <c r="J1208">
        <v>1294.7216797000001</v>
      </c>
      <c r="K1208">
        <v>1375</v>
      </c>
      <c r="L1208">
        <v>0</v>
      </c>
      <c r="M1208">
        <v>0</v>
      </c>
      <c r="N1208">
        <v>1375</v>
      </c>
    </row>
    <row r="1209" spans="1:14" x14ac:dyDescent="0.25">
      <c r="A1209">
        <v>737.57000500000004</v>
      </c>
      <c r="B1209" s="1">
        <f>DATE(2012,5,7) + TIME(13,40,48)</f>
        <v>41036.57</v>
      </c>
      <c r="C1209">
        <v>80</v>
      </c>
      <c r="D1209">
        <v>79.798828125</v>
      </c>
      <c r="E1209">
        <v>50</v>
      </c>
      <c r="F1209">
        <v>49.205581664999997</v>
      </c>
      <c r="G1209">
        <v>1369.4093018000001</v>
      </c>
      <c r="H1209">
        <v>1359.9388428</v>
      </c>
      <c r="I1209">
        <v>1305.4770507999999</v>
      </c>
      <c r="J1209">
        <v>1294.7175293</v>
      </c>
      <c r="K1209">
        <v>1375</v>
      </c>
      <c r="L1209">
        <v>0</v>
      </c>
      <c r="M1209">
        <v>0</v>
      </c>
      <c r="N1209">
        <v>1375</v>
      </c>
    </row>
    <row r="1210" spans="1:14" x14ac:dyDescent="0.25">
      <c r="A1210">
        <v>737.81752800000004</v>
      </c>
      <c r="B1210" s="1">
        <f>DATE(2012,5,7) + TIME(19,37,14)</f>
        <v>41036.817523148151</v>
      </c>
      <c r="C1210">
        <v>80</v>
      </c>
      <c r="D1210">
        <v>79.818397521999998</v>
      </c>
      <c r="E1210">
        <v>50</v>
      </c>
      <c r="F1210">
        <v>49.182792663999997</v>
      </c>
      <c r="G1210">
        <v>1369.3555908000001</v>
      </c>
      <c r="H1210">
        <v>1359.8942870999999</v>
      </c>
      <c r="I1210">
        <v>1305.4738769999999</v>
      </c>
      <c r="J1210">
        <v>1294.7132568</v>
      </c>
      <c r="K1210">
        <v>1375</v>
      </c>
      <c r="L1210">
        <v>0</v>
      </c>
      <c r="M1210">
        <v>0</v>
      </c>
      <c r="N1210">
        <v>1375</v>
      </c>
    </row>
    <row r="1211" spans="1:14" x14ac:dyDescent="0.25">
      <c r="A1211">
        <v>738.07418199999995</v>
      </c>
      <c r="B1211" s="1">
        <f>DATE(2012,5,8) + TIME(1,46,49)</f>
        <v>41037.074178240742</v>
      </c>
      <c r="C1211">
        <v>80</v>
      </c>
      <c r="D1211">
        <v>79.834999084000003</v>
      </c>
      <c r="E1211">
        <v>50</v>
      </c>
      <c r="F1211">
        <v>49.159339905000003</v>
      </c>
      <c r="G1211">
        <v>1369.3016356999999</v>
      </c>
      <c r="H1211">
        <v>1359.8493652</v>
      </c>
      <c r="I1211">
        <v>1305.4705810999999</v>
      </c>
      <c r="J1211">
        <v>1294.7088623</v>
      </c>
      <c r="K1211">
        <v>1375</v>
      </c>
      <c r="L1211">
        <v>0</v>
      </c>
      <c r="M1211">
        <v>0</v>
      </c>
      <c r="N1211">
        <v>1375</v>
      </c>
    </row>
    <row r="1212" spans="1:14" x14ac:dyDescent="0.25">
      <c r="A1212">
        <v>738.34088999999994</v>
      </c>
      <c r="B1212" s="1">
        <f>DATE(2012,5,8) + TIME(8,10,52)</f>
        <v>41037.340879629628</v>
      </c>
      <c r="C1212">
        <v>80</v>
      </c>
      <c r="D1212">
        <v>79.849029540999993</v>
      </c>
      <c r="E1212">
        <v>50</v>
      </c>
      <c r="F1212">
        <v>49.135158539000003</v>
      </c>
      <c r="G1212">
        <v>1369.2471923999999</v>
      </c>
      <c r="H1212">
        <v>1359.8039550999999</v>
      </c>
      <c r="I1212">
        <v>1305.4671631000001</v>
      </c>
      <c r="J1212">
        <v>1294.7042236</v>
      </c>
      <c r="K1212">
        <v>1375</v>
      </c>
      <c r="L1212">
        <v>0</v>
      </c>
      <c r="M1212">
        <v>0</v>
      </c>
      <c r="N1212">
        <v>1375</v>
      </c>
    </row>
    <row r="1213" spans="1:14" x14ac:dyDescent="0.25">
      <c r="A1213">
        <v>738.61748799999998</v>
      </c>
      <c r="B1213" s="1">
        <f>DATE(2012,5,8) + TIME(14,49,10)</f>
        <v>41037.617476851854</v>
      </c>
      <c r="C1213">
        <v>80</v>
      </c>
      <c r="D1213">
        <v>79.860809325999995</v>
      </c>
      <c r="E1213">
        <v>50</v>
      </c>
      <c r="F1213">
        <v>49.110263824</v>
      </c>
      <c r="G1213">
        <v>1369.1921387</v>
      </c>
      <c r="H1213">
        <v>1359.7580565999999</v>
      </c>
      <c r="I1213">
        <v>1305.4636230000001</v>
      </c>
      <c r="J1213">
        <v>1294.6994629000001</v>
      </c>
      <c r="K1213">
        <v>1375</v>
      </c>
      <c r="L1213">
        <v>0</v>
      </c>
      <c r="M1213">
        <v>0</v>
      </c>
      <c r="N1213">
        <v>1375</v>
      </c>
    </row>
    <row r="1214" spans="1:14" x14ac:dyDescent="0.25">
      <c r="A1214">
        <v>738.90465900000004</v>
      </c>
      <c r="B1214" s="1">
        <f>DATE(2012,5,8) + TIME(21,42,42)</f>
        <v>41037.904652777775</v>
      </c>
      <c r="C1214">
        <v>80</v>
      </c>
      <c r="D1214">
        <v>79.870666503999999</v>
      </c>
      <c r="E1214">
        <v>50</v>
      </c>
      <c r="F1214">
        <v>49.0846138</v>
      </c>
      <c r="G1214">
        <v>1369.1367187999999</v>
      </c>
      <c r="H1214">
        <v>1359.7116699000001</v>
      </c>
      <c r="I1214">
        <v>1305.4599608999999</v>
      </c>
      <c r="J1214">
        <v>1294.6945800999999</v>
      </c>
      <c r="K1214">
        <v>1375</v>
      </c>
      <c r="L1214">
        <v>0</v>
      </c>
      <c r="M1214">
        <v>0</v>
      </c>
      <c r="N1214">
        <v>1375</v>
      </c>
    </row>
    <row r="1215" spans="1:14" x14ac:dyDescent="0.25">
      <c r="A1215">
        <v>739.20347300000003</v>
      </c>
      <c r="B1215" s="1">
        <f>DATE(2012,5,9) + TIME(4,53,0)</f>
        <v>41038.203472222223</v>
      </c>
      <c r="C1215">
        <v>80</v>
      </c>
      <c r="D1215">
        <v>79.878898621000005</v>
      </c>
      <c r="E1215">
        <v>50</v>
      </c>
      <c r="F1215">
        <v>49.058132172000001</v>
      </c>
      <c r="G1215">
        <v>1369.0808105000001</v>
      </c>
      <c r="H1215">
        <v>1359.6650391000001</v>
      </c>
      <c r="I1215">
        <v>1305.4560547000001</v>
      </c>
      <c r="J1215">
        <v>1294.6894531</v>
      </c>
      <c r="K1215">
        <v>1375</v>
      </c>
      <c r="L1215">
        <v>0</v>
      </c>
      <c r="M1215">
        <v>0</v>
      </c>
      <c r="N1215">
        <v>1375</v>
      </c>
    </row>
    <row r="1216" spans="1:14" x14ac:dyDescent="0.25">
      <c r="A1216">
        <v>739.51522</v>
      </c>
      <c r="B1216" s="1">
        <f>DATE(2012,5,9) + TIME(12,21,55)</f>
        <v>41038.515219907407</v>
      </c>
      <c r="C1216">
        <v>80</v>
      </c>
      <c r="D1216">
        <v>79.885742187999995</v>
      </c>
      <c r="E1216">
        <v>50</v>
      </c>
      <c r="F1216">
        <v>49.030727386000002</v>
      </c>
      <c r="G1216">
        <v>1369.0242920000001</v>
      </c>
      <c r="H1216">
        <v>1359.6176757999999</v>
      </c>
      <c r="I1216">
        <v>1305.4520264</v>
      </c>
      <c r="J1216">
        <v>1294.684082</v>
      </c>
      <c r="K1216">
        <v>1375</v>
      </c>
      <c r="L1216">
        <v>0</v>
      </c>
      <c r="M1216">
        <v>0</v>
      </c>
      <c r="N1216">
        <v>1375</v>
      </c>
    </row>
    <row r="1217" spans="1:14" x14ac:dyDescent="0.25">
      <c r="A1217">
        <v>739.840642</v>
      </c>
      <c r="B1217" s="1">
        <f>DATE(2012,5,9) + TIME(20,10,31)</f>
        <v>41038.840636574074</v>
      </c>
      <c r="C1217">
        <v>80</v>
      </c>
      <c r="D1217">
        <v>79.891410828000005</v>
      </c>
      <c r="E1217">
        <v>50</v>
      </c>
      <c r="F1217">
        <v>49.002357482999997</v>
      </c>
      <c r="G1217">
        <v>1368.9669189000001</v>
      </c>
      <c r="H1217">
        <v>1359.5698242000001</v>
      </c>
      <c r="I1217">
        <v>1305.447876</v>
      </c>
      <c r="J1217">
        <v>1294.6785889</v>
      </c>
      <c r="K1217">
        <v>1375</v>
      </c>
      <c r="L1217">
        <v>0</v>
      </c>
      <c r="M1217">
        <v>0</v>
      </c>
      <c r="N1217">
        <v>1375</v>
      </c>
    </row>
    <row r="1218" spans="1:14" x14ac:dyDescent="0.25">
      <c r="A1218">
        <v>740.17939899999999</v>
      </c>
      <c r="B1218" s="1">
        <f>DATE(2012,5,10) + TIME(4,18,20)</f>
        <v>41039.179398148146</v>
      </c>
      <c r="C1218">
        <v>80</v>
      </c>
      <c r="D1218">
        <v>79.896080017000003</v>
      </c>
      <c r="E1218">
        <v>50</v>
      </c>
      <c r="F1218">
        <v>48.973049164000003</v>
      </c>
      <c r="G1218">
        <v>1368.9089355000001</v>
      </c>
      <c r="H1218">
        <v>1359.5213623</v>
      </c>
      <c r="I1218">
        <v>1305.4433594</v>
      </c>
      <c r="J1218">
        <v>1294.6727295000001</v>
      </c>
      <c r="K1218">
        <v>1375</v>
      </c>
      <c r="L1218">
        <v>0</v>
      </c>
      <c r="M1218">
        <v>0</v>
      </c>
      <c r="N1218">
        <v>1375</v>
      </c>
    </row>
    <row r="1219" spans="1:14" x14ac:dyDescent="0.25">
      <c r="A1219">
        <v>740.52754400000003</v>
      </c>
      <c r="B1219" s="1">
        <f>DATE(2012,5,10) + TIME(12,39,39)</f>
        <v>41039.52753472222</v>
      </c>
      <c r="C1219">
        <v>80</v>
      </c>
      <c r="D1219">
        <v>79.899871825999995</v>
      </c>
      <c r="E1219">
        <v>50</v>
      </c>
      <c r="F1219">
        <v>48.943088531000001</v>
      </c>
      <c r="G1219">
        <v>1368.8502197</v>
      </c>
      <c r="H1219">
        <v>1359.4724120999999</v>
      </c>
      <c r="I1219">
        <v>1305.4388428</v>
      </c>
      <c r="J1219">
        <v>1294.666626</v>
      </c>
      <c r="K1219">
        <v>1375</v>
      </c>
      <c r="L1219">
        <v>0</v>
      </c>
      <c r="M1219">
        <v>0</v>
      </c>
      <c r="N1219">
        <v>1375</v>
      </c>
    </row>
    <row r="1220" spans="1:14" x14ac:dyDescent="0.25">
      <c r="A1220">
        <v>740.87935000000004</v>
      </c>
      <c r="B1220" s="1">
        <f>DATE(2012,5,10) + TIME(21,6,15)</f>
        <v>41039.879340277781</v>
      </c>
      <c r="C1220">
        <v>80</v>
      </c>
      <c r="D1220">
        <v>79.902908324999999</v>
      </c>
      <c r="E1220">
        <v>50</v>
      </c>
      <c r="F1220">
        <v>48.912887572999999</v>
      </c>
      <c r="G1220">
        <v>1368.7917480000001</v>
      </c>
      <c r="H1220">
        <v>1359.4237060999999</v>
      </c>
      <c r="I1220">
        <v>1305.4339600000001</v>
      </c>
      <c r="J1220">
        <v>1294.6605225000001</v>
      </c>
      <c r="K1220">
        <v>1375</v>
      </c>
      <c r="L1220">
        <v>0</v>
      </c>
      <c r="M1220">
        <v>0</v>
      </c>
      <c r="N1220">
        <v>1375</v>
      </c>
    </row>
    <row r="1221" spans="1:14" x14ac:dyDescent="0.25">
      <c r="A1221">
        <v>741.23574299999996</v>
      </c>
      <c r="B1221" s="1">
        <f>DATE(2012,5,11) + TIME(5,39,28)</f>
        <v>41040.23574074074</v>
      </c>
      <c r="C1221">
        <v>80</v>
      </c>
      <c r="D1221">
        <v>79.905349731000001</v>
      </c>
      <c r="E1221">
        <v>50</v>
      </c>
      <c r="F1221">
        <v>48.882404327000003</v>
      </c>
      <c r="G1221">
        <v>1368.734375</v>
      </c>
      <c r="H1221">
        <v>1359.3758545000001</v>
      </c>
      <c r="I1221">
        <v>1305.4291992000001</v>
      </c>
      <c r="J1221">
        <v>1294.6541748</v>
      </c>
      <c r="K1221">
        <v>1375</v>
      </c>
      <c r="L1221">
        <v>0</v>
      </c>
      <c r="M1221">
        <v>0</v>
      </c>
      <c r="N1221">
        <v>1375</v>
      </c>
    </row>
    <row r="1222" spans="1:14" x14ac:dyDescent="0.25">
      <c r="A1222">
        <v>741.59580900000003</v>
      </c>
      <c r="B1222" s="1">
        <f>DATE(2012,5,11) + TIME(14,17,57)</f>
        <v>41040.59579861111</v>
      </c>
      <c r="C1222">
        <v>80</v>
      </c>
      <c r="D1222">
        <v>79.907325744999994</v>
      </c>
      <c r="E1222">
        <v>50</v>
      </c>
      <c r="F1222">
        <v>48.851730347</v>
      </c>
      <c r="G1222">
        <v>1368.6777344</v>
      </c>
      <c r="H1222">
        <v>1359.3288574000001</v>
      </c>
      <c r="I1222">
        <v>1305.4241943</v>
      </c>
      <c r="J1222">
        <v>1294.6478271000001</v>
      </c>
      <c r="K1222">
        <v>1375</v>
      </c>
      <c r="L1222">
        <v>0</v>
      </c>
      <c r="M1222">
        <v>0</v>
      </c>
      <c r="N1222">
        <v>1375</v>
      </c>
    </row>
    <row r="1223" spans="1:14" x14ac:dyDescent="0.25">
      <c r="A1223">
        <v>741.96016999999995</v>
      </c>
      <c r="B1223" s="1">
        <f>DATE(2012,5,11) + TIME(23,2,38)</f>
        <v>41040.960162037038</v>
      </c>
      <c r="C1223">
        <v>80</v>
      </c>
      <c r="D1223">
        <v>79.908927917</v>
      </c>
      <c r="E1223">
        <v>50</v>
      </c>
      <c r="F1223">
        <v>48.820831298999998</v>
      </c>
      <c r="G1223">
        <v>1368.6221923999999</v>
      </c>
      <c r="H1223">
        <v>1359.2827147999999</v>
      </c>
      <c r="I1223">
        <v>1305.4193115</v>
      </c>
      <c r="J1223">
        <v>1294.6413574000001</v>
      </c>
      <c r="K1223">
        <v>1375</v>
      </c>
      <c r="L1223">
        <v>0</v>
      </c>
      <c r="M1223">
        <v>0</v>
      </c>
      <c r="N1223">
        <v>1375</v>
      </c>
    </row>
    <row r="1224" spans="1:14" x14ac:dyDescent="0.25">
      <c r="A1224">
        <v>742.32956200000001</v>
      </c>
      <c r="B1224" s="1">
        <f>DATE(2012,5,12) + TIME(7,54,34)</f>
        <v>41041.329560185186</v>
      </c>
      <c r="C1224">
        <v>80</v>
      </c>
      <c r="D1224">
        <v>79.910232543999996</v>
      </c>
      <c r="E1224">
        <v>50</v>
      </c>
      <c r="F1224">
        <v>48.789680480999998</v>
      </c>
      <c r="G1224">
        <v>1368.5675048999999</v>
      </c>
      <c r="H1224">
        <v>1359.2374268000001</v>
      </c>
      <c r="I1224">
        <v>1305.4141846</v>
      </c>
      <c r="J1224">
        <v>1294.6348877</v>
      </c>
      <c r="K1224">
        <v>1375</v>
      </c>
      <c r="L1224">
        <v>0</v>
      </c>
      <c r="M1224">
        <v>0</v>
      </c>
      <c r="N1224">
        <v>1375</v>
      </c>
    </row>
    <row r="1225" spans="1:14" x14ac:dyDescent="0.25">
      <c r="A1225">
        <v>742.70480899999995</v>
      </c>
      <c r="B1225" s="1">
        <f>DATE(2012,5,12) + TIME(16,54,55)</f>
        <v>41041.70480324074</v>
      </c>
      <c r="C1225">
        <v>80</v>
      </c>
      <c r="D1225">
        <v>79.911308289000004</v>
      </c>
      <c r="E1225">
        <v>50</v>
      </c>
      <c r="F1225">
        <v>48.758232116999999</v>
      </c>
      <c r="G1225">
        <v>1368.5135498</v>
      </c>
      <c r="H1225">
        <v>1359.1926269999999</v>
      </c>
      <c r="I1225">
        <v>1305.4090576000001</v>
      </c>
      <c r="J1225">
        <v>1294.6281738</v>
      </c>
      <c r="K1225">
        <v>1375</v>
      </c>
      <c r="L1225">
        <v>0</v>
      </c>
      <c r="M1225">
        <v>0</v>
      </c>
      <c r="N1225">
        <v>1375</v>
      </c>
    </row>
    <row r="1226" spans="1:14" x14ac:dyDescent="0.25">
      <c r="A1226">
        <v>743.08494499999995</v>
      </c>
      <c r="B1226" s="1">
        <f>DATE(2012,5,13) + TIME(2,2,19)</f>
        <v>41042.08494212963</v>
      </c>
      <c r="C1226">
        <v>80</v>
      </c>
      <c r="D1226">
        <v>79.912193298000005</v>
      </c>
      <c r="E1226">
        <v>50</v>
      </c>
      <c r="F1226">
        <v>48.726558685000001</v>
      </c>
      <c r="G1226">
        <v>1368.4602050999999</v>
      </c>
      <c r="H1226">
        <v>1359.1485596</v>
      </c>
      <c r="I1226">
        <v>1305.4039307</v>
      </c>
      <c r="J1226">
        <v>1294.6214600000001</v>
      </c>
      <c r="K1226">
        <v>1375</v>
      </c>
      <c r="L1226">
        <v>0</v>
      </c>
      <c r="M1226">
        <v>0</v>
      </c>
      <c r="N1226">
        <v>1375</v>
      </c>
    </row>
    <row r="1227" spans="1:14" x14ac:dyDescent="0.25">
      <c r="A1227">
        <v>743.47026600000004</v>
      </c>
      <c r="B1227" s="1">
        <f>DATE(2012,5,13) + TIME(11,17,11)</f>
        <v>41042.470266203702</v>
      </c>
      <c r="C1227">
        <v>80</v>
      </c>
      <c r="D1227">
        <v>79.912918090999995</v>
      </c>
      <c r="E1227">
        <v>50</v>
      </c>
      <c r="F1227">
        <v>48.694656371999997</v>
      </c>
      <c r="G1227">
        <v>1368.4074707</v>
      </c>
      <c r="H1227">
        <v>1359.1051024999999</v>
      </c>
      <c r="I1227">
        <v>1305.3986815999999</v>
      </c>
      <c r="J1227">
        <v>1294.614624</v>
      </c>
      <c r="K1227">
        <v>1375</v>
      </c>
      <c r="L1227">
        <v>0</v>
      </c>
      <c r="M1227">
        <v>0</v>
      </c>
      <c r="N1227">
        <v>1375</v>
      </c>
    </row>
    <row r="1228" spans="1:14" x14ac:dyDescent="0.25">
      <c r="A1228">
        <v>743.86156300000005</v>
      </c>
      <c r="B1228" s="1">
        <f>DATE(2012,5,13) + TIME(20,40,39)</f>
        <v>41042.861562500002</v>
      </c>
      <c r="C1228">
        <v>80</v>
      </c>
      <c r="D1228">
        <v>79.913528442</v>
      </c>
      <c r="E1228">
        <v>50</v>
      </c>
      <c r="F1228">
        <v>48.662471771</v>
      </c>
      <c r="G1228">
        <v>1368.3553466999999</v>
      </c>
      <c r="H1228">
        <v>1359.0621338000001</v>
      </c>
      <c r="I1228">
        <v>1305.3933105000001</v>
      </c>
      <c r="J1228">
        <v>1294.6076660000001</v>
      </c>
      <c r="K1228">
        <v>1375</v>
      </c>
      <c r="L1228">
        <v>0</v>
      </c>
      <c r="M1228">
        <v>0</v>
      </c>
      <c r="N1228">
        <v>1375</v>
      </c>
    </row>
    <row r="1229" spans="1:14" x14ac:dyDescent="0.25">
      <c r="A1229">
        <v>744.25959599999999</v>
      </c>
      <c r="B1229" s="1">
        <f>DATE(2012,5,14) + TIME(6,13,49)</f>
        <v>41043.259594907409</v>
      </c>
      <c r="C1229">
        <v>80</v>
      </c>
      <c r="D1229">
        <v>79.914031981999997</v>
      </c>
      <c r="E1229">
        <v>50</v>
      </c>
      <c r="F1229">
        <v>48.629974365000002</v>
      </c>
      <c r="G1229">
        <v>1368.3038329999999</v>
      </c>
      <c r="H1229">
        <v>1359.0196533000001</v>
      </c>
      <c r="I1229">
        <v>1305.3878173999999</v>
      </c>
      <c r="J1229">
        <v>1294.6007079999999</v>
      </c>
      <c r="K1229">
        <v>1375</v>
      </c>
      <c r="L1229">
        <v>0</v>
      </c>
      <c r="M1229">
        <v>0</v>
      </c>
      <c r="N1229">
        <v>1375</v>
      </c>
    </row>
    <row r="1230" spans="1:14" x14ac:dyDescent="0.25">
      <c r="A1230">
        <v>744.66523700000005</v>
      </c>
      <c r="B1230" s="1">
        <f>DATE(2012,5,14) + TIME(15,57,56)</f>
        <v>41043.665231481478</v>
      </c>
      <c r="C1230">
        <v>80</v>
      </c>
      <c r="D1230">
        <v>79.914459229000002</v>
      </c>
      <c r="E1230">
        <v>50</v>
      </c>
      <c r="F1230">
        <v>48.597103119000003</v>
      </c>
      <c r="G1230">
        <v>1368.2526855000001</v>
      </c>
      <c r="H1230">
        <v>1358.9776611</v>
      </c>
      <c r="I1230">
        <v>1305.3823242000001</v>
      </c>
      <c r="J1230">
        <v>1294.5935059000001</v>
      </c>
      <c r="K1230">
        <v>1375</v>
      </c>
      <c r="L1230">
        <v>0</v>
      </c>
      <c r="M1230">
        <v>0</v>
      </c>
      <c r="N1230">
        <v>1375</v>
      </c>
    </row>
    <row r="1231" spans="1:14" x14ac:dyDescent="0.25">
      <c r="A1231">
        <v>745.07941400000004</v>
      </c>
      <c r="B1231" s="1">
        <f>DATE(2012,5,15) + TIME(1,54,21)</f>
        <v>41044.079409722224</v>
      </c>
      <c r="C1231">
        <v>80</v>
      </c>
      <c r="D1231">
        <v>79.914817810000002</v>
      </c>
      <c r="E1231">
        <v>50</v>
      </c>
      <c r="F1231">
        <v>48.563812255999999</v>
      </c>
      <c r="G1231">
        <v>1368.2017822</v>
      </c>
      <c r="H1231">
        <v>1358.9359131000001</v>
      </c>
      <c r="I1231">
        <v>1305.3765868999999</v>
      </c>
      <c r="J1231">
        <v>1294.5861815999999</v>
      </c>
      <c r="K1231">
        <v>1375</v>
      </c>
      <c r="L1231">
        <v>0</v>
      </c>
      <c r="M1231">
        <v>0</v>
      </c>
      <c r="N1231">
        <v>1375</v>
      </c>
    </row>
    <row r="1232" spans="1:14" x14ac:dyDescent="0.25">
      <c r="A1232">
        <v>745.50312199999996</v>
      </c>
      <c r="B1232" s="1">
        <f>DATE(2012,5,15) + TIME(12,4,29)</f>
        <v>41044.503113425926</v>
      </c>
      <c r="C1232">
        <v>80</v>
      </c>
      <c r="D1232">
        <v>79.915122986</v>
      </c>
      <c r="E1232">
        <v>50</v>
      </c>
      <c r="F1232">
        <v>48.530033111999998</v>
      </c>
      <c r="G1232">
        <v>1368.1511230000001</v>
      </c>
      <c r="H1232">
        <v>1358.8944091999999</v>
      </c>
      <c r="I1232">
        <v>1305.3708495999999</v>
      </c>
      <c r="J1232">
        <v>1294.5787353999999</v>
      </c>
      <c r="K1232">
        <v>1375</v>
      </c>
      <c r="L1232">
        <v>0</v>
      </c>
      <c r="M1232">
        <v>0</v>
      </c>
      <c r="N1232">
        <v>1375</v>
      </c>
    </row>
    <row r="1233" spans="1:14" x14ac:dyDescent="0.25">
      <c r="A1233">
        <v>745.93743900000004</v>
      </c>
      <c r="B1233" s="1">
        <f>DATE(2012,5,15) + TIME(22,29,54)</f>
        <v>41044.937430555554</v>
      </c>
      <c r="C1233">
        <v>80</v>
      </c>
      <c r="D1233">
        <v>79.915382385000001</v>
      </c>
      <c r="E1233">
        <v>50</v>
      </c>
      <c r="F1233">
        <v>48.495712279999999</v>
      </c>
      <c r="G1233">
        <v>1368.1004639</v>
      </c>
      <c r="H1233">
        <v>1358.8530272999999</v>
      </c>
      <c r="I1233">
        <v>1305.3648682</v>
      </c>
      <c r="J1233">
        <v>1294.5710449000001</v>
      </c>
      <c r="K1233">
        <v>1375</v>
      </c>
      <c r="L1233">
        <v>0</v>
      </c>
      <c r="M1233">
        <v>0</v>
      </c>
      <c r="N1233">
        <v>1375</v>
      </c>
    </row>
    <row r="1234" spans="1:14" x14ac:dyDescent="0.25">
      <c r="A1234">
        <v>746.38354600000002</v>
      </c>
      <c r="B1234" s="1">
        <f>DATE(2012,5,16) + TIME(9,12,18)</f>
        <v>41045.38354166667</v>
      </c>
      <c r="C1234">
        <v>80</v>
      </c>
      <c r="D1234">
        <v>79.915596007999994</v>
      </c>
      <c r="E1234">
        <v>50</v>
      </c>
      <c r="F1234">
        <v>48.460769653</v>
      </c>
      <c r="G1234">
        <v>1368.0498047000001</v>
      </c>
      <c r="H1234">
        <v>1358.8115233999999</v>
      </c>
      <c r="I1234">
        <v>1305.3587646000001</v>
      </c>
      <c r="J1234">
        <v>1294.5632324000001</v>
      </c>
      <c r="K1234">
        <v>1375</v>
      </c>
      <c r="L1234">
        <v>0</v>
      </c>
      <c r="M1234">
        <v>0</v>
      </c>
      <c r="N1234">
        <v>1375</v>
      </c>
    </row>
    <row r="1235" spans="1:14" x14ac:dyDescent="0.25">
      <c r="A1235">
        <v>746.84274100000005</v>
      </c>
      <c r="B1235" s="1">
        <f>DATE(2012,5,16) + TIME(20,13,32)</f>
        <v>41045.842731481483</v>
      </c>
      <c r="C1235">
        <v>80</v>
      </c>
      <c r="D1235">
        <v>79.915779114000003</v>
      </c>
      <c r="E1235">
        <v>50</v>
      </c>
      <c r="F1235">
        <v>48.425132751</v>
      </c>
      <c r="G1235">
        <v>1367.9990233999999</v>
      </c>
      <c r="H1235">
        <v>1358.7701416</v>
      </c>
      <c r="I1235">
        <v>1305.3524170000001</v>
      </c>
      <c r="J1235">
        <v>1294.5550536999999</v>
      </c>
      <c r="K1235">
        <v>1375</v>
      </c>
      <c r="L1235">
        <v>0</v>
      </c>
      <c r="M1235">
        <v>0</v>
      </c>
      <c r="N1235">
        <v>1375</v>
      </c>
    </row>
    <row r="1236" spans="1:14" x14ac:dyDescent="0.25">
      <c r="A1236">
        <v>747.31646699999999</v>
      </c>
      <c r="B1236" s="1">
        <f>DATE(2012,5,17) + TIME(7,35,42)</f>
        <v>41046.316458333335</v>
      </c>
      <c r="C1236">
        <v>80</v>
      </c>
      <c r="D1236">
        <v>79.915939331000004</v>
      </c>
      <c r="E1236">
        <v>50</v>
      </c>
      <c r="F1236">
        <v>48.388717651</v>
      </c>
      <c r="G1236">
        <v>1367.9479980000001</v>
      </c>
      <c r="H1236">
        <v>1358.7285156</v>
      </c>
      <c r="I1236">
        <v>1305.3459473</v>
      </c>
      <c r="J1236">
        <v>1294.5467529</v>
      </c>
      <c r="K1236">
        <v>1375</v>
      </c>
      <c r="L1236">
        <v>0</v>
      </c>
      <c r="M1236">
        <v>0</v>
      </c>
      <c r="N1236">
        <v>1375</v>
      </c>
    </row>
    <row r="1237" spans="1:14" x14ac:dyDescent="0.25">
      <c r="A1237">
        <v>747.80645200000004</v>
      </c>
      <c r="B1237" s="1">
        <f>DATE(2012,5,17) + TIME(19,21,17)</f>
        <v>41046.806446759256</v>
      </c>
      <c r="C1237">
        <v>80</v>
      </c>
      <c r="D1237">
        <v>79.916069031000006</v>
      </c>
      <c r="E1237">
        <v>50</v>
      </c>
      <c r="F1237">
        <v>48.351421356000003</v>
      </c>
      <c r="G1237">
        <v>1367.8966064000001</v>
      </c>
      <c r="H1237">
        <v>1358.6866454999999</v>
      </c>
      <c r="I1237">
        <v>1305.3392334</v>
      </c>
      <c r="J1237">
        <v>1294.5382079999999</v>
      </c>
      <c r="K1237">
        <v>1375</v>
      </c>
      <c r="L1237">
        <v>0</v>
      </c>
      <c r="M1237">
        <v>0</v>
      </c>
      <c r="N1237">
        <v>1375</v>
      </c>
    </row>
    <row r="1238" spans="1:14" x14ac:dyDescent="0.25">
      <c r="A1238">
        <v>748.31096700000001</v>
      </c>
      <c r="B1238" s="1">
        <f>DATE(2012,5,18) + TIME(7,27,47)</f>
        <v>41047.310960648145</v>
      </c>
      <c r="C1238">
        <v>80</v>
      </c>
      <c r="D1238">
        <v>79.916175842000001</v>
      </c>
      <c r="E1238">
        <v>50</v>
      </c>
      <c r="F1238">
        <v>48.313346863</v>
      </c>
      <c r="G1238">
        <v>1367.8446045000001</v>
      </c>
      <c r="H1238">
        <v>1358.6445312000001</v>
      </c>
      <c r="I1238">
        <v>1305.3322754000001</v>
      </c>
      <c r="J1238">
        <v>1294.5292969</v>
      </c>
      <c r="K1238">
        <v>1375</v>
      </c>
      <c r="L1238">
        <v>0</v>
      </c>
      <c r="M1238">
        <v>0</v>
      </c>
      <c r="N1238">
        <v>1375</v>
      </c>
    </row>
    <row r="1239" spans="1:14" x14ac:dyDescent="0.25">
      <c r="A1239">
        <v>748.83073999999999</v>
      </c>
      <c r="B1239" s="1">
        <f>DATE(2012,5,18) + TIME(19,56,15)</f>
        <v>41047.830729166664</v>
      </c>
      <c r="C1239">
        <v>80</v>
      </c>
      <c r="D1239">
        <v>79.916259765999996</v>
      </c>
      <c r="E1239">
        <v>50</v>
      </c>
      <c r="F1239">
        <v>48.274456024000003</v>
      </c>
      <c r="G1239">
        <v>1367.7924805</v>
      </c>
      <c r="H1239">
        <v>1358.6021728999999</v>
      </c>
      <c r="I1239">
        <v>1305.3250731999999</v>
      </c>
      <c r="J1239">
        <v>1294.5200195</v>
      </c>
      <c r="K1239">
        <v>1375</v>
      </c>
      <c r="L1239">
        <v>0</v>
      </c>
      <c r="M1239">
        <v>0</v>
      </c>
      <c r="N1239">
        <v>1375</v>
      </c>
    </row>
    <row r="1240" spans="1:14" x14ac:dyDescent="0.25">
      <c r="A1240">
        <v>749.36746300000004</v>
      </c>
      <c r="B1240" s="1">
        <f>DATE(2012,5,19) + TIME(8,49,8)</f>
        <v>41048.3674537037</v>
      </c>
      <c r="C1240">
        <v>80</v>
      </c>
      <c r="D1240">
        <v>79.916336060000006</v>
      </c>
      <c r="E1240">
        <v>50</v>
      </c>
      <c r="F1240">
        <v>48.234668732000003</v>
      </c>
      <c r="G1240">
        <v>1367.7399902</v>
      </c>
      <c r="H1240">
        <v>1358.5595702999999</v>
      </c>
      <c r="I1240">
        <v>1305.3176269999999</v>
      </c>
      <c r="J1240">
        <v>1294.5104980000001</v>
      </c>
      <c r="K1240">
        <v>1375</v>
      </c>
      <c r="L1240">
        <v>0</v>
      </c>
      <c r="M1240">
        <v>0</v>
      </c>
      <c r="N1240">
        <v>1375</v>
      </c>
    </row>
    <row r="1241" spans="1:14" x14ac:dyDescent="0.25">
      <c r="A1241">
        <v>749.91868399999998</v>
      </c>
      <c r="B1241" s="1">
        <f>DATE(2012,5,19) + TIME(22,2,54)</f>
        <v>41048.918680555558</v>
      </c>
      <c r="C1241">
        <v>80</v>
      </c>
      <c r="D1241">
        <v>79.916389464999995</v>
      </c>
      <c r="E1241">
        <v>50</v>
      </c>
      <c r="F1241">
        <v>48.194118500000002</v>
      </c>
      <c r="G1241">
        <v>1367.6870117000001</v>
      </c>
      <c r="H1241">
        <v>1358.5167236</v>
      </c>
      <c r="I1241">
        <v>1305.3099365</v>
      </c>
      <c r="J1241">
        <v>1294.5007324000001</v>
      </c>
      <c r="K1241">
        <v>1375</v>
      </c>
      <c r="L1241">
        <v>0</v>
      </c>
      <c r="M1241">
        <v>0</v>
      </c>
      <c r="N1241">
        <v>1375</v>
      </c>
    </row>
    <row r="1242" spans="1:14" x14ac:dyDescent="0.25">
      <c r="A1242">
        <v>750.47334899999998</v>
      </c>
      <c r="B1242" s="1">
        <f>DATE(2012,5,20) + TIME(11,21,37)</f>
        <v>41049.473344907405</v>
      </c>
      <c r="C1242">
        <v>80</v>
      </c>
      <c r="D1242">
        <v>79.916427612000007</v>
      </c>
      <c r="E1242">
        <v>50</v>
      </c>
      <c r="F1242">
        <v>48.153415680000002</v>
      </c>
      <c r="G1242">
        <v>1367.6339111</v>
      </c>
      <c r="H1242">
        <v>1358.4737548999999</v>
      </c>
      <c r="I1242">
        <v>1305.3020019999999</v>
      </c>
      <c r="J1242">
        <v>1294.4906006000001</v>
      </c>
      <c r="K1242">
        <v>1375</v>
      </c>
      <c r="L1242">
        <v>0</v>
      </c>
      <c r="M1242">
        <v>0</v>
      </c>
      <c r="N1242">
        <v>1375</v>
      </c>
    </row>
    <row r="1243" spans="1:14" x14ac:dyDescent="0.25">
      <c r="A1243">
        <v>751.03302099999996</v>
      </c>
      <c r="B1243" s="1">
        <f>DATE(2012,5,21) + TIME(0,47,33)</f>
        <v>41050.033020833333</v>
      </c>
      <c r="C1243">
        <v>80</v>
      </c>
      <c r="D1243">
        <v>79.916458129999995</v>
      </c>
      <c r="E1243">
        <v>50</v>
      </c>
      <c r="F1243">
        <v>48.112541198999999</v>
      </c>
      <c r="G1243">
        <v>1367.5817870999999</v>
      </c>
      <c r="H1243">
        <v>1358.4316406</v>
      </c>
      <c r="I1243">
        <v>1305.2939452999999</v>
      </c>
      <c r="J1243">
        <v>1294.4804687999999</v>
      </c>
      <c r="K1243">
        <v>1375</v>
      </c>
      <c r="L1243">
        <v>0</v>
      </c>
      <c r="M1243">
        <v>0</v>
      </c>
      <c r="N1243">
        <v>1375</v>
      </c>
    </row>
    <row r="1244" spans="1:14" x14ac:dyDescent="0.25">
      <c r="A1244">
        <v>751.59883100000002</v>
      </c>
      <c r="B1244" s="1">
        <f>DATE(2012,5,21) + TIME(14,22,18)</f>
        <v>41050.598819444444</v>
      </c>
      <c r="C1244">
        <v>80</v>
      </c>
      <c r="D1244">
        <v>79.916473389000004</v>
      </c>
      <c r="E1244">
        <v>50</v>
      </c>
      <c r="F1244">
        <v>48.071475982999999</v>
      </c>
      <c r="G1244">
        <v>1367.5303954999999</v>
      </c>
      <c r="H1244">
        <v>1358.3902588000001</v>
      </c>
      <c r="I1244">
        <v>1305.2857666</v>
      </c>
      <c r="J1244">
        <v>1294.4700928</v>
      </c>
      <c r="K1244">
        <v>1375</v>
      </c>
      <c r="L1244">
        <v>0</v>
      </c>
      <c r="M1244">
        <v>0</v>
      </c>
      <c r="N1244">
        <v>1375</v>
      </c>
    </row>
    <row r="1245" spans="1:14" x14ac:dyDescent="0.25">
      <c r="A1245">
        <v>752.17212099999995</v>
      </c>
      <c r="B1245" s="1">
        <f>DATE(2012,5,22) + TIME(4,7,51)</f>
        <v>41051.172118055554</v>
      </c>
      <c r="C1245">
        <v>80</v>
      </c>
      <c r="D1245">
        <v>79.916481017999999</v>
      </c>
      <c r="E1245">
        <v>50</v>
      </c>
      <c r="F1245">
        <v>48.030174254999999</v>
      </c>
      <c r="G1245">
        <v>1367.4796143000001</v>
      </c>
      <c r="H1245">
        <v>1358.3492432</v>
      </c>
      <c r="I1245">
        <v>1305.2774658000001</v>
      </c>
      <c r="J1245">
        <v>1294.4597168</v>
      </c>
      <c r="K1245">
        <v>1375</v>
      </c>
      <c r="L1245">
        <v>0</v>
      </c>
      <c r="M1245">
        <v>0</v>
      </c>
      <c r="N1245">
        <v>1375</v>
      </c>
    </row>
    <row r="1246" spans="1:14" x14ac:dyDescent="0.25">
      <c r="A1246">
        <v>752.75155900000004</v>
      </c>
      <c r="B1246" s="1">
        <f>DATE(2012,5,22) + TIME(18,2,14)</f>
        <v>41051.751550925925</v>
      </c>
      <c r="C1246">
        <v>80</v>
      </c>
      <c r="D1246">
        <v>79.916488646999994</v>
      </c>
      <c r="E1246">
        <v>50</v>
      </c>
      <c r="F1246">
        <v>47.988719940000003</v>
      </c>
      <c r="G1246">
        <v>1367.4293213000001</v>
      </c>
      <c r="H1246">
        <v>1358.3087158000001</v>
      </c>
      <c r="I1246">
        <v>1305.269043</v>
      </c>
      <c r="J1246">
        <v>1294.4490966999999</v>
      </c>
      <c r="K1246">
        <v>1375</v>
      </c>
      <c r="L1246">
        <v>0</v>
      </c>
      <c r="M1246">
        <v>0</v>
      </c>
      <c r="N1246">
        <v>1375</v>
      </c>
    </row>
    <row r="1247" spans="1:14" x14ac:dyDescent="0.25">
      <c r="A1247">
        <v>753.33678299999997</v>
      </c>
      <c r="B1247" s="1">
        <f>DATE(2012,5,23) + TIME(8,4,58)</f>
        <v>41052.336782407408</v>
      </c>
      <c r="C1247">
        <v>80</v>
      </c>
      <c r="D1247">
        <v>79.916481017999999</v>
      </c>
      <c r="E1247">
        <v>50</v>
      </c>
      <c r="F1247">
        <v>47.947151183999999</v>
      </c>
      <c r="G1247">
        <v>1367.3796387</v>
      </c>
      <c r="H1247">
        <v>1358.2687988</v>
      </c>
      <c r="I1247">
        <v>1305.2604980000001</v>
      </c>
      <c r="J1247">
        <v>1294.4382324000001</v>
      </c>
      <c r="K1247">
        <v>1375</v>
      </c>
      <c r="L1247">
        <v>0</v>
      </c>
      <c r="M1247">
        <v>0</v>
      </c>
      <c r="N1247">
        <v>1375</v>
      </c>
    </row>
    <row r="1248" spans="1:14" x14ac:dyDescent="0.25">
      <c r="A1248">
        <v>753.92911200000003</v>
      </c>
      <c r="B1248" s="1">
        <f>DATE(2012,5,23) + TIME(22,17,55)</f>
        <v>41052.929108796299</v>
      </c>
      <c r="C1248">
        <v>80</v>
      </c>
      <c r="D1248">
        <v>79.916473389000004</v>
      </c>
      <c r="E1248">
        <v>50</v>
      </c>
      <c r="F1248">
        <v>47.905410766999999</v>
      </c>
      <c r="G1248">
        <v>1367.3304443</v>
      </c>
      <c r="H1248">
        <v>1358.2292480000001</v>
      </c>
      <c r="I1248">
        <v>1305.2518310999999</v>
      </c>
      <c r="J1248">
        <v>1294.4273682</v>
      </c>
      <c r="K1248">
        <v>1375</v>
      </c>
      <c r="L1248">
        <v>0</v>
      </c>
      <c r="M1248">
        <v>0</v>
      </c>
      <c r="N1248">
        <v>1375</v>
      </c>
    </row>
    <row r="1249" spans="1:14" x14ac:dyDescent="0.25">
      <c r="A1249">
        <v>754.52969499999995</v>
      </c>
      <c r="B1249" s="1">
        <f>DATE(2012,5,24) + TIME(12,42,45)</f>
        <v>41053.529687499999</v>
      </c>
      <c r="C1249">
        <v>80</v>
      </c>
      <c r="D1249">
        <v>79.916458129999995</v>
      </c>
      <c r="E1249">
        <v>50</v>
      </c>
      <c r="F1249">
        <v>47.863449097</v>
      </c>
      <c r="G1249">
        <v>1367.2817382999999</v>
      </c>
      <c r="H1249">
        <v>1358.1901855000001</v>
      </c>
      <c r="I1249">
        <v>1305.2430420000001</v>
      </c>
      <c r="J1249">
        <v>1294.4162598</v>
      </c>
      <c r="K1249">
        <v>1375</v>
      </c>
      <c r="L1249">
        <v>0</v>
      </c>
      <c r="M1249">
        <v>0</v>
      </c>
      <c r="N1249">
        <v>1375</v>
      </c>
    </row>
    <row r="1250" spans="1:14" x14ac:dyDescent="0.25">
      <c r="A1250">
        <v>755.13986999999997</v>
      </c>
      <c r="B1250" s="1">
        <f>DATE(2012,5,25) + TIME(3,21,24)</f>
        <v>41054.139861111114</v>
      </c>
      <c r="C1250">
        <v>80</v>
      </c>
      <c r="D1250">
        <v>79.916442871000001</v>
      </c>
      <c r="E1250">
        <v>50</v>
      </c>
      <c r="F1250">
        <v>47.821205139</v>
      </c>
      <c r="G1250">
        <v>1367.2335204999999</v>
      </c>
      <c r="H1250">
        <v>1358.1513672000001</v>
      </c>
      <c r="I1250">
        <v>1305.2341309000001</v>
      </c>
      <c r="J1250">
        <v>1294.4049072</v>
      </c>
      <c r="K1250">
        <v>1375</v>
      </c>
      <c r="L1250">
        <v>0</v>
      </c>
      <c r="M1250">
        <v>0</v>
      </c>
      <c r="N1250">
        <v>1375</v>
      </c>
    </row>
    <row r="1251" spans="1:14" x14ac:dyDescent="0.25">
      <c r="A1251">
        <v>755.76103799999999</v>
      </c>
      <c r="B1251" s="1">
        <f>DATE(2012,5,25) + TIME(18,15,53)</f>
        <v>41054.761030092595</v>
      </c>
      <c r="C1251">
        <v>80</v>
      </c>
      <c r="D1251">
        <v>79.916427612000007</v>
      </c>
      <c r="E1251">
        <v>50</v>
      </c>
      <c r="F1251">
        <v>47.778598785</v>
      </c>
      <c r="G1251">
        <v>1367.1854248</v>
      </c>
      <c r="H1251">
        <v>1358.1129149999999</v>
      </c>
      <c r="I1251">
        <v>1305.2249756000001</v>
      </c>
      <c r="J1251">
        <v>1294.3933105000001</v>
      </c>
      <c r="K1251">
        <v>1375</v>
      </c>
      <c r="L1251">
        <v>0</v>
      </c>
      <c r="M1251">
        <v>0</v>
      </c>
      <c r="N1251">
        <v>1375</v>
      </c>
    </row>
    <row r="1252" spans="1:14" x14ac:dyDescent="0.25">
      <c r="A1252">
        <v>756.39469799999995</v>
      </c>
      <c r="B1252" s="1">
        <f>DATE(2012,5,26) + TIME(9,28,21)</f>
        <v>41055.394687499997</v>
      </c>
      <c r="C1252">
        <v>80</v>
      </c>
      <c r="D1252">
        <v>79.916404724000003</v>
      </c>
      <c r="E1252">
        <v>50</v>
      </c>
      <c r="F1252">
        <v>47.735557556000003</v>
      </c>
      <c r="G1252">
        <v>1367.1374512</v>
      </c>
      <c r="H1252">
        <v>1358.0744629000001</v>
      </c>
      <c r="I1252">
        <v>1305.2156981999999</v>
      </c>
      <c r="J1252">
        <v>1294.3815918</v>
      </c>
      <c r="K1252">
        <v>1375</v>
      </c>
      <c r="L1252">
        <v>0</v>
      </c>
      <c r="M1252">
        <v>0</v>
      </c>
      <c r="N1252">
        <v>1375</v>
      </c>
    </row>
    <row r="1253" spans="1:14" x14ac:dyDescent="0.25">
      <c r="A1253">
        <v>757.04245400000002</v>
      </c>
      <c r="B1253" s="1">
        <f>DATE(2012,5,27) + TIME(1,1,8)</f>
        <v>41056.042453703703</v>
      </c>
      <c r="C1253">
        <v>80</v>
      </c>
      <c r="D1253">
        <v>79.916381835999999</v>
      </c>
      <c r="E1253">
        <v>50</v>
      </c>
      <c r="F1253">
        <v>47.691993713000002</v>
      </c>
      <c r="G1253">
        <v>1367.0895995999999</v>
      </c>
      <c r="H1253">
        <v>1358.0361327999999</v>
      </c>
      <c r="I1253">
        <v>1305.2060547000001</v>
      </c>
      <c r="J1253">
        <v>1294.3695068</v>
      </c>
      <c r="K1253">
        <v>1375</v>
      </c>
      <c r="L1253">
        <v>0</v>
      </c>
      <c r="M1253">
        <v>0</v>
      </c>
      <c r="N1253">
        <v>1375</v>
      </c>
    </row>
    <row r="1254" spans="1:14" x14ac:dyDescent="0.25">
      <c r="A1254">
        <v>757.706051</v>
      </c>
      <c r="B1254" s="1">
        <f>DATE(2012,5,27) + TIME(16,56,42)</f>
        <v>41056.706041666665</v>
      </c>
      <c r="C1254">
        <v>80</v>
      </c>
      <c r="D1254">
        <v>79.916358947999996</v>
      </c>
      <c r="E1254">
        <v>50</v>
      </c>
      <c r="F1254">
        <v>47.647815704000003</v>
      </c>
      <c r="G1254">
        <v>1367.041626</v>
      </c>
      <c r="H1254">
        <v>1357.9978027</v>
      </c>
      <c r="I1254">
        <v>1305.1962891000001</v>
      </c>
      <c r="J1254">
        <v>1294.3570557</v>
      </c>
      <c r="K1254">
        <v>1375</v>
      </c>
      <c r="L1254">
        <v>0</v>
      </c>
      <c r="M1254">
        <v>0</v>
      </c>
      <c r="N1254">
        <v>1375</v>
      </c>
    </row>
    <row r="1255" spans="1:14" x14ac:dyDescent="0.25">
      <c r="A1255">
        <v>758.38740900000005</v>
      </c>
      <c r="B1255" s="1">
        <f>DATE(2012,5,28) + TIME(9,17,52)</f>
        <v>41057.387407407405</v>
      </c>
      <c r="C1255">
        <v>80</v>
      </c>
      <c r="D1255">
        <v>79.916336060000006</v>
      </c>
      <c r="E1255">
        <v>50</v>
      </c>
      <c r="F1255">
        <v>47.602920531999999</v>
      </c>
      <c r="G1255">
        <v>1366.9934082</v>
      </c>
      <c r="H1255">
        <v>1357.9593506000001</v>
      </c>
      <c r="I1255">
        <v>1305.1861572</v>
      </c>
      <c r="J1255">
        <v>1294.3443603999999</v>
      </c>
      <c r="K1255">
        <v>1375</v>
      </c>
      <c r="L1255">
        <v>0</v>
      </c>
      <c r="M1255">
        <v>0</v>
      </c>
      <c r="N1255">
        <v>1375</v>
      </c>
    </row>
    <row r="1256" spans="1:14" x14ac:dyDescent="0.25">
      <c r="A1256">
        <v>759.08865600000001</v>
      </c>
      <c r="B1256" s="1">
        <f>DATE(2012,5,29) + TIME(2,7,39)</f>
        <v>41058.088645833333</v>
      </c>
      <c r="C1256">
        <v>80</v>
      </c>
      <c r="D1256">
        <v>79.916313170999999</v>
      </c>
      <c r="E1256">
        <v>50</v>
      </c>
      <c r="F1256">
        <v>47.557205199999999</v>
      </c>
      <c r="G1256">
        <v>1366.9449463000001</v>
      </c>
      <c r="H1256">
        <v>1357.9206543</v>
      </c>
      <c r="I1256">
        <v>1305.1756591999999</v>
      </c>
      <c r="J1256">
        <v>1294.3310547000001</v>
      </c>
      <c r="K1256">
        <v>1375</v>
      </c>
      <c r="L1256">
        <v>0</v>
      </c>
      <c r="M1256">
        <v>0</v>
      </c>
      <c r="N1256">
        <v>1375</v>
      </c>
    </row>
    <row r="1257" spans="1:14" x14ac:dyDescent="0.25">
      <c r="A1257">
        <v>759.81227799999999</v>
      </c>
      <c r="B1257" s="1">
        <f>DATE(2012,5,29) + TIME(19,29,40)</f>
        <v>41058.812268518515</v>
      </c>
      <c r="C1257">
        <v>80</v>
      </c>
      <c r="D1257">
        <v>79.916282654</v>
      </c>
      <c r="E1257">
        <v>50</v>
      </c>
      <c r="F1257">
        <v>47.510536193999997</v>
      </c>
      <c r="G1257">
        <v>1366.8961182</v>
      </c>
      <c r="H1257">
        <v>1357.8815918</v>
      </c>
      <c r="I1257">
        <v>1305.1647949000001</v>
      </c>
      <c r="J1257">
        <v>1294.3175048999999</v>
      </c>
      <c r="K1257">
        <v>1375</v>
      </c>
      <c r="L1257">
        <v>0</v>
      </c>
      <c r="M1257">
        <v>0</v>
      </c>
      <c r="N1257">
        <v>1375</v>
      </c>
    </row>
    <row r="1258" spans="1:14" x14ac:dyDescent="0.25">
      <c r="A1258">
        <v>760.55831699999999</v>
      </c>
      <c r="B1258" s="1">
        <f>DATE(2012,5,30) + TIME(13,23,58)</f>
        <v>41059.558310185188</v>
      </c>
      <c r="C1258">
        <v>80</v>
      </c>
      <c r="D1258">
        <v>79.916259765999996</v>
      </c>
      <c r="E1258">
        <v>50</v>
      </c>
      <c r="F1258">
        <v>47.462898254000002</v>
      </c>
      <c r="G1258">
        <v>1366.8468018000001</v>
      </c>
      <c r="H1258">
        <v>1357.8422852000001</v>
      </c>
      <c r="I1258">
        <v>1305.1535644999999</v>
      </c>
      <c r="J1258">
        <v>1294.3033447</v>
      </c>
      <c r="K1258">
        <v>1375</v>
      </c>
      <c r="L1258">
        <v>0</v>
      </c>
      <c r="M1258">
        <v>0</v>
      </c>
      <c r="N1258">
        <v>1375</v>
      </c>
    </row>
    <row r="1259" spans="1:14" x14ac:dyDescent="0.25">
      <c r="A1259">
        <v>761.310609</v>
      </c>
      <c r="B1259" s="1">
        <f>DATE(2012,5,31) + TIME(7,27,16)</f>
        <v>41060.310601851852</v>
      </c>
      <c r="C1259">
        <v>80</v>
      </c>
      <c r="D1259">
        <v>79.916229247999993</v>
      </c>
      <c r="E1259">
        <v>50</v>
      </c>
      <c r="F1259">
        <v>47.414970398000001</v>
      </c>
      <c r="G1259">
        <v>1366.796875</v>
      </c>
      <c r="H1259">
        <v>1357.8024902</v>
      </c>
      <c r="I1259">
        <v>1305.1418457</v>
      </c>
      <c r="J1259">
        <v>1294.2886963000001</v>
      </c>
      <c r="K1259">
        <v>1375</v>
      </c>
      <c r="L1259">
        <v>0</v>
      </c>
      <c r="M1259">
        <v>0</v>
      </c>
      <c r="N1259">
        <v>1375</v>
      </c>
    </row>
    <row r="1260" spans="1:14" x14ac:dyDescent="0.25">
      <c r="A1260">
        <v>762.06722200000002</v>
      </c>
      <c r="B1260" s="1">
        <f>DATE(2012,6,1) + TIME(1,36,47)</f>
        <v>41061.067210648151</v>
      </c>
      <c r="C1260">
        <v>80</v>
      </c>
      <c r="D1260">
        <v>79.916198730000005</v>
      </c>
      <c r="E1260">
        <v>50</v>
      </c>
      <c r="F1260">
        <v>47.366928100999999</v>
      </c>
      <c r="G1260">
        <v>1366.7475586</v>
      </c>
      <c r="H1260">
        <v>1357.7631836</v>
      </c>
      <c r="I1260">
        <v>1305.1300048999999</v>
      </c>
      <c r="J1260">
        <v>1294.2736815999999</v>
      </c>
      <c r="K1260">
        <v>1375</v>
      </c>
      <c r="L1260">
        <v>0</v>
      </c>
      <c r="M1260">
        <v>0</v>
      </c>
      <c r="N1260">
        <v>1375</v>
      </c>
    </row>
    <row r="1261" spans="1:14" x14ac:dyDescent="0.25">
      <c r="A1261">
        <v>762.83015699999999</v>
      </c>
      <c r="B1261" s="1">
        <f>DATE(2012,6,1) + TIME(19,55,25)</f>
        <v>41061.830150462964</v>
      </c>
      <c r="C1261">
        <v>80</v>
      </c>
      <c r="D1261">
        <v>79.916175842000001</v>
      </c>
      <c r="E1261">
        <v>50</v>
      </c>
      <c r="F1261">
        <v>47.318763732999997</v>
      </c>
      <c r="G1261">
        <v>1366.6989745999999</v>
      </c>
      <c r="H1261">
        <v>1357.7244873</v>
      </c>
      <c r="I1261">
        <v>1305.1179199000001</v>
      </c>
      <c r="J1261">
        <v>1294.2586670000001</v>
      </c>
      <c r="K1261">
        <v>1375</v>
      </c>
      <c r="L1261">
        <v>0</v>
      </c>
      <c r="M1261">
        <v>0</v>
      </c>
      <c r="N1261">
        <v>1375</v>
      </c>
    </row>
    <row r="1262" spans="1:14" x14ac:dyDescent="0.25">
      <c r="A1262">
        <v>763.60089400000004</v>
      </c>
      <c r="B1262" s="1">
        <f>DATE(2012,6,2) + TIME(14,25,17)</f>
        <v>41062.600891203707</v>
      </c>
      <c r="C1262">
        <v>80</v>
      </c>
      <c r="D1262">
        <v>79.916145325000002</v>
      </c>
      <c r="E1262">
        <v>50</v>
      </c>
      <c r="F1262">
        <v>47.270458220999998</v>
      </c>
      <c r="G1262">
        <v>1366.651001</v>
      </c>
      <c r="H1262">
        <v>1357.6862793</v>
      </c>
      <c r="I1262">
        <v>1305.1057129000001</v>
      </c>
      <c r="J1262">
        <v>1294.2432861</v>
      </c>
      <c r="K1262">
        <v>1375</v>
      </c>
      <c r="L1262">
        <v>0</v>
      </c>
      <c r="M1262">
        <v>0</v>
      </c>
      <c r="N1262">
        <v>1375</v>
      </c>
    </row>
    <row r="1263" spans="1:14" x14ac:dyDescent="0.25">
      <c r="A1263">
        <v>764.38120700000002</v>
      </c>
      <c r="B1263" s="1">
        <f>DATE(2012,6,3) + TIME(9,8,56)</f>
        <v>41063.381203703706</v>
      </c>
      <c r="C1263">
        <v>80</v>
      </c>
      <c r="D1263">
        <v>79.916122436999999</v>
      </c>
      <c r="E1263">
        <v>50</v>
      </c>
      <c r="F1263">
        <v>47.221946715999998</v>
      </c>
      <c r="G1263">
        <v>1366.6033935999999</v>
      </c>
      <c r="H1263">
        <v>1357.6484375</v>
      </c>
      <c r="I1263">
        <v>1305.0932617000001</v>
      </c>
      <c r="J1263">
        <v>1294.2276611</v>
      </c>
      <c r="K1263">
        <v>1375</v>
      </c>
      <c r="L1263">
        <v>0</v>
      </c>
      <c r="M1263">
        <v>0</v>
      </c>
      <c r="N1263">
        <v>1375</v>
      </c>
    </row>
    <row r="1264" spans="1:14" x14ac:dyDescent="0.25">
      <c r="A1264">
        <v>765.17292399999997</v>
      </c>
      <c r="B1264" s="1">
        <f>DATE(2012,6,4) + TIME(4,9,0)</f>
        <v>41064.17291666667</v>
      </c>
      <c r="C1264">
        <v>80</v>
      </c>
      <c r="D1264">
        <v>79.916099548000005</v>
      </c>
      <c r="E1264">
        <v>50</v>
      </c>
      <c r="F1264">
        <v>47.173156738000003</v>
      </c>
      <c r="G1264">
        <v>1366.5561522999999</v>
      </c>
      <c r="H1264">
        <v>1357.6108397999999</v>
      </c>
      <c r="I1264">
        <v>1305.0805664</v>
      </c>
      <c r="J1264">
        <v>1294.2116699000001</v>
      </c>
      <c r="K1264">
        <v>1375</v>
      </c>
      <c r="L1264">
        <v>0</v>
      </c>
      <c r="M1264">
        <v>0</v>
      </c>
      <c r="N1264">
        <v>1375</v>
      </c>
    </row>
    <row r="1265" spans="1:14" x14ac:dyDescent="0.25">
      <c r="A1265">
        <v>765.97143100000005</v>
      </c>
      <c r="B1265" s="1">
        <f>DATE(2012,6,4) + TIME(23,18,51)</f>
        <v>41064.97142361111</v>
      </c>
      <c r="C1265">
        <v>80</v>
      </c>
      <c r="D1265">
        <v>79.916069031000006</v>
      </c>
      <c r="E1265">
        <v>50</v>
      </c>
      <c r="F1265">
        <v>47.124267578000001</v>
      </c>
      <c r="G1265">
        <v>1366.5091553</v>
      </c>
      <c r="H1265">
        <v>1357.5734863</v>
      </c>
      <c r="I1265">
        <v>1305.0676269999999</v>
      </c>
      <c r="J1265">
        <v>1294.1953125</v>
      </c>
      <c r="K1265">
        <v>1375</v>
      </c>
      <c r="L1265">
        <v>0</v>
      </c>
      <c r="M1265">
        <v>0</v>
      </c>
      <c r="N1265">
        <v>1375</v>
      </c>
    </row>
    <row r="1266" spans="1:14" x14ac:dyDescent="0.25">
      <c r="A1266">
        <v>766.77828799999997</v>
      </c>
      <c r="B1266" s="1">
        <f>DATE(2012,6,5) + TIME(18,40,44)</f>
        <v>41065.778287037036</v>
      </c>
      <c r="C1266">
        <v>80</v>
      </c>
      <c r="D1266">
        <v>79.916046143000003</v>
      </c>
      <c r="E1266">
        <v>50</v>
      </c>
      <c r="F1266">
        <v>47.075233459000003</v>
      </c>
      <c r="G1266">
        <v>1366.4625243999999</v>
      </c>
      <c r="H1266">
        <v>1357.536499</v>
      </c>
      <c r="I1266">
        <v>1305.0544434000001</v>
      </c>
      <c r="J1266">
        <v>1294.1787108999999</v>
      </c>
      <c r="K1266">
        <v>1375</v>
      </c>
      <c r="L1266">
        <v>0</v>
      </c>
      <c r="M1266">
        <v>0</v>
      </c>
      <c r="N1266">
        <v>1375</v>
      </c>
    </row>
    <row r="1267" spans="1:14" x14ac:dyDescent="0.25">
      <c r="A1267">
        <v>767.59499400000004</v>
      </c>
      <c r="B1267" s="1">
        <f>DATE(2012,6,6) + TIME(14,16,47)</f>
        <v>41066.594988425924</v>
      </c>
      <c r="C1267">
        <v>80</v>
      </c>
      <c r="D1267">
        <v>79.916023253999995</v>
      </c>
      <c r="E1267">
        <v>50</v>
      </c>
      <c r="F1267">
        <v>47.026004790999998</v>
      </c>
      <c r="G1267">
        <v>1366.4163818</v>
      </c>
      <c r="H1267">
        <v>1357.4998779</v>
      </c>
      <c r="I1267">
        <v>1305.0410156</v>
      </c>
      <c r="J1267">
        <v>1294.1617432</v>
      </c>
      <c r="K1267">
        <v>1375</v>
      </c>
      <c r="L1267">
        <v>0</v>
      </c>
      <c r="M1267">
        <v>0</v>
      </c>
      <c r="N1267">
        <v>1375</v>
      </c>
    </row>
    <row r="1268" spans="1:14" x14ac:dyDescent="0.25">
      <c r="A1268">
        <v>768.42328299999997</v>
      </c>
      <c r="B1268" s="1">
        <f>DATE(2012,6,7) + TIME(10,9,31)</f>
        <v>41067.423275462963</v>
      </c>
      <c r="C1268">
        <v>80</v>
      </c>
      <c r="D1268">
        <v>79.916000366000006</v>
      </c>
      <c r="E1268">
        <v>50</v>
      </c>
      <c r="F1268">
        <v>46.976501464999998</v>
      </c>
      <c r="G1268">
        <v>1366.3704834</v>
      </c>
      <c r="H1268">
        <v>1357.463501</v>
      </c>
      <c r="I1268">
        <v>1305.0272216999999</v>
      </c>
      <c r="J1268">
        <v>1294.1444091999999</v>
      </c>
      <c r="K1268">
        <v>1375</v>
      </c>
      <c r="L1268">
        <v>0</v>
      </c>
      <c r="M1268">
        <v>0</v>
      </c>
      <c r="N1268">
        <v>1375</v>
      </c>
    </row>
    <row r="1269" spans="1:14" x14ac:dyDescent="0.25">
      <c r="A1269">
        <v>769.26502300000004</v>
      </c>
      <c r="B1269" s="1">
        <f>DATE(2012,6,8) + TIME(6,21,38)</f>
        <v>41068.265023148146</v>
      </c>
      <c r="C1269">
        <v>80</v>
      </c>
      <c r="D1269">
        <v>79.915985106999997</v>
      </c>
      <c r="E1269">
        <v>50</v>
      </c>
      <c r="F1269">
        <v>46.926635742000002</v>
      </c>
      <c r="G1269">
        <v>1366.3248291</v>
      </c>
      <c r="H1269">
        <v>1357.4272461</v>
      </c>
      <c r="I1269">
        <v>1305.0131836</v>
      </c>
      <c r="J1269">
        <v>1294.1267089999999</v>
      </c>
      <c r="K1269">
        <v>1375</v>
      </c>
      <c r="L1269">
        <v>0</v>
      </c>
      <c r="M1269">
        <v>0</v>
      </c>
      <c r="N1269">
        <v>1375</v>
      </c>
    </row>
    <row r="1270" spans="1:14" x14ac:dyDescent="0.25">
      <c r="A1270">
        <v>770.12219200000004</v>
      </c>
      <c r="B1270" s="1">
        <f>DATE(2012,6,9) + TIME(2,55,57)</f>
        <v>41069.122187499997</v>
      </c>
      <c r="C1270">
        <v>80</v>
      </c>
      <c r="D1270">
        <v>79.915962218999994</v>
      </c>
      <c r="E1270">
        <v>50</v>
      </c>
      <c r="F1270">
        <v>46.876312255999999</v>
      </c>
      <c r="G1270">
        <v>1366.2792969</v>
      </c>
      <c r="H1270">
        <v>1357.3909911999999</v>
      </c>
      <c r="I1270">
        <v>1304.9989014</v>
      </c>
      <c r="J1270">
        <v>1294.1085204999999</v>
      </c>
      <c r="K1270">
        <v>1375</v>
      </c>
      <c r="L1270">
        <v>0</v>
      </c>
      <c r="M1270">
        <v>0</v>
      </c>
      <c r="N1270">
        <v>1375</v>
      </c>
    </row>
    <row r="1271" spans="1:14" x14ac:dyDescent="0.25">
      <c r="A1271">
        <v>770.99689699999999</v>
      </c>
      <c r="B1271" s="1">
        <f>DATE(2012,6,9) + TIME(23,55,31)</f>
        <v>41069.996886574074</v>
      </c>
      <c r="C1271">
        <v>80</v>
      </c>
      <c r="D1271">
        <v>79.915946959999999</v>
      </c>
      <c r="E1271">
        <v>50</v>
      </c>
      <c r="F1271">
        <v>46.825424194</v>
      </c>
      <c r="G1271">
        <v>1366.2336425999999</v>
      </c>
      <c r="H1271">
        <v>1357.3548584</v>
      </c>
      <c r="I1271">
        <v>1304.9841309000001</v>
      </c>
      <c r="J1271">
        <v>1294.0898437999999</v>
      </c>
      <c r="K1271">
        <v>1375</v>
      </c>
      <c r="L1271">
        <v>0</v>
      </c>
      <c r="M1271">
        <v>0</v>
      </c>
      <c r="N1271">
        <v>1375</v>
      </c>
    </row>
    <row r="1272" spans="1:14" x14ac:dyDescent="0.25">
      <c r="A1272">
        <v>771.89144199999998</v>
      </c>
      <c r="B1272" s="1">
        <f>DATE(2012,6,10) + TIME(21,23,40)</f>
        <v>41070.891435185185</v>
      </c>
      <c r="C1272">
        <v>80</v>
      </c>
      <c r="D1272">
        <v>79.915924071999996</v>
      </c>
      <c r="E1272">
        <v>50</v>
      </c>
      <c r="F1272">
        <v>46.773860931000002</v>
      </c>
      <c r="G1272">
        <v>1366.1879882999999</v>
      </c>
      <c r="H1272">
        <v>1357.3186035000001</v>
      </c>
      <c r="I1272">
        <v>1304.9688721</v>
      </c>
      <c r="J1272">
        <v>1294.0705565999999</v>
      </c>
      <c r="K1272">
        <v>1375</v>
      </c>
      <c r="L1272">
        <v>0</v>
      </c>
      <c r="M1272">
        <v>0</v>
      </c>
      <c r="N1272">
        <v>1375</v>
      </c>
    </row>
    <row r="1273" spans="1:14" x14ac:dyDescent="0.25">
      <c r="A1273">
        <v>772.80833399999995</v>
      </c>
      <c r="B1273" s="1">
        <f>DATE(2012,6,11) + TIME(19,24,0)</f>
        <v>41071.808333333334</v>
      </c>
      <c r="C1273">
        <v>80</v>
      </c>
      <c r="D1273">
        <v>79.915908813000001</v>
      </c>
      <c r="E1273">
        <v>50</v>
      </c>
      <c r="F1273">
        <v>46.721496582</v>
      </c>
      <c r="G1273">
        <v>1366.1420897999999</v>
      </c>
      <c r="H1273">
        <v>1357.2822266000001</v>
      </c>
      <c r="I1273">
        <v>1304.953125</v>
      </c>
      <c r="J1273">
        <v>1294.0506591999999</v>
      </c>
      <c r="K1273">
        <v>1375</v>
      </c>
      <c r="L1273">
        <v>0</v>
      </c>
      <c r="M1273">
        <v>0</v>
      </c>
      <c r="N1273">
        <v>1375</v>
      </c>
    </row>
    <row r="1274" spans="1:14" x14ac:dyDescent="0.25">
      <c r="A1274">
        <v>773.75034300000004</v>
      </c>
      <c r="B1274" s="1">
        <f>DATE(2012,6,12) + TIME(18,0,29)</f>
        <v>41072.750335648147</v>
      </c>
      <c r="C1274">
        <v>80</v>
      </c>
      <c r="D1274">
        <v>79.915893554999997</v>
      </c>
      <c r="E1274">
        <v>50</v>
      </c>
      <c r="F1274">
        <v>46.668197632000002</v>
      </c>
      <c r="G1274">
        <v>1366.0958252</v>
      </c>
      <c r="H1274">
        <v>1357.2454834</v>
      </c>
      <c r="I1274">
        <v>1304.9368896000001</v>
      </c>
      <c r="J1274">
        <v>1294.0299072</v>
      </c>
      <c r="K1274">
        <v>1375</v>
      </c>
      <c r="L1274">
        <v>0</v>
      </c>
      <c r="M1274">
        <v>0</v>
      </c>
      <c r="N1274">
        <v>1375</v>
      </c>
    </row>
    <row r="1275" spans="1:14" x14ac:dyDescent="0.25">
      <c r="A1275">
        <v>774.71137499999998</v>
      </c>
      <c r="B1275" s="1">
        <f>DATE(2012,6,13) + TIME(17,4,22)</f>
        <v>41073.711365740739</v>
      </c>
      <c r="C1275">
        <v>80</v>
      </c>
      <c r="D1275">
        <v>79.915878296000002</v>
      </c>
      <c r="E1275">
        <v>50</v>
      </c>
      <c r="F1275">
        <v>46.614135742000002</v>
      </c>
      <c r="G1275">
        <v>1366.0491943</v>
      </c>
      <c r="H1275">
        <v>1357.2084961</v>
      </c>
      <c r="I1275">
        <v>1304.9200439000001</v>
      </c>
      <c r="J1275">
        <v>1294.0084228999999</v>
      </c>
      <c r="K1275">
        <v>1375</v>
      </c>
      <c r="L1275">
        <v>0</v>
      </c>
      <c r="M1275">
        <v>0</v>
      </c>
      <c r="N1275">
        <v>1375</v>
      </c>
    </row>
    <row r="1276" spans="1:14" x14ac:dyDescent="0.25">
      <c r="A1276">
        <v>775.67796299999998</v>
      </c>
      <c r="B1276" s="1">
        <f>DATE(2012,6,14) + TIME(16,16,15)</f>
        <v>41074.677951388891</v>
      </c>
      <c r="C1276">
        <v>80</v>
      </c>
      <c r="D1276">
        <v>79.915863036999994</v>
      </c>
      <c r="E1276">
        <v>50</v>
      </c>
      <c r="F1276">
        <v>46.559795379999997</v>
      </c>
      <c r="G1276">
        <v>1366.0024414</v>
      </c>
      <c r="H1276">
        <v>1357.1715088000001</v>
      </c>
      <c r="I1276">
        <v>1304.9025879000001</v>
      </c>
      <c r="J1276">
        <v>1293.9863281</v>
      </c>
      <c r="K1276">
        <v>1375</v>
      </c>
      <c r="L1276">
        <v>0</v>
      </c>
      <c r="M1276">
        <v>0</v>
      </c>
      <c r="N1276">
        <v>1375</v>
      </c>
    </row>
    <row r="1277" spans="1:14" x14ac:dyDescent="0.25">
      <c r="A1277">
        <v>776.65240300000005</v>
      </c>
      <c r="B1277" s="1">
        <f>DATE(2012,6,15) + TIME(15,39,27)</f>
        <v>41075.652395833335</v>
      </c>
      <c r="C1277">
        <v>80</v>
      </c>
      <c r="D1277">
        <v>79.915855407999999</v>
      </c>
      <c r="E1277">
        <v>50</v>
      </c>
      <c r="F1277">
        <v>46.505214690999999</v>
      </c>
      <c r="G1277">
        <v>1365.9562988</v>
      </c>
      <c r="H1277">
        <v>1357.1348877</v>
      </c>
      <c r="I1277">
        <v>1304.8848877</v>
      </c>
      <c r="J1277">
        <v>1293.9637451000001</v>
      </c>
      <c r="K1277">
        <v>1375</v>
      </c>
      <c r="L1277">
        <v>0</v>
      </c>
      <c r="M1277">
        <v>0</v>
      </c>
      <c r="N1277">
        <v>1375</v>
      </c>
    </row>
    <row r="1278" spans="1:14" x14ac:dyDescent="0.25">
      <c r="A1278">
        <v>777.63674400000002</v>
      </c>
      <c r="B1278" s="1">
        <f>DATE(2012,6,16) + TIME(15,16,54)</f>
        <v>41076.636736111112</v>
      </c>
      <c r="C1278">
        <v>80</v>
      </c>
      <c r="D1278">
        <v>79.915840149000005</v>
      </c>
      <c r="E1278">
        <v>50</v>
      </c>
      <c r="F1278">
        <v>46.450378418</v>
      </c>
      <c r="G1278">
        <v>1365.9105225000001</v>
      </c>
      <c r="H1278">
        <v>1357.0986327999999</v>
      </c>
      <c r="I1278">
        <v>1304.8666992000001</v>
      </c>
      <c r="J1278">
        <v>1293.9406738</v>
      </c>
      <c r="K1278">
        <v>1375</v>
      </c>
      <c r="L1278">
        <v>0</v>
      </c>
      <c r="M1278">
        <v>0</v>
      </c>
      <c r="N1278">
        <v>1375</v>
      </c>
    </row>
    <row r="1279" spans="1:14" x14ac:dyDescent="0.25">
      <c r="A1279">
        <v>778.63327000000004</v>
      </c>
      <c r="B1279" s="1">
        <f>DATE(2012,6,17) + TIME(15,11,54)</f>
        <v>41077.633263888885</v>
      </c>
      <c r="C1279">
        <v>80</v>
      </c>
      <c r="D1279">
        <v>79.915832519999995</v>
      </c>
      <c r="E1279">
        <v>50</v>
      </c>
      <c r="F1279">
        <v>46.395217895999998</v>
      </c>
      <c r="G1279">
        <v>1365.8651123</v>
      </c>
      <c r="H1279">
        <v>1357.0626221</v>
      </c>
      <c r="I1279">
        <v>1304.8482666</v>
      </c>
      <c r="J1279">
        <v>1293.9169922000001</v>
      </c>
      <c r="K1279">
        <v>1375</v>
      </c>
      <c r="L1279">
        <v>0</v>
      </c>
      <c r="M1279">
        <v>0</v>
      </c>
      <c r="N1279">
        <v>1375</v>
      </c>
    </row>
    <row r="1280" spans="1:14" x14ac:dyDescent="0.25">
      <c r="A1280">
        <v>779.64434700000004</v>
      </c>
      <c r="B1280" s="1">
        <f>DATE(2012,6,18) + TIME(15,27,51)</f>
        <v>41078.64434027778</v>
      </c>
      <c r="C1280">
        <v>80</v>
      </c>
      <c r="D1280">
        <v>79.915824889999996</v>
      </c>
      <c r="E1280">
        <v>50</v>
      </c>
      <c r="F1280">
        <v>46.339645386000001</v>
      </c>
      <c r="G1280">
        <v>1365.8199463000001</v>
      </c>
      <c r="H1280">
        <v>1357.0268555</v>
      </c>
      <c r="I1280">
        <v>1304.8293457</v>
      </c>
      <c r="J1280">
        <v>1293.8928223</v>
      </c>
      <c r="K1280">
        <v>1375</v>
      </c>
      <c r="L1280">
        <v>0</v>
      </c>
      <c r="M1280">
        <v>0</v>
      </c>
      <c r="N1280">
        <v>1375</v>
      </c>
    </row>
    <row r="1281" spans="1:14" x14ac:dyDescent="0.25">
      <c r="A1281">
        <v>780.66840100000002</v>
      </c>
      <c r="B1281" s="1">
        <f>DATE(2012,6,19) + TIME(16,2,29)</f>
        <v>41079.668391203704</v>
      </c>
      <c r="C1281">
        <v>80</v>
      </c>
      <c r="D1281">
        <v>79.915817261000001</v>
      </c>
      <c r="E1281">
        <v>50</v>
      </c>
      <c r="F1281">
        <v>46.283683777</v>
      </c>
      <c r="G1281">
        <v>1365.7749022999999</v>
      </c>
      <c r="H1281">
        <v>1356.9910889</v>
      </c>
      <c r="I1281">
        <v>1304.8099365</v>
      </c>
      <c r="J1281">
        <v>1293.8677978999999</v>
      </c>
      <c r="K1281">
        <v>1375</v>
      </c>
      <c r="L1281">
        <v>0</v>
      </c>
      <c r="M1281">
        <v>0</v>
      </c>
      <c r="N1281">
        <v>1375</v>
      </c>
    </row>
    <row r="1282" spans="1:14" x14ac:dyDescent="0.25">
      <c r="A1282">
        <v>781.70219599999996</v>
      </c>
      <c r="B1282" s="1">
        <f>DATE(2012,6,20) + TIME(16,51,9)</f>
        <v>41080.702187499999</v>
      </c>
      <c r="C1282">
        <v>80</v>
      </c>
      <c r="D1282">
        <v>79.915809631000002</v>
      </c>
      <c r="E1282">
        <v>50</v>
      </c>
      <c r="F1282">
        <v>46.227428435999997</v>
      </c>
      <c r="G1282">
        <v>1365.7299805</v>
      </c>
      <c r="H1282">
        <v>1356.9555664</v>
      </c>
      <c r="I1282">
        <v>1304.7900391000001</v>
      </c>
      <c r="J1282">
        <v>1293.8422852000001</v>
      </c>
      <c r="K1282">
        <v>1375</v>
      </c>
      <c r="L1282">
        <v>0</v>
      </c>
      <c r="M1282">
        <v>0</v>
      </c>
      <c r="N1282">
        <v>1375</v>
      </c>
    </row>
    <row r="1283" spans="1:14" x14ac:dyDescent="0.25">
      <c r="A1283">
        <v>782.74789999999996</v>
      </c>
      <c r="B1283" s="1">
        <f>DATE(2012,6,21) + TIME(17,56,58)</f>
        <v>41081.747893518521</v>
      </c>
      <c r="C1283">
        <v>80</v>
      </c>
      <c r="D1283">
        <v>79.915802002000007</v>
      </c>
      <c r="E1283">
        <v>50</v>
      </c>
      <c r="F1283">
        <v>46.170829773000001</v>
      </c>
      <c r="G1283">
        <v>1365.6854248</v>
      </c>
      <c r="H1283">
        <v>1356.9201660000001</v>
      </c>
      <c r="I1283">
        <v>1304.7696533000001</v>
      </c>
      <c r="J1283">
        <v>1293.815918</v>
      </c>
      <c r="K1283">
        <v>1375</v>
      </c>
      <c r="L1283">
        <v>0</v>
      </c>
      <c r="M1283">
        <v>0</v>
      </c>
      <c r="N1283">
        <v>1375</v>
      </c>
    </row>
    <row r="1284" spans="1:14" x14ac:dyDescent="0.25">
      <c r="A1284">
        <v>783.80771400000003</v>
      </c>
      <c r="B1284" s="1">
        <f>DATE(2012,6,22) + TIME(19,23,6)</f>
        <v>41082.807708333334</v>
      </c>
      <c r="C1284">
        <v>80</v>
      </c>
      <c r="D1284">
        <v>79.915794372999997</v>
      </c>
      <c r="E1284">
        <v>50</v>
      </c>
      <c r="F1284">
        <v>46.113807678000001</v>
      </c>
      <c r="G1284">
        <v>1365.6411132999999</v>
      </c>
      <c r="H1284">
        <v>1356.8851318</v>
      </c>
      <c r="I1284">
        <v>1304.7489014</v>
      </c>
      <c r="J1284">
        <v>1293.7890625</v>
      </c>
      <c r="K1284">
        <v>1375</v>
      </c>
      <c r="L1284">
        <v>0</v>
      </c>
      <c r="M1284">
        <v>0</v>
      </c>
      <c r="N1284">
        <v>1375</v>
      </c>
    </row>
    <row r="1285" spans="1:14" x14ac:dyDescent="0.25">
      <c r="A1285">
        <v>784.88408000000004</v>
      </c>
      <c r="B1285" s="1">
        <f>DATE(2012,6,23) + TIME(21,13,4)</f>
        <v>41083.884074074071</v>
      </c>
      <c r="C1285">
        <v>80</v>
      </c>
      <c r="D1285">
        <v>79.915794372999997</v>
      </c>
      <c r="E1285">
        <v>50</v>
      </c>
      <c r="F1285">
        <v>46.056255341000004</v>
      </c>
      <c r="G1285">
        <v>1365.5969238</v>
      </c>
      <c r="H1285">
        <v>1356.8500977000001</v>
      </c>
      <c r="I1285">
        <v>1304.7274170000001</v>
      </c>
      <c r="J1285">
        <v>1293.7613524999999</v>
      </c>
      <c r="K1285">
        <v>1375</v>
      </c>
      <c r="L1285">
        <v>0</v>
      </c>
      <c r="M1285">
        <v>0</v>
      </c>
      <c r="N1285">
        <v>1375</v>
      </c>
    </row>
    <row r="1286" spans="1:14" x14ac:dyDescent="0.25">
      <c r="A1286">
        <v>785.97958100000005</v>
      </c>
      <c r="B1286" s="1">
        <f>DATE(2012,6,24) + TIME(23,30,35)</f>
        <v>41084.979571759257</v>
      </c>
      <c r="C1286">
        <v>80</v>
      </c>
      <c r="D1286">
        <v>79.915794372999997</v>
      </c>
      <c r="E1286">
        <v>50</v>
      </c>
      <c r="F1286">
        <v>45.998046875</v>
      </c>
      <c r="G1286">
        <v>1365.5527344</v>
      </c>
      <c r="H1286">
        <v>1356.8150635</v>
      </c>
      <c r="I1286">
        <v>1304.7054443</v>
      </c>
      <c r="J1286">
        <v>1293.7326660000001</v>
      </c>
      <c r="K1286">
        <v>1375</v>
      </c>
      <c r="L1286">
        <v>0</v>
      </c>
      <c r="M1286">
        <v>0</v>
      </c>
      <c r="N1286">
        <v>1375</v>
      </c>
    </row>
    <row r="1287" spans="1:14" x14ac:dyDescent="0.25">
      <c r="A1287">
        <v>787.09698500000002</v>
      </c>
      <c r="B1287" s="1">
        <f>DATE(2012,6,26) + TIME(2,19,39)</f>
        <v>41086.096979166665</v>
      </c>
      <c r="C1287">
        <v>80</v>
      </c>
      <c r="D1287">
        <v>79.915794372999997</v>
      </c>
      <c r="E1287">
        <v>50</v>
      </c>
      <c r="F1287">
        <v>45.939052582000002</v>
      </c>
      <c r="G1287">
        <v>1365.5085449000001</v>
      </c>
      <c r="H1287">
        <v>1356.7800293</v>
      </c>
      <c r="I1287">
        <v>1304.6827393000001</v>
      </c>
      <c r="J1287">
        <v>1293.703125</v>
      </c>
      <c r="K1287">
        <v>1375</v>
      </c>
      <c r="L1287">
        <v>0</v>
      </c>
      <c r="M1287">
        <v>0</v>
      </c>
      <c r="N1287">
        <v>1375</v>
      </c>
    </row>
    <row r="1288" spans="1:14" x14ac:dyDescent="0.25">
      <c r="A1288">
        <v>788.23931500000003</v>
      </c>
      <c r="B1288" s="1">
        <f>DATE(2012,6,27) + TIME(5,44,36)</f>
        <v>41087.239305555559</v>
      </c>
      <c r="C1288">
        <v>80</v>
      </c>
      <c r="D1288">
        <v>79.915794372999997</v>
      </c>
      <c r="E1288">
        <v>50</v>
      </c>
      <c r="F1288">
        <v>45.879119873</v>
      </c>
      <c r="G1288">
        <v>1365.4642334</v>
      </c>
      <c r="H1288">
        <v>1356.7448730000001</v>
      </c>
      <c r="I1288">
        <v>1304.6593018000001</v>
      </c>
      <c r="J1288">
        <v>1293.6726074000001</v>
      </c>
      <c r="K1288">
        <v>1375</v>
      </c>
      <c r="L1288">
        <v>0</v>
      </c>
      <c r="M1288">
        <v>0</v>
      </c>
      <c r="N1288">
        <v>1375</v>
      </c>
    </row>
    <row r="1289" spans="1:14" x14ac:dyDescent="0.25">
      <c r="A1289">
        <v>789.40984900000001</v>
      </c>
      <c r="B1289" s="1">
        <f>DATE(2012,6,28) + TIME(9,50,10)</f>
        <v>41088.409837962965</v>
      </c>
      <c r="C1289">
        <v>80</v>
      </c>
      <c r="D1289">
        <v>79.915802002000007</v>
      </c>
      <c r="E1289">
        <v>50</v>
      </c>
      <c r="F1289">
        <v>45.818084716999998</v>
      </c>
      <c r="G1289">
        <v>1365.4196777</v>
      </c>
      <c r="H1289">
        <v>1356.7094727000001</v>
      </c>
      <c r="I1289">
        <v>1304.6350098</v>
      </c>
      <c r="J1289">
        <v>1293.6407471</v>
      </c>
      <c r="K1289">
        <v>1375</v>
      </c>
      <c r="L1289">
        <v>0</v>
      </c>
      <c r="M1289">
        <v>0</v>
      </c>
      <c r="N1289">
        <v>1375</v>
      </c>
    </row>
    <row r="1290" spans="1:14" x14ac:dyDescent="0.25">
      <c r="A1290">
        <v>790.60266899999999</v>
      </c>
      <c r="B1290" s="1">
        <f>DATE(2012,6,29) + TIME(14,27,50)</f>
        <v>41089.602662037039</v>
      </c>
      <c r="C1290">
        <v>80</v>
      </c>
      <c r="D1290">
        <v>79.915802002000007</v>
      </c>
      <c r="E1290">
        <v>50</v>
      </c>
      <c r="F1290">
        <v>45.756050109999997</v>
      </c>
      <c r="G1290">
        <v>1365.3746338000001</v>
      </c>
      <c r="H1290">
        <v>1356.6737060999999</v>
      </c>
      <c r="I1290">
        <v>1304.6097411999999</v>
      </c>
      <c r="J1290">
        <v>1293.6076660000001</v>
      </c>
      <c r="K1290">
        <v>1375</v>
      </c>
      <c r="L1290">
        <v>0</v>
      </c>
      <c r="M1290">
        <v>0</v>
      </c>
      <c r="N1290">
        <v>1375</v>
      </c>
    </row>
    <row r="1291" spans="1:14" x14ac:dyDescent="0.25">
      <c r="A1291">
        <v>791.80298200000004</v>
      </c>
      <c r="B1291" s="1">
        <f>DATE(2012,6,30) + TIME(19,16,17)</f>
        <v>41090.802974537037</v>
      </c>
      <c r="C1291">
        <v>80</v>
      </c>
      <c r="D1291">
        <v>79.915809631000002</v>
      </c>
      <c r="E1291">
        <v>50</v>
      </c>
      <c r="F1291">
        <v>45.693462371999999</v>
      </c>
      <c r="G1291">
        <v>1365.3295897999999</v>
      </c>
      <c r="H1291">
        <v>1356.6379394999999</v>
      </c>
      <c r="I1291">
        <v>1304.5836182</v>
      </c>
      <c r="J1291">
        <v>1293.5733643000001</v>
      </c>
      <c r="K1291">
        <v>1375</v>
      </c>
      <c r="L1291">
        <v>0</v>
      </c>
      <c r="M1291">
        <v>0</v>
      </c>
      <c r="N1291">
        <v>1375</v>
      </c>
    </row>
    <row r="1292" spans="1:14" x14ac:dyDescent="0.25">
      <c r="A1292">
        <v>792</v>
      </c>
      <c r="B1292" s="1">
        <f>DATE(2012,7,1) + TIME(0,0,0)</f>
        <v>41091</v>
      </c>
      <c r="C1292">
        <v>80</v>
      </c>
      <c r="D1292">
        <v>79.915794372999997</v>
      </c>
      <c r="E1292">
        <v>50</v>
      </c>
      <c r="F1292">
        <v>45.677303314</v>
      </c>
      <c r="G1292">
        <v>1365.2851562000001</v>
      </c>
      <c r="H1292">
        <v>1356.6026611</v>
      </c>
      <c r="I1292">
        <v>1304.5557861</v>
      </c>
      <c r="J1292">
        <v>1293.5439452999999</v>
      </c>
      <c r="K1292">
        <v>1375</v>
      </c>
      <c r="L1292">
        <v>0</v>
      </c>
      <c r="M1292">
        <v>0</v>
      </c>
      <c r="N1292">
        <v>1375</v>
      </c>
    </row>
    <row r="1293" spans="1:14" x14ac:dyDescent="0.25">
      <c r="A1293">
        <v>792.000001</v>
      </c>
      <c r="B1293" s="1">
        <f>DATE(2012,7,1) + TIME(0,0,0)</f>
        <v>41091</v>
      </c>
      <c r="C1293">
        <v>80</v>
      </c>
      <c r="D1293">
        <v>79.915824889999996</v>
      </c>
      <c r="E1293">
        <v>50</v>
      </c>
      <c r="F1293">
        <v>45.677280426000003</v>
      </c>
      <c r="G1293">
        <v>1370.8779297000001</v>
      </c>
      <c r="H1293">
        <v>1356.7888184000001</v>
      </c>
      <c r="I1293">
        <v>1304.3774414</v>
      </c>
      <c r="J1293">
        <v>1284.9699707</v>
      </c>
      <c r="K1293">
        <v>2400</v>
      </c>
      <c r="L1293">
        <v>0</v>
      </c>
      <c r="M1293">
        <v>0</v>
      </c>
      <c r="N1293">
        <v>2400</v>
      </c>
    </row>
    <row r="1294" spans="1:14" x14ac:dyDescent="0.25">
      <c r="A1294">
        <v>792.00000399999999</v>
      </c>
      <c r="B1294" s="1">
        <f>DATE(2012,7,1) + TIME(0,0,0)</f>
        <v>41091</v>
      </c>
      <c r="C1294">
        <v>80</v>
      </c>
      <c r="D1294">
        <v>79.915885924999998</v>
      </c>
      <c r="E1294">
        <v>50</v>
      </c>
      <c r="F1294">
        <v>45.677223206000001</v>
      </c>
      <c r="G1294">
        <v>1371.3483887</v>
      </c>
      <c r="H1294">
        <v>1357.2590332</v>
      </c>
      <c r="I1294">
        <v>1303.8964844</v>
      </c>
      <c r="J1294">
        <v>1284.4698486</v>
      </c>
      <c r="K1294">
        <v>2400</v>
      </c>
      <c r="L1294">
        <v>0</v>
      </c>
      <c r="M1294">
        <v>0</v>
      </c>
      <c r="N1294">
        <v>2400</v>
      </c>
    </row>
    <row r="1295" spans="1:14" x14ac:dyDescent="0.25">
      <c r="A1295">
        <v>792.00001299999997</v>
      </c>
      <c r="B1295" s="1">
        <f>DATE(2012,7,1) + TIME(0,0,1)</f>
        <v>41091.000011574077</v>
      </c>
      <c r="C1295">
        <v>80</v>
      </c>
      <c r="D1295">
        <v>79.916023253999995</v>
      </c>
      <c r="E1295">
        <v>50</v>
      </c>
      <c r="F1295">
        <v>45.677085876</v>
      </c>
      <c r="G1295">
        <v>1372.2979736</v>
      </c>
      <c r="H1295">
        <v>1358.2084961</v>
      </c>
      <c r="I1295">
        <v>1302.7950439000001</v>
      </c>
      <c r="J1295">
        <v>1283.3420410000001</v>
      </c>
      <c r="K1295">
        <v>2400</v>
      </c>
      <c r="L1295">
        <v>0</v>
      </c>
      <c r="M1295">
        <v>0</v>
      </c>
      <c r="N1295">
        <v>2400</v>
      </c>
    </row>
    <row r="1296" spans="1:14" x14ac:dyDescent="0.25">
      <c r="A1296">
        <v>792.00004000000001</v>
      </c>
      <c r="B1296" s="1">
        <f>DATE(2012,7,1) + TIME(0,0,3)</f>
        <v>41091.000034722223</v>
      </c>
      <c r="C1296">
        <v>80</v>
      </c>
      <c r="D1296">
        <v>79.916221618999998</v>
      </c>
      <c r="E1296">
        <v>50</v>
      </c>
      <c r="F1296">
        <v>45.676849365000002</v>
      </c>
      <c r="G1296">
        <v>1373.6849365</v>
      </c>
      <c r="H1296">
        <v>1359.5957031</v>
      </c>
      <c r="I1296">
        <v>1300.9064940999999</v>
      </c>
      <c r="J1296">
        <v>1281.4428711</v>
      </c>
      <c r="K1296">
        <v>2400</v>
      </c>
      <c r="L1296">
        <v>0</v>
      </c>
      <c r="M1296">
        <v>0</v>
      </c>
      <c r="N1296">
        <v>2400</v>
      </c>
    </row>
    <row r="1297" spans="1:14" x14ac:dyDescent="0.25">
      <c r="A1297">
        <v>792.00012100000004</v>
      </c>
      <c r="B1297" s="1">
        <f>DATE(2012,7,1) + TIME(0,0,10)</f>
        <v>41091.000115740739</v>
      </c>
      <c r="C1297">
        <v>80</v>
      </c>
      <c r="D1297">
        <v>79.916442871000001</v>
      </c>
      <c r="E1297">
        <v>50</v>
      </c>
      <c r="F1297">
        <v>45.676548003999997</v>
      </c>
      <c r="G1297">
        <v>1375.2321777</v>
      </c>
      <c r="H1297">
        <v>1361.1419678</v>
      </c>
      <c r="I1297">
        <v>1298.5594481999999</v>
      </c>
      <c r="J1297">
        <v>1279.1083983999999</v>
      </c>
      <c r="K1297">
        <v>2400</v>
      </c>
      <c r="L1297">
        <v>0</v>
      </c>
      <c r="M1297">
        <v>0</v>
      </c>
      <c r="N1297">
        <v>2400</v>
      </c>
    </row>
    <row r="1298" spans="1:14" x14ac:dyDescent="0.25">
      <c r="A1298">
        <v>792.00036399999999</v>
      </c>
      <c r="B1298" s="1">
        <f>DATE(2012,7,1) + TIME(0,0,31)</f>
        <v>41091.000358796293</v>
      </c>
      <c r="C1298">
        <v>80</v>
      </c>
      <c r="D1298">
        <v>79.916679381999998</v>
      </c>
      <c r="E1298">
        <v>50</v>
      </c>
      <c r="F1298">
        <v>45.676212311</v>
      </c>
      <c r="G1298">
        <v>1376.8328856999999</v>
      </c>
      <c r="H1298">
        <v>1362.7285156</v>
      </c>
      <c r="I1298">
        <v>1296.1239014</v>
      </c>
      <c r="J1298">
        <v>1276.6898193</v>
      </c>
      <c r="K1298">
        <v>2400</v>
      </c>
      <c r="L1298">
        <v>0</v>
      </c>
      <c r="M1298">
        <v>0</v>
      </c>
      <c r="N1298">
        <v>2400</v>
      </c>
    </row>
    <row r="1299" spans="1:14" x14ac:dyDescent="0.25">
      <c r="A1299">
        <v>792.00109299999997</v>
      </c>
      <c r="B1299" s="1">
        <f>DATE(2012,7,1) + TIME(0,1,34)</f>
        <v>41091.001087962963</v>
      </c>
      <c r="C1299">
        <v>80</v>
      </c>
      <c r="D1299">
        <v>79.916961670000006</v>
      </c>
      <c r="E1299">
        <v>50</v>
      </c>
      <c r="F1299">
        <v>45.675807953000003</v>
      </c>
      <c r="G1299">
        <v>1378.6385498</v>
      </c>
      <c r="H1299">
        <v>1364.4868164</v>
      </c>
      <c r="I1299">
        <v>1293.6492920000001</v>
      </c>
      <c r="J1299">
        <v>1274.2237548999999</v>
      </c>
      <c r="K1299">
        <v>2400</v>
      </c>
      <c r="L1299">
        <v>0</v>
      </c>
      <c r="M1299">
        <v>0</v>
      </c>
      <c r="N1299">
        <v>2400</v>
      </c>
    </row>
    <row r="1300" spans="1:14" x14ac:dyDescent="0.25">
      <c r="A1300">
        <v>792.00328000000002</v>
      </c>
      <c r="B1300" s="1">
        <f>DATE(2012,7,1) + TIME(0,4,43)</f>
        <v>41091.003275462965</v>
      </c>
      <c r="C1300">
        <v>80</v>
      </c>
      <c r="D1300">
        <v>79.917366028000004</v>
      </c>
      <c r="E1300">
        <v>50</v>
      </c>
      <c r="F1300">
        <v>45.675174712999997</v>
      </c>
      <c r="G1300">
        <v>1380.8974608999999</v>
      </c>
      <c r="H1300">
        <v>1366.6772461</v>
      </c>
      <c r="I1300">
        <v>1291.0151367000001</v>
      </c>
      <c r="J1300">
        <v>1271.5831298999999</v>
      </c>
      <c r="K1300">
        <v>2400</v>
      </c>
      <c r="L1300">
        <v>0</v>
      </c>
      <c r="M1300">
        <v>0</v>
      </c>
      <c r="N1300">
        <v>2400</v>
      </c>
    </row>
    <row r="1301" spans="1:14" x14ac:dyDescent="0.25">
      <c r="A1301">
        <v>792.00984100000005</v>
      </c>
      <c r="B1301" s="1">
        <f>DATE(2012,7,1) + TIME(0,14,10)</f>
        <v>41091.009837962964</v>
      </c>
      <c r="C1301">
        <v>80</v>
      </c>
      <c r="D1301">
        <v>79.918022156000006</v>
      </c>
      <c r="E1301">
        <v>50</v>
      </c>
      <c r="F1301">
        <v>45.673919677999997</v>
      </c>
      <c r="G1301">
        <v>1383.5633545000001</v>
      </c>
      <c r="H1301">
        <v>1369.2878418</v>
      </c>
      <c r="I1301">
        <v>1288.2200928</v>
      </c>
      <c r="J1301">
        <v>1268.7722168</v>
      </c>
      <c r="K1301">
        <v>2400</v>
      </c>
      <c r="L1301">
        <v>0</v>
      </c>
      <c r="M1301">
        <v>0</v>
      </c>
      <c r="N1301">
        <v>2400</v>
      </c>
    </row>
    <row r="1302" spans="1:14" x14ac:dyDescent="0.25">
      <c r="A1302">
        <v>792.02952400000004</v>
      </c>
      <c r="B1302" s="1">
        <f>DATE(2012,7,1) + TIME(0,42,30)</f>
        <v>41091.029513888891</v>
      </c>
      <c r="C1302">
        <v>80</v>
      </c>
      <c r="D1302">
        <v>79.919166564999998</v>
      </c>
      <c r="E1302">
        <v>50</v>
      </c>
      <c r="F1302">
        <v>45.670936584000003</v>
      </c>
      <c r="G1302">
        <v>1385.9523925999999</v>
      </c>
      <c r="H1302">
        <v>1371.6483154</v>
      </c>
      <c r="I1302">
        <v>1285.8682861</v>
      </c>
      <c r="J1302">
        <v>1266.4073486</v>
      </c>
      <c r="K1302">
        <v>2400</v>
      </c>
      <c r="L1302">
        <v>0</v>
      </c>
      <c r="M1302">
        <v>0</v>
      </c>
      <c r="N1302">
        <v>2400</v>
      </c>
    </row>
    <row r="1303" spans="1:14" x14ac:dyDescent="0.25">
      <c r="A1303">
        <v>792.088573</v>
      </c>
      <c r="B1303" s="1">
        <f>DATE(2012,7,1) + TIME(2,7,32)</f>
        <v>41091.088564814818</v>
      </c>
      <c r="C1303">
        <v>80</v>
      </c>
      <c r="D1303">
        <v>79.921592712000006</v>
      </c>
      <c r="E1303">
        <v>50</v>
      </c>
      <c r="F1303">
        <v>45.663116455000001</v>
      </c>
      <c r="G1303">
        <v>1387.2868652</v>
      </c>
      <c r="H1303">
        <v>1372.9731445</v>
      </c>
      <c r="I1303">
        <v>1284.7459716999999</v>
      </c>
      <c r="J1303">
        <v>1265.2779541</v>
      </c>
      <c r="K1303">
        <v>2400</v>
      </c>
      <c r="L1303">
        <v>0</v>
      </c>
      <c r="M1303">
        <v>0</v>
      </c>
      <c r="N1303">
        <v>2400</v>
      </c>
    </row>
    <row r="1304" spans="1:14" x14ac:dyDescent="0.25">
      <c r="A1304">
        <v>792.26571999999999</v>
      </c>
      <c r="B1304" s="1">
        <f>DATE(2012,7,1) + TIME(6,22,38)</f>
        <v>41091.265717592592</v>
      </c>
      <c r="C1304">
        <v>80</v>
      </c>
      <c r="D1304">
        <v>79.927024841000005</v>
      </c>
      <c r="E1304">
        <v>50</v>
      </c>
      <c r="F1304">
        <v>45.643089293999999</v>
      </c>
      <c r="G1304">
        <v>1387.6633300999999</v>
      </c>
      <c r="H1304">
        <v>1373.3487548999999</v>
      </c>
      <c r="I1304">
        <v>1284.5440673999999</v>
      </c>
      <c r="J1304">
        <v>1265.0697021000001</v>
      </c>
      <c r="K1304">
        <v>2400</v>
      </c>
      <c r="L1304">
        <v>0</v>
      </c>
      <c r="M1304">
        <v>0</v>
      </c>
      <c r="N1304">
        <v>2400</v>
      </c>
    </row>
    <row r="1305" spans="1:14" x14ac:dyDescent="0.25">
      <c r="A1305">
        <v>792.79716099999996</v>
      </c>
      <c r="B1305" s="1">
        <f>DATE(2012,7,1) + TIME(19,7,54)</f>
        <v>41091.797152777777</v>
      </c>
      <c r="C1305">
        <v>80</v>
      </c>
      <c r="D1305">
        <v>79.936317443999997</v>
      </c>
      <c r="E1305">
        <v>50</v>
      </c>
      <c r="F1305">
        <v>45.600311279000003</v>
      </c>
      <c r="G1305">
        <v>1387.6926269999999</v>
      </c>
      <c r="H1305">
        <v>1373.3814697</v>
      </c>
      <c r="I1305">
        <v>1284.5307617000001</v>
      </c>
      <c r="J1305">
        <v>1265.0447998</v>
      </c>
      <c r="K1305">
        <v>2400</v>
      </c>
      <c r="L1305">
        <v>0</v>
      </c>
      <c r="M1305">
        <v>0</v>
      </c>
      <c r="N1305">
        <v>2400</v>
      </c>
    </row>
    <row r="1306" spans="1:14" x14ac:dyDescent="0.25">
      <c r="A1306">
        <v>793.44577200000003</v>
      </c>
      <c r="B1306" s="1">
        <f>DATE(2012,7,2) + TIME(10,41,54)</f>
        <v>41092.445763888885</v>
      </c>
      <c r="C1306">
        <v>80</v>
      </c>
      <c r="D1306">
        <v>79.942268372000001</v>
      </c>
      <c r="E1306">
        <v>50</v>
      </c>
      <c r="F1306">
        <v>45.552513122999997</v>
      </c>
      <c r="G1306">
        <v>1387.6352539</v>
      </c>
      <c r="H1306">
        <v>1373.333374</v>
      </c>
      <c r="I1306">
        <v>1284.4991454999999</v>
      </c>
      <c r="J1306">
        <v>1265.0003661999999</v>
      </c>
      <c r="K1306">
        <v>2400</v>
      </c>
      <c r="L1306">
        <v>0</v>
      </c>
      <c r="M1306">
        <v>0</v>
      </c>
      <c r="N1306">
        <v>2400</v>
      </c>
    </row>
    <row r="1307" spans="1:14" x14ac:dyDescent="0.25">
      <c r="A1307">
        <v>794.10407799999996</v>
      </c>
      <c r="B1307" s="1">
        <f>DATE(2012,7,3) + TIME(2,29,52)</f>
        <v>41093.104074074072</v>
      </c>
      <c r="C1307">
        <v>80</v>
      </c>
      <c r="D1307">
        <v>79.945426940999994</v>
      </c>
      <c r="E1307">
        <v>50</v>
      </c>
      <c r="F1307">
        <v>45.502937316999997</v>
      </c>
      <c r="G1307">
        <v>1387.5627440999999</v>
      </c>
      <c r="H1307">
        <v>1373.2720947</v>
      </c>
      <c r="I1307">
        <v>1284.4586182</v>
      </c>
      <c r="J1307">
        <v>1264.9462891000001</v>
      </c>
      <c r="K1307">
        <v>2400</v>
      </c>
      <c r="L1307">
        <v>0</v>
      </c>
      <c r="M1307">
        <v>0</v>
      </c>
      <c r="N1307">
        <v>2400</v>
      </c>
    </row>
    <row r="1308" spans="1:14" x14ac:dyDescent="0.25">
      <c r="A1308">
        <v>794.76752699999997</v>
      </c>
      <c r="B1308" s="1">
        <f>DATE(2012,7,3) + TIME(18,25,14)</f>
        <v>41093.767523148148</v>
      </c>
      <c r="C1308">
        <v>80</v>
      </c>
      <c r="D1308">
        <v>79.947090149000005</v>
      </c>
      <c r="E1308">
        <v>50</v>
      </c>
      <c r="F1308">
        <v>45.452159881999997</v>
      </c>
      <c r="G1308">
        <v>1387.4902344</v>
      </c>
      <c r="H1308">
        <v>1373.2106934000001</v>
      </c>
      <c r="I1308">
        <v>1284.416626</v>
      </c>
      <c r="J1308">
        <v>1264.8900146000001</v>
      </c>
      <c r="K1308">
        <v>2400</v>
      </c>
      <c r="L1308">
        <v>0</v>
      </c>
      <c r="M1308">
        <v>0</v>
      </c>
      <c r="N1308">
        <v>2400</v>
      </c>
    </row>
    <row r="1309" spans="1:14" x14ac:dyDescent="0.25">
      <c r="A1309">
        <v>795.43508599999996</v>
      </c>
      <c r="B1309" s="1">
        <f>DATE(2012,7,4) + TIME(10,26,31)</f>
        <v>41094.435081018521</v>
      </c>
      <c r="C1309">
        <v>80</v>
      </c>
      <c r="D1309">
        <v>79.947959900000001</v>
      </c>
      <c r="E1309">
        <v>50</v>
      </c>
      <c r="F1309">
        <v>45.400516510000003</v>
      </c>
      <c r="G1309">
        <v>1387.4182129000001</v>
      </c>
      <c r="H1309">
        <v>1373.1497803</v>
      </c>
      <c r="I1309">
        <v>1284.3736572</v>
      </c>
      <c r="J1309">
        <v>1264.8322754000001</v>
      </c>
      <c r="K1309">
        <v>2400</v>
      </c>
      <c r="L1309">
        <v>0</v>
      </c>
      <c r="M1309">
        <v>0</v>
      </c>
      <c r="N1309">
        <v>2400</v>
      </c>
    </row>
    <row r="1310" spans="1:14" x14ac:dyDescent="0.25">
      <c r="A1310">
        <v>796.10840700000006</v>
      </c>
      <c r="B1310" s="1">
        <f>DATE(2012,7,5) + TIME(2,36,6)</f>
        <v>41095.108402777776</v>
      </c>
      <c r="C1310">
        <v>80</v>
      </c>
      <c r="D1310">
        <v>79.948410034000005</v>
      </c>
      <c r="E1310">
        <v>50</v>
      </c>
      <c r="F1310">
        <v>45.348102570000002</v>
      </c>
      <c r="G1310">
        <v>1387.3470459</v>
      </c>
      <c r="H1310">
        <v>1373.0893555</v>
      </c>
      <c r="I1310">
        <v>1284.3298339999999</v>
      </c>
      <c r="J1310">
        <v>1264.7729492000001</v>
      </c>
      <c r="K1310">
        <v>2400</v>
      </c>
      <c r="L1310">
        <v>0</v>
      </c>
      <c r="M1310">
        <v>0</v>
      </c>
      <c r="N1310">
        <v>2400</v>
      </c>
    </row>
    <row r="1311" spans="1:14" x14ac:dyDescent="0.25">
      <c r="A1311">
        <v>796.78877899999998</v>
      </c>
      <c r="B1311" s="1">
        <f>DATE(2012,7,5) + TIME(18,55,50)</f>
        <v>41095.788773148146</v>
      </c>
      <c r="C1311">
        <v>80</v>
      </c>
      <c r="D1311">
        <v>79.948646545000003</v>
      </c>
      <c r="E1311">
        <v>50</v>
      </c>
      <c r="F1311">
        <v>45.294929504000002</v>
      </c>
      <c r="G1311">
        <v>1387.2762451000001</v>
      </c>
      <c r="H1311">
        <v>1373.0294189000001</v>
      </c>
      <c r="I1311">
        <v>1284.2850341999999</v>
      </c>
      <c r="J1311">
        <v>1264.7120361</v>
      </c>
      <c r="K1311">
        <v>2400</v>
      </c>
      <c r="L1311">
        <v>0</v>
      </c>
      <c r="M1311">
        <v>0</v>
      </c>
      <c r="N1311">
        <v>2400</v>
      </c>
    </row>
    <row r="1312" spans="1:14" x14ac:dyDescent="0.25">
      <c r="A1312">
        <v>797.47620500000005</v>
      </c>
      <c r="B1312" s="1">
        <f>DATE(2012,7,6) + TIME(11,25,44)</f>
        <v>41096.476203703707</v>
      </c>
      <c r="C1312">
        <v>80</v>
      </c>
      <c r="D1312">
        <v>79.948768615999995</v>
      </c>
      <c r="E1312">
        <v>50</v>
      </c>
      <c r="F1312">
        <v>45.241008759000003</v>
      </c>
      <c r="G1312">
        <v>1387.2058105000001</v>
      </c>
      <c r="H1312">
        <v>1372.9697266000001</v>
      </c>
      <c r="I1312">
        <v>1284.2391356999999</v>
      </c>
      <c r="J1312">
        <v>1264.6494141000001</v>
      </c>
      <c r="K1312">
        <v>2400</v>
      </c>
      <c r="L1312">
        <v>0</v>
      </c>
      <c r="M1312">
        <v>0</v>
      </c>
      <c r="N1312">
        <v>2400</v>
      </c>
    </row>
    <row r="1313" spans="1:14" x14ac:dyDescent="0.25">
      <c r="A1313">
        <v>798.17183199999999</v>
      </c>
      <c r="B1313" s="1">
        <f>DATE(2012,7,7) + TIME(4,7,26)</f>
        <v>41097.1718287037</v>
      </c>
      <c r="C1313">
        <v>80</v>
      </c>
      <c r="D1313">
        <v>79.948837280000006</v>
      </c>
      <c r="E1313">
        <v>50</v>
      </c>
      <c r="F1313">
        <v>45.186283111999998</v>
      </c>
      <c r="G1313">
        <v>1387.1356201000001</v>
      </c>
      <c r="H1313">
        <v>1372.9102783000001</v>
      </c>
      <c r="I1313">
        <v>1284.1920166</v>
      </c>
      <c r="J1313">
        <v>1264.5850829999999</v>
      </c>
      <c r="K1313">
        <v>2400</v>
      </c>
      <c r="L1313">
        <v>0</v>
      </c>
      <c r="M1313">
        <v>0</v>
      </c>
      <c r="N1313">
        <v>2400</v>
      </c>
    </row>
    <row r="1314" spans="1:14" x14ac:dyDescent="0.25">
      <c r="A1314">
        <v>798.87715200000002</v>
      </c>
      <c r="B1314" s="1">
        <f>DATE(2012,7,7) + TIME(21,3,5)</f>
        <v>41097.877141203702</v>
      </c>
      <c r="C1314">
        <v>80</v>
      </c>
      <c r="D1314">
        <v>79.948867797999995</v>
      </c>
      <c r="E1314">
        <v>50</v>
      </c>
      <c r="F1314">
        <v>45.130653381000002</v>
      </c>
      <c r="G1314">
        <v>1387.0657959</v>
      </c>
      <c r="H1314">
        <v>1372.8510742000001</v>
      </c>
      <c r="I1314">
        <v>1284.1436768000001</v>
      </c>
      <c r="J1314">
        <v>1264.5189209</v>
      </c>
      <c r="K1314">
        <v>2400</v>
      </c>
      <c r="L1314">
        <v>0</v>
      </c>
      <c r="M1314">
        <v>0</v>
      </c>
      <c r="N1314">
        <v>2400</v>
      </c>
    </row>
    <row r="1315" spans="1:14" x14ac:dyDescent="0.25">
      <c r="A1315">
        <v>799.59372599999995</v>
      </c>
      <c r="B1315" s="1">
        <f>DATE(2012,7,8) + TIME(14,14,57)</f>
        <v>41098.593715277777</v>
      </c>
      <c r="C1315">
        <v>80</v>
      </c>
      <c r="D1315">
        <v>79.948883057000003</v>
      </c>
      <c r="E1315">
        <v>50</v>
      </c>
      <c r="F1315">
        <v>45.074008941999999</v>
      </c>
      <c r="G1315">
        <v>1386.9958495999999</v>
      </c>
      <c r="H1315">
        <v>1372.7918701000001</v>
      </c>
      <c r="I1315">
        <v>1284.0939940999999</v>
      </c>
      <c r="J1315">
        <v>1264.4505615</v>
      </c>
      <c r="K1315">
        <v>2400</v>
      </c>
      <c r="L1315">
        <v>0</v>
      </c>
      <c r="M1315">
        <v>0</v>
      </c>
      <c r="N1315">
        <v>2400</v>
      </c>
    </row>
    <row r="1316" spans="1:14" x14ac:dyDescent="0.25">
      <c r="A1316">
        <v>800.32320900000002</v>
      </c>
      <c r="B1316" s="1">
        <f>DATE(2012,7,9) + TIME(7,45,25)</f>
        <v>41099.323206018518</v>
      </c>
      <c r="C1316">
        <v>80</v>
      </c>
      <c r="D1316">
        <v>79.948890685999999</v>
      </c>
      <c r="E1316">
        <v>50</v>
      </c>
      <c r="F1316">
        <v>45.016201019</v>
      </c>
      <c r="G1316">
        <v>1386.9259033000001</v>
      </c>
      <c r="H1316">
        <v>1372.7325439000001</v>
      </c>
      <c r="I1316">
        <v>1284.0427245999999</v>
      </c>
      <c r="J1316">
        <v>1264.3798827999999</v>
      </c>
      <c r="K1316">
        <v>2400</v>
      </c>
      <c r="L1316">
        <v>0</v>
      </c>
      <c r="M1316">
        <v>0</v>
      </c>
      <c r="N1316">
        <v>2400</v>
      </c>
    </row>
    <row r="1317" spans="1:14" x14ac:dyDescent="0.25">
      <c r="A1317">
        <v>801.06737499999997</v>
      </c>
      <c r="B1317" s="1">
        <f>DATE(2012,7,10) + TIME(1,37,1)</f>
        <v>41100.067372685182</v>
      </c>
      <c r="C1317">
        <v>80</v>
      </c>
      <c r="D1317">
        <v>79.948890685999999</v>
      </c>
      <c r="E1317">
        <v>50</v>
      </c>
      <c r="F1317">
        <v>44.957077026</v>
      </c>
      <c r="G1317">
        <v>1386.8558350000001</v>
      </c>
      <c r="H1317">
        <v>1372.6729736</v>
      </c>
      <c r="I1317">
        <v>1283.9898682</v>
      </c>
      <c r="J1317">
        <v>1264.3067627</v>
      </c>
      <c r="K1317">
        <v>2400</v>
      </c>
      <c r="L1317">
        <v>0</v>
      </c>
      <c r="M1317">
        <v>0</v>
      </c>
      <c r="N1317">
        <v>2400</v>
      </c>
    </row>
    <row r="1318" spans="1:14" x14ac:dyDescent="0.25">
      <c r="A1318">
        <v>801.82814900000005</v>
      </c>
      <c r="B1318" s="1">
        <f>DATE(2012,7,10) + TIME(19,52,32)</f>
        <v>41100.828148148146</v>
      </c>
      <c r="C1318">
        <v>80</v>
      </c>
      <c r="D1318">
        <v>79.948890685999999</v>
      </c>
      <c r="E1318">
        <v>50</v>
      </c>
      <c r="F1318">
        <v>44.896457671999997</v>
      </c>
      <c r="G1318">
        <v>1386.7852783000001</v>
      </c>
      <c r="H1318">
        <v>1372.6131591999999</v>
      </c>
      <c r="I1318">
        <v>1283.9350586</v>
      </c>
      <c r="J1318">
        <v>1264.2308350000001</v>
      </c>
      <c r="K1318">
        <v>2400</v>
      </c>
      <c r="L1318">
        <v>0</v>
      </c>
      <c r="M1318">
        <v>0</v>
      </c>
      <c r="N1318">
        <v>2400</v>
      </c>
    </row>
    <row r="1319" spans="1:14" x14ac:dyDescent="0.25">
      <c r="A1319">
        <v>802.60146499999996</v>
      </c>
      <c r="B1319" s="1">
        <f>DATE(2012,7,11) + TIME(14,26,6)</f>
        <v>41101.601458333331</v>
      </c>
      <c r="C1319">
        <v>80</v>
      </c>
      <c r="D1319">
        <v>79.948890685999999</v>
      </c>
      <c r="E1319">
        <v>50</v>
      </c>
      <c r="F1319">
        <v>44.834419250000003</v>
      </c>
      <c r="G1319">
        <v>1386.7141113</v>
      </c>
      <c r="H1319">
        <v>1372.5527344</v>
      </c>
      <c r="I1319">
        <v>1283.8782959</v>
      </c>
      <c r="J1319">
        <v>1264.1519774999999</v>
      </c>
      <c r="K1319">
        <v>2400</v>
      </c>
      <c r="L1319">
        <v>0</v>
      </c>
      <c r="M1319">
        <v>0</v>
      </c>
      <c r="N1319">
        <v>2400</v>
      </c>
    </row>
    <row r="1320" spans="1:14" x14ac:dyDescent="0.25">
      <c r="A1320">
        <v>803.38111800000001</v>
      </c>
      <c r="B1320" s="1">
        <f>DATE(2012,7,12) + TIME(9,8,48)</f>
        <v>41102.381111111114</v>
      </c>
      <c r="C1320">
        <v>80</v>
      </c>
      <c r="D1320">
        <v>79.948890685999999</v>
      </c>
      <c r="E1320">
        <v>50</v>
      </c>
      <c r="F1320">
        <v>44.771224975999999</v>
      </c>
      <c r="G1320">
        <v>1386.6429443</v>
      </c>
      <c r="H1320">
        <v>1372.4923096</v>
      </c>
      <c r="I1320">
        <v>1283.8198242000001</v>
      </c>
      <c r="J1320">
        <v>1264.0704346</v>
      </c>
      <c r="K1320">
        <v>2400</v>
      </c>
      <c r="L1320">
        <v>0</v>
      </c>
      <c r="M1320">
        <v>0</v>
      </c>
      <c r="N1320">
        <v>2400</v>
      </c>
    </row>
    <row r="1321" spans="1:14" x14ac:dyDescent="0.25">
      <c r="A1321">
        <v>804.16882099999998</v>
      </c>
      <c r="B1321" s="1">
        <f>DATE(2012,7,13) + TIME(4,3,6)</f>
        <v>41103.168819444443</v>
      </c>
      <c r="C1321">
        <v>80</v>
      </c>
      <c r="D1321">
        <v>79.948890685999999</v>
      </c>
      <c r="E1321">
        <v>50</v>
      </c>
      <c r="F1321">
        <v>44.706890106000003</v>
      </c>
      <c r="G1321">
        <v>1386.5721435999999</v>
      </c>
      <c r="H1321">
        <v>1372.4321289</v>
      </c>
      <c r="I1321">
        <v>1283.7598877</v>
      </c>
      <c r="J1321">
        <v>1263.9866943</v>
      </c>
      <c r="K1321">
        <v>2400</v>
      </c>
      <c r="L1321">
        <v>0</v>
      </c>
      <c r="M1321">
        <v>0</v>
      </c>
      <c r="N1321">
        <v>2400</v>
      </c>
    </row>
    <row r="1322" spans="1:14" x14ac:dyDescent="0.25">
      <c r="A1322">
        <v>804.96289899999999</v>
      </c>
      <c r="B1322" s="1">
        <f>DATE(2012,7,13) + TIME(23,6,34)</f>
        <v>41103.962893518517</v>
      </c>
      <c r="C1322">
        <v>80</v>
      </c>
      <c r="D1322">
        <v>79.948890685999999</v>
      </c>
      <c r="E1322">
        <v>50</v>
      </c>
      <c r="F1322">
        <v>44.641502379999999</v>
      </c>
      <c r="G1322">
        <v>1386.5017089999999</v>
      </c>
      <c r="H1322">
        <v>1372.3721923999999</v>
      </c>
      <c r="I1322">
        <v>1283.6983643000001</v>
      </c>
      <c r="J1322">
        <v>1263.9005127</v>
      </c>
      <c r="K1322">
        <v>2400</v>
      </c>
      <c r="L1322">
        <v>0</v>
      </c>
      <c r="M1322">
        <v>0</v>
      </c>
      <c r="N1322">
        <v>2400</v>
      </c>
    </row>
    <row r="1323" spans="1:14" x14ac:dyDescent="0.25">
      <c r="A1323">
        <v>805.75992699999995</v>
      </c>
      <c r="B1323" s="1">
        <f>DATE(2012,7,14) + TIME(18,14,17)</f>
        <v>41104.759918981479</v>
      </c>
      <c r="C1323">
        <v>80</v>
      </c>
      <c r="D1323">
        <v>79.948890685999999</v>
      </c>
      <c r="E1323">
        <v>50</v>
      </c>
      <c r="F1323">
        <v>44.575222015000001</v>
      </c>
      <c r="G1323">
        <v>1386.4316406</v>
      </c>
      <c r="H1323">
        <v>1372.3125</v>
      </c>
      <c r="I1323">
        <v>1283.6354980000001</v>
      </c>
      <c r="J1323">
        <v>1263.8121338000001</v>
      </c>
      <c r="K1323">
        <v>2400</v>
      </c>
      <c r="L1323">
        <v>0</v>
      </c>
      <c r="M1323">
        <v>0</v>
      </c>
      <c r="N1323">
        <v>2400</v>
      </c>
    </row>
    <row r="1324" spans="1:14" x14ac:dyDescent="0.25">
      <c r="A1324">
        <v>806.561556</v>
      </c>
      <c r="B1324" s="1">
        <f>DATE(2012,7,15) + TIME(13,28,38)</f>
        <v>41105.561550925922</v>
      </c>
      <c r="C1324">
        <v>80</v>
      </c>
      <c r="D1324">
        <v>79.948890685999999</v>
      </c>
      <c r="E1324">
        <v>50</v>
      </c>
      <c r="F1324">
        <v>44.508045197000001</v>
      </c>
      <c r="G1324">
        <v>1386.3623047000001</v>
      </c>
      <c r="H1324">
        <v>1372.2535399999999</v>
      </c>
      <c r="I1324">
        <v>1283.5715332</v>
      </c>
      <c r="J1324">
        <v>1263.7216797000001</v>
      </c>
      <c r="K1324">
        <v>2400</v>
      </c>
      <c r="L1324">
        <v>0</v>
      </c>
      <c r="M1324">
        <v>0</v>
      </c>
      <c r="N1324">
        <v>2400</v>
      </c>
    </row>
    <row r="1325" spans="1:14" x14ac:dyDescent="0.25">
      <c r="A1325">
        <v>807.36956899999996</v>
      </c>
      <c r="B1325" s="1">
        <f>DATE(2012,7,16) + TIME(8,52,10)</f>
        <v>41106.369560185187</v>
      </c>
      <c r="C1325">
        <v>80</v>
      </c>
      <c r="D1325">
        <v>79.948890685999999</v>
      </c>
      <c r="E1325">
        <v>50</v>
      </c>
      <c r="F1325">
        <v>44.439876556000002</v>
      </c>
      <c r="G1325">
        <v>1386.2935791</v>
      </c>
      <c r="H1325">
        <v>1372.1949463000001</v>
      </c>
      <c r="I1325">
        <v>1283.5062256000001</v>
      </c>
      <c r="J1325">
        <v>1263.6292725000001</v>
      </c>
      <c r="K1325">
        <v>2400</v>
      </c>
      <c r="L1325">
        <v>0</v>
      </c>
      <c r="M1325">
        <v>0</v>
      </c>
      <c r="N1325">
        <v>2400</v>
      </c>
    </row>
    <row r="1326" spans="1:14" x14ac:dyDescent="0.25">
      <c r="A1326">
        <v>808.18574799999999</v>
      </c>
      <c r="B1326" s="1">
        <f>DATE(2012,7,17) + TIME(4,27,28)</f>
        <v>41107.185740740744</v>
      </c>
      <c r="C1326">
        <v>80</v>
      </c>
      <c r="D1326">
        <v>79.948890685999999</v>
      </c>
      <c r="E1326">
        <v>50</v>
      </c>
      <c r="F1326">
        <v>44.370582581000001</v>
      </c>
      <c r="G1326">
        <v>1386.2252197</v>
      </c>
      <c r="H1326">
        <v>1372.1367187999999</v>
      </c>
      <c r="I1326">
        <v>1283.4394531</v>
      </c>
      <c r="J1326">
        <v>1263.5344238</v>
      </c>
      <c r="K1326">
        <v>2400</v>
      </c>
      <c r="L1326">
        <v>0</v>
      </c>
      <c r="M1326">
        <v>0</v>
      </c>
      <c r="N1326">
        <v>2400</v>
      </c>
    </row>
    <row r="1327" spans="1:14" x14ac:dyDescent="0.25">
      <c r="A1327">
        <v>809.01161000000002</v>
      </c>
      <c r="B1327" s="1">
        <f>DATE(2012,7,18) + TIME(0,16,43)</f>
        <v>41108.011608796296</v>
      </c>
      <c r="C1327">
        <v>80</v>
      </c>
      <c r="D1327">
        <v>79.948898314999994</v>
      </c>
      <c r="E1327">
        <v>50</v>
      </c>
      <c r="F1327">
        <v>44.300010681000003</v>
      </c>
      <c r="G1327">
        <v>1386.1571045000001</v>
      </c>
      <c r="H1327">
        <v>1372.0786132999999</v>
      </c>
      <c r="I1327">
        <v>1283.3710937999999</v>
      </c>
      <c r="J1327">
        <v>1263.4368896000001</v>
      </c>
      <c r="K1327">
        <v>2400</v>
      </c>
      <c r="L1327">
        <v>0</v>
      </c>
      <c r="M1327">
        <v>0</v>
      </c>
      <c r="N1327">
        <v>2400</v>
      </c>
    </row>
    <row r="1328" spans="1:14" x14ac:dyDescent="0.25">
      <c r="A1328">
        <v>809.84894199999997</v>
      </c>
      <c r="B1328" s="1">
        <f>DATE(2012,7,18) + TIME(20,22,28)</f>
        <v>41108.848935185182</v>
      </c>
      <c r="C1328">
        <v>80</v>
      </c>
      <c r="D1328">
        <v>79.948898314999994</v>
      </c>
      <c r="E1328">
        <v>50</v>
      </c>
      <c r="F1328">
        <v>44.227989196999999</v>
      </c>
      <c r="G1328">
        <v>1386.0891113</v>
      </c>
      <c r="H1328">
        <v>1372.0205077999999</v>
      </c>
      <c r="I1328">
        <v>1283.3009033000001</v>
      </c>
      <c r="J1328">
        <v>1263.3366699000001</v>
      </c>
      <c r="K1328">
        <v>2400</v>
      </c>
      <c r="L1328">
        <v>0</v>
      </c>
      <c r="M1328">
        <v>0</v>
      </c>
      <c r="N1328">
        <v>2400</v>
      </c>
    </row>
    <row r="1329" spans="1:14" x14ac:dyDescent="0.25">
      <c r="A1329">
        <v>810.69964300000004</v>
      </c>
      <c r="B1329" s="1">
        <f>DATE(2012,7,19) + TIME(16,47,29)</f>
        <v>41109.699641203704</v>
      </c>
      <c r="C1329">
        <v>80</v>
      </c>
      <c r="D1329">
        <v>79.948898314999994</v>
      </c>
      <c r="E1329">
        <v>50</v>
      </c>
      <c r="F1329">
        <v>44.154323578000003</v>
      </c>
      <c r="G1329">
        <v>1386.0211182</v>
      </c>
      <c r="H1329">
        <v>1371.9624022999999</v>
      </c>
      <c r="I1329">
        <v>1283.2287598</v>
      </c>
      <c r="J1329">
        <v>1263.2332764</v>
      </c>
      <c r="K1329">
        <v>2400</v>
      </c>
      <c r="L1329">
        <v>0</v>
      </c>
      <c r="M1329">
        <v>0</v>
      </c>
      <c r="N1329">
        <v>2400</v>
      </c>
    </row>
    <row r="1330" spans="1:14" x14ac:dyDescent="0.25">
      <c r="A1330">
        <v>811.56571599999995</v>
      </c>
      <c r="B1330" s="1">
        <f>DATE(2012,7,20) + TIME(13,34,37)</f>
        <v>41110.565706018519</v>
      </c>
      <c r="C1330">
        <v>80</v>
      </c>
      <c r="D1330">
        <v>79.948905945000007</v>
      </c>
      <c r="E1330">
        <v>50</v>
      </c>
      <c r="F1330">
        <v>44.078800201</v>
      </c>
      <c r="G1330">
        <v>1385.9528809000001</v>
      </c>
      <c r="H1330">
        <v>1371.9041748</v>
      </c>
      <c r="I1330">
        <v>1283.1544189000001</v>
      </c>
      <c r="J1330">
        <v>1263.1264647999999</v>
      </c>
      <c r="K1330">
        <v>2400</v>
      </c>
      <c r="L1330">
        <v>0</v>
      </c>
      <c r="M1330">
        <v>0</v>
      </c>
      <c r="N1330">
        <v>2400</v>
      </c>
    </row>
    <row r="1331" spans="1:14" x14ac:dyDescent="0.25">
      <c r="A1331">
        <v>812.44931499999996</v>
      </c>
      <c r="B1331" s="1">
        <f>DATE(2012,7,21) + TIME(10,47,0)</f>
        <v>41111.449305555558</v>
      </c>
      <c r="C1331">
        <v>80</v>
      </c>
      <c r="D1331">
        <v>79.948913574000002</v>
      </c>
      <c r="E1331">
        <v>50</v>
      </c>
      <c r="F1331">
        <v>44.001190186000002</v>
      </c>
      <c r="G1331">
        <v>1385.8843993999999</v>
      </c>
      <c r="H1331">
        <v>1371.8455810999999</v>
      </c>
      <c r="I1331">
        <v>1283.0777588000001</v>
      </c>
      <c r="J1331">
        <v>1263.0158690999999</v>
      </c>
      <c r="K1331">
        <v>2400</v>
      </c>
      <c r="L1331">
        <v>0</v>
      </c>
      <c r="M1331">
        <v>0</v>
      </c>
      <c r="N1331">
        <v>2400</v>
      </c>
    </row>
    <row r="1332" spans="1:14" x14ac:dyDescent="0.25">
      <c r="A1332">
        <v>813.34609999999998</v>
      </c>
      <c r="B1332" s="1">
        <f>DATE(2012,7,22) + TIME(8,18,22)</f>
        <v>41112.346087962964</v>
      </c>
      <c r="C1332">
        <v>80</v>
      </c>
      <c r="D1332">
        <v>79.948913574000002</v>
      </c>
      <c r="E1332">
        <v>50</v>
      </c>
      <c r="F1332">
        <v>43.921535491999997</v>
      </c>
      <c r="G1332">
        <v>1385.8155518000001</v>
      </c>
      <c r="H1332">
        <v>1371.7866211</v>
      </c>
      <c r="I1332">
        <v>1282.9985352000001</v>
      </c>
      <c r="J1332">
        <v>1262.9012451000001</v>
      </c>
      <c r="K1332">
        <v>2400</v>
      </c>
      <c r="L1332">
        <v>0</v>
      </c>
      <c r="M1332">
        <v>0</v>
      </c>
      <c r="N1332">
        <v>2400</v>
      </c>
    </row>
    <row r="1333" spans="1:14" x14ac:dyDescent="0.25">
      <c r="A1333">
        <v>814.24991699999998</v>
      </c>
      <c r="B1333" s="1">
        <f>DATE(2012,7,23) + TIME(5,59,52)</f>
        <v>41113.249907407408</v>
      </c>
      <c r="C1333">
        <v>80</v>
      </c>
      <c r="D1333">
        <v>79.948921204000001</v>
      </c>
      <c r="E1333">
        <v>50</v>
      </c>
      <c r="F1333">
        <v>43.840095519999998</v>
      </c>
      <c r="G1333">
        <v>1385.7464600000001</v>
      </c>
      <c r="H1333">
        <v>1371.7275391000001</v>
      </c>
      <c r="I1333">
        <v>1282.9169922000001</v>
      </c>
      <c r="J1333">
        <v>1262.7830810999999</v>
      </c>
      <c r="K1333">
        <v>2400</v>
      </c>
      <c r="L1333">
        <v>0</v>
      </c>
      <c r="M1333">
        <v>0</v>
      </c>
      <c r="N1333">
        <v>2400</v>
      </c>
    </row>
    <row r="1334" spans="1:14" x14ac:dyDescent="0.25">
      <c r="A1334">
        <v>815.16261799999995</v>
      </c>
      <c r="B1334" s="1">
        <f>DATE(2012,7,24) + TIME(3,54,10)</f>
        <v>41114.162615740737</v>
      </c>
      <c r="C1334">
        <v>80</v>
      </c>
      <c r="D1334">
        <v>79.948928832999997</v>
      </c>
      <c r="E1334">
        <v>50</v>
      </c>
      <c r="F1334">
        <v>43.756916046000001</v>
      </c>
      <c r="G1334">
        <v>1385.6778564000001</v>
      </c>
      <c r="H1334">
        <v>1371.6687012</v>
      </c>
      <c r="I1334">
        <v>1282.8336182</v>
      </c>
      <c r="J1334">
        <v>1262.6618652</v>
      </c>
      <c r="K1334">
        <v>2400</v>
      </c>
      <c r="L1334">
        <v>0</v>
      </c>
      <c r="M1334">
        <v>0</v>
      </c>
      <c r="N1334">
        <v>2400</v>
      </c>
    </row>
    <row r="1335" spans="1:14" x14ac:dyDescent="0.25">
      <c r="A1335">
        <v>816.08619899999997</v>
      </c>
      <c r="B1335" s="1">
        <f>DATE(2012,7,25) + TIME(2,4,7)</f>
        <v>41115.086192129631</v>
      </c>
      <c r="C1335">
        <v>80</v>
      </c>
      <c r="D1335">
        <v>79.948936462000006</v>
      </c>
      <c r="E1335">
        <v>50</v>
      </c>
      <c r="F1335">
        <v>43.671901703000003</v>
      </c>
      <c r="G1335">
        <v>1385.6094971</v>
      </c>
      <c r="H1335">
        <v>1371.6101074000001</v>
      </c>
      <c r="I1335">
        <v>1282.7484131000001</v>
      </c>
      <c r="J1335">
        <v>1262.5372314000001</v>
      </c>
      <c r="K1335">
        <v>2400</v>
      </c>
      <c r="L1335">
        <v>0</v>
      </c>
      <c r="M1335">
        <v>0</v>
      </c>
      <c r="N1335">
        <v>2400</v>
      </c>
    </row>
    <row r="1336" spans="1:14" x14ac:dyDescent="0.25">
      <c r="A1336">
        <v>817.02037600000006</v>
      </c>
      <c r="B1336" s="1">
        <f>DATE(2012,7,26) + TIME(0,29,20)</f>
        <v>41116.020370370374</v>
      </c>
      <c r="C1336">
        <v>80</v>
      </c>
      <c r="D1336">
        <v>79.948944092000005</v>
      </c>
      <c r="E1336">
        <v>50</v>
      </c>
      <c r="F1336">
        <v>43.584980010999999</v>
      </c>
      <c r="G1336">
        <v>1385.5411377</v>
      </c>
      <c r="H1336">
        <v>1371.5513916</v>
      </c>
      <c r="I1336">
        <v>1282.6610106999999</v>
      </c>
      <c r="J1336">
        <v>1262.4093018000001</v>
      </c>
      <c r="K1336">
        <v>2400</v>
      </c>
      <c r="L1336">
        <v>0</v>
      </c>
      <c r="M1336">
        <v>0</v>
      </c>
      <c r="N1336">
        <v>2400</v>
      </c>
    </row>
    <row r="1337" spans="1:14" x14ac:dyDescent="0.25">
      <c r="A1337">
        <v>817.95885799999996</v>
      </c>
      <c r="B1337" s="1">
        <f>DATE(2012,7,26) + TIME(23,0,45)</f>
        <v>41116.958854166667</v>
      </c>
      <c r="C1337">
        <v>80</v>
      </c>
      <c r="D1337">
        <v>79.948951721</v>
      </c>
      <c r="E1337">
        <v>50</v>
      </c>
      <c r="F1337">
        <v>43.496383667000003</v>
      </c>
      <c r="G1337">
        <v>1385.4729004000001</v>
      </c>
      <c r="H1337">
        <v>1371.4929199000001</v>
      </c>
      <c r="I1337">
        <v>1282.5714111</v>
      </c>
      <c r="J1337">
        <v>1262.2777100000001</v>
      </c>
      <c r="K1337">
        <v>2400</v>
      </c>
      <c r="L1337">
        <v>0</v>
      </c>
      <c r="M1337">
        <v>0</v>
      </c>
      <c r="N1337">
        <v>2400</v>
      </c>
    </row>
    <row r="1338" spans="1:14" x14ac:dyDescent="0.25">
      <c r="A1338">
        <v>818.90391899999997</v>
      </c>
      <c r="B1338" s="1">
        <f>DATE(2012,7,27) + TIME(21,41,38)</f>
        <v>41117.903912037036</v>
      </c>
      <c r="C1338">
        <v>80</v>
      </c>
      <c r="D1338">
        <v>79.948959350999999</v>
      </c>
      <c r="E1338">
        <v>50</v>
      </c>
      <c r="F1338">
        <v>43.406124114999997</v>
      </c>
      <c r="G1338">
        <v>1385.4052733999999</v>
      </c>
      <c r="H1338">
        <v>1371.4346923999999</v>
      </c>
      <c r="I1338">
        <v>1282.4802245999999</v>
      </c>
      <c r="J1338">
        <v>1262.1434326000001</v>
      </c>
      <c r="K1338">
        <v>2400</v>
      </c>
      <c r="L1338">
        <v>0</v>
      </c>
      <c r="M1338">
        <v>0</v>
      </c>
      <c r="N1338">
        <v>2400</v>
      </c>
    </row>
    <row r="1339" spans="1:14" x14ac:dyDescent="0.25">
      <c r="A1339">
        <v>819.85785999999996</v>
      </c>
      <c r="B1339" s="1">
        <f>DATE(2012,7,28) + TIME(20,35,19)</f>
        <v>41118.857858796298</v>
      </c>
      <c r="C1339">
        <v>80</v>
      </c>
      <c r="D1339">
        <v>79.948966979999994</v>
      </c>
      <c r="E1339">
        <v>50</v>
      </c>
      <c r="F1339">
        <v>43.314075469999999</v>
      </c>
      <c r="G1339">
        <v>1385.3380127</v>
      </c>
      <c r="H1339">
        <v>1371.3769531</v>
      </c>
      <c r="I1339">
        <v>1282.387207</v>
      </c>
      <c r="J1339">
        <v>1262.0059814000001</v>
      </c>
      <c r="K1339">
        <v>2400</v>
      </c>
      <c r="L1339">
        <v>0</v>
      </c>
      <c r="M1339">
        <v>0</v>
      </c>
      <c r="N1339">
        <v>2400</v>
      </c>
    </row>
    <row r="1340" spans="1:14" x14ac:dyDescent="0.25">
      <c r="A1340">
        <v>820.82245499999999</v>
      </c>
      <c r="B1340" s="1">
        <f>DATE(2012,7,29) + TIME(19,44,20)</f>
        <v>41119.822453703702</v>
      </c>
      <c r="C1340">
        <v>80</v>
      </c>
      <c r="D1340">
        <v>79.948982239000003</v>
      </c>
      <c r="E1340">
        <v>50</v>
      </c>
      <c r="F1340">
        <v>43.220054626</v>
      </c>
      <c r="G1340">
        <v>1385.2709961</v>
      </c>
      <c r="H1340">
        <v>1371.3192139</v>
      </c>
      <c r="I1340">
        <v>1282.2922363</v>
      </c>
      <c r="J1340">
        <v>1261.8651123</v>
      </c>
      <c r="K1340">
        <v>2400</v>
      </c>
      <c r="L1340">
        <v>0</v>
      </c>
      <c r="M1340">
        <v>0</v>
      </c>
      <c r="N1340">
        <v>2400</v>
      </c>
    </row>
    <row r="1341" spans="1:14" x14ac:dyDescent="0.25">
      <c r="A1341">
        <v>821.79973099999995</v>
      </c>
      <c r="B1341" s="1">
        <f>DATE(2012,7,30) + TIME(19,11,36)</f>
        <v>41120.799722222226</v>
      </c>
      <c r="C1341">
        <v>80</v>
      </c>
      <c r="D1341">
        <v>79.948989867999998</v>
      </c>
      <c r="E1341">
        <v>50</v>
      </c>
      <c r="F1341">
        <v>43.123851776000002</v>
      </c>
      <c r="G1341">
        <v>1385.2041016000001</v>
      </c>
      <c r="H1341">
        <v>1371.2615966999999</v>
      </c>
      <c r="I1341">
        <v>1282.1950684000001</v>
      </c>
      <c r="J1341">
        <v>1261.7204589999999</v>
      </c>
      <c r="K1341">
        <v>2400</v>
      </c>
      <c r="L1341">
        <v>0</v>
      </c>
      <c r="M1341">
        <v>0</v>
      </c>
      <c r="N1341">
        <v>2400</v>
      </c>
    </row>
    <row r="1342" spans="1:14" x14ac:dyDescent="0.25">
      <c r="A1342">
        <v>822.791875</v>
      </c>
      <c r="B1342" s="1">
        <f>DATE(2012,7,31) + TIME(19,0,17)</f>
        <v>41121.791863425926</v>
      </c>
      <c r="C1342">
        <v>80</v>
      </c>
      <c r="D1342">
        <v>79.949005127000007</v>
      </c>
      <c r="E1342">
        <v>50</v>
      </c>
      <c r="F1342">
        <v>43.025218963999997</v>
      </c>
      <c r="G1342">
        <v>1385.137207</v>
      </c>
      <c r="H1342">
        <v>1371.2039795000001</v>
      </c>
      <c r="I1342">
        <v>1282.0954589999999</v>
      </c>
      <c r="J1342">
        <v>1261.5717772999999</v>
      </c>
      <c r="K1342">
        <v>2400</v>
      </c>
      <c r="L1342">
        <v>0</v>
      </c>
      <c r="M1342">
        <v>0</v>
      </c>
      <c r="N1342">
        <v>2400</v>
      </c>
    </row>
    <row r="1343" spans="1:14" x14ac:dyDescent="0.25">
      <c r="A1343">
        <v>823.80122600000004</v>
      </c>
      <c r="B1343" s="1">
        <f>DATE(2012,8,1) + TIME(19,13,45)</f>
        <v>41122.801215277781</v>
      </c>
      <c r="C1343">
        <v>80</v>
      </c>
      <c r="D1343">
        <v>79.949012756000002</v>
      </c>
      <c r="E1343">
        <v>50</v>
      </c>
      <c r="F1343">
        <v>42.923881530999999</v>
      </c>
      <c r="G1343">
        <v>1385.0700684000001</v>
      </c>
      <c r="H1343">
        <v>1371.1461182</v>
      </c>
      <c r="I1343">
        <v>1281.9931641000001</v>
      </c>
      <c r="J1343">
        <v>1261.4185791</v>
      </c>
      <c r="K1343">
        <v>2400</v>
      </c>
      <c r="L1343">
        <v>0</v>
      </c>
      <c r="M1343">
        <v>0</v>
      </c>
      <c r="N1343">
        <v>2400</v>
      </c>
    </row>
    <row r="1344" spans="1:14" x14ac:dyDescent="0.25">
      <c r="A1344">
        <v>824.82650799999999</v>
      </c>
      <c r="B1344" s="1">
        <f>DATE(2012,8,2) + TIME(19,50,10)</f>
        <v>41123.826504629629</v>
      </c>
      <c r="C1344">
        <v>80</v>
      </c>
      <c r="D1344">
        <v>79.949028014999996</v>
      </c>
      <c r="E1344">
        <v>50</v>
      </c>
      <c r="F1344">
        <v>42.819713593000003</v>
      </c>
      <c r="G1344">
        <v>1385.0026855000001</v>
      </c>
      <c r="H1344">
        <v>1371.0878906</v>
      </c>
      <c r="I1344">
        <v>1281.8879394999999</v>
      </c>
      <c r="J1344">
        <v>1261.2604980000001</v>
      </c>
      <c r="K1344">
        <v>2400</v>
      </c>
      <c r="L1344">
        <v>0</v>
      </c>
      <c r="M1344">
        <v>0</v>
      </c>
      <c r="N1344">
        <v>2400</v>
      </c>
    </row>
    <row r="1345" spans="1:14" x14ac:dyDescent="0.25">
      <c r="A1345">
        <v>825.858788</v>
      </c>
      <c r="B1345" s="1">
        <f>DATE(2012,8,3) + TIME(20,36,39)</f>
        <v>41124.858784722222</v>
      </c>
      <c r="C1345">
        <v>80</v>
      </c>
      <c r="D1345">
        <v>79.949043274000005</v>
      </c>
      <c r="E1345">
        <v>50</v>
      </c>
      <c r="F1345">
        <v>42.713050842000001</v>
      </c>
      <c r="G1345">
        <v>1384.9350586</v>
      </c>
      <c r="H1345">
        <v>1371.0294189000001</v>
      </c>
      <c r="I1345">
        <v>1281.7799072</v>
      </c>
      <c r="J1345">
        <v>1261.0979004000001</v>
      </c>
      <c r="K1345">
        <v>2400</v>
      </c>
      <c r="L1345">
        <v>0</v>
      </c>
      <c r="M1345">
        <v>0</v>
      </c>
      <c r="N1345">
        <v>2400</v>
      </c>
    </row>
    <row r="1346" spans="1:14" x14ac:dyDescent="0.25">
      <c r="A1346">
        <v>826.90003100000001</v>
      </c>
      <c r="B1346" s="1">
        <f>DATE(2012,8,4) + TIME(21,36,2)</f>
        <v>41125.900023148148</v>
      </c>
      <c r="C1346">
        <v>80</v>
      </c>
      <c r="D1346">
        <v>79.949058532999999</v>
      </c>
      <c r="E1346">
        <v>50</v>
      </c>
      <c r="F1346">
        <v>42.604011536000002</v>
      </c>
      <c r="G1346">
        <v>1384.8677978999999</v>
      </c>
      <c r="H1346">
        <v>1370.9713135</v>
      </c>
      <c r="I1346">
        <v>1281.6699219</v>
      </c>
      <c r="J1346">
        <v>1260.9316406</v>
      </c>
      <c r="K1346">
        <v>2400</v>
      </c>
      <c r="L1346">
        <v>0</v>
      </c>
      <c r="M1346">
        <v>0</v>
      </c>
      <c r="N1346">
        <v>2400</v>
      </c>
    </row>
    <row r="1347" spans="1:14" x14ac:dyDescent="0.25">
      <c r="A1347">
        <v>827.952404</v>
      </c>
      <c r="B1347" s="1">
        <f>DATE(2012,8,5) + TIME(22,51,27)</f>
        <v>41126.95239583333</v>
      </c>
      <c r="C1347">
        <v>80</v>
      </c>
      <c r="D1347">
        <v>79.949066161999994</v>
      </c>
      <c r="E1347">
        <v>50</v>
      </c>
      <c r="F1347">
        <v>42.492511749000002</v>
      </c>
      <c r="G1347">
        <v>1384.8007812000001</v>
      </c>
      <c r="H1347">
        <v>1370.9133300999999</v>
      </c>
      <c r="I1347">
        <v>1281.5577393000001</v>
      </c>
      <c r="J1347">
        <v>1260.7615966999999</v>
      </c>
      <c r="K1347">
        <v>2400</v>
      </c>
      <c r="L1347">
        <v>0</v>
      </c>
      <c r="M1347">
        <v>0</v>
      </c>
      <c r="N1347">
        <v>2400</v>
      </c>
    </row>
    <row r="1348" spans="1:14" x14ac:dyDescent="0.25">
      <c r="A1348">
        <v>829.01754500000004</v>
      </c>
      <c r="B1348" s="1">
        <f>DATE(2012,8,7) + TIME(0,25,15)</f>
        <v>41128.017534722225</v>
      </c>
      <c r="C1348">
        <v>80</v>
      </c>
      <c r="D1348">
        <v>79.949081421000002</v>
      </c>
      <c r="E1348">
        <v>50</v>
      </c>
      <c r="F1348">
        <v>42.378391266000001</v>
      </c>
      <c r="G1348">
        <v>1384.7338867000001</v>
      </c>
      <c r="H1348">
        <v>1370.8554687999999</v>
      </c>
      <c r="I1348">
        <v>1281.4432373</v>
      </c>
      <c r="J1348">
        <v>1260.5872803</v>
      </c>
      <c r="K1348">
        <v>2400</v>
      </c>
      <c r="L1348">
        <v>0</v>
      </c>
      <c r="M1348">
        <v>0</v>
      </c>
      <c r="N1348">
        <v>2400</v>
      </c>
    </row>
    <row r="1349" spans="1:14" x14ac:dyDescent="0.25">
      <c r="A1349">
        <v>830.09496300000001</v>
      </c>
      <c r="B1349" s="1">
        <f>DATE(2012,8,8) + TIME(2,16,44)</f>
        <v>41129.094953703701</v>
      </c>
      <c r="C1349">
        <v>80</v>
      </c>
      <c r="D1349">
        <v>79.949096679999997</v>
      </c>
      <c r="E1349">
        <v>50</v>
      </c>
      <c r="F1349">
        <v>42.261547088999997</v>
      </c>
      <c r="G1349">
        <v>1384.6669922000001</v>
      </c>
      <c r="H1349">
        <v>1370.7974853999999</v>
      </c>
      <c r="I1349">
        <v>1281.3261719</v>
      </c>
      <c r="J1349">
        <v>1260.4085693</v>
      </c>
      <c r="K1349">
        <v>2400</v>
      </c>
      <c r="L1349">
        <v>0</v>
      </c>
      <c r="M1349">
        <v>0</v>
      </c>
      <c r="N1349">
        <v>2400</v>
      </c>
    </row>
    <row r="1350" spans="1:14" x14ac:dyDescent="0.25">
      <c r="A1350">
        <v>831.18703400000004</v>
      </c>
      <c r="B1350" s="1">
        <f>DATE(2012,8,9) + TIME(4,29,19)</f>
        <v>41130.187025462961</v>
      </c>
      <c r="C1350">
        <v>80</v>
      </c>
      <c r="D1350">
        <v>79.949119568</v>
      </c>
      <c r="E1350">
        <v>50</v>
      </c>
      <c r="F1350">
        <v>42.141803740999997</v>
      </c>
      <c r="G1350">
        <v>1384.6000977000001</v>
      </c>
      <c r="H1350">
        <v>1370.7395019999999</v>
      </c>
      <c r="I1350">
        <v>1281.206543</v>
      </c>
      <c r="J1350">
        <v>1260.2254639</v>
      </c>
      <c r="K1350">
        <v>2400</v>
      </c>
      <c r="L1350">
        <v>0</v>
      </c>
      <c r="M1350">
        <v>0</v>
      </c>
      <c r="N1350">
        <v>2400</v>
      </c>
    </row>
    <row r="1351" spans="1:14" x14ac:dyDescent="0.25">
      <c r="A1351">
        <v>832.28686300000004</v>
      </c>
      <c r="B1351" s="1">
        <f>DATE(2012,8,10) + TIME(6,53,4)</f>
        <v>41131.286851851852</v>
      </c>
      <c r="C1351">
        <v>80</v>
      </c>
      <c r="D1351">
        <v>79.949134826999995</v>
      </c>
      <c r="E1351">
        <v>50</v>
      </c>
      <c r="F1351">
        <v>42.019363403</v>
      </c>
      <c r="G1351">
        <v>1384.5332031</v>
      </c>
      <c r="H1351">
        <v>1370.6813964999999</v>
      </c>
      <c r="I1351">
        <v>1281.0843506000001</v>
      </c>
      <c r="J1351">
        <v>1260.0377197</v>
      </c>
      <c r="K1351">
        <v>2400</v>
      </c>
      <c r="L1351">
        <v>0</v>
      </c>
      <c r="M1351">
        <v>0</v>
      </c>
      <c r="N1351">
        <v>2400</v>
      </c>
    </row>
    <row r="1352" spans="1:14" x14ac:dyDescent="0.25">
      <c r="A1352">
        <v>833.39743799999997</v>
      </c>
      <c r="B1352" s="1">
        <f>DATE(2012,8,11) + TIME(9,32,18)</f>
        <v>41132.397430555553</v>
      </c>
      <c r="C1352">
        <v>80</v>
      </c>
      <c r="D1352">
        <v>79.949150084999999</v>
      </c>
      <c r="E1352">
        <v>50</v>
      </c>
      <c r="F1352">
        <v>41.894241332999997</v>
      </c>
      <c r="G1352">
        <v>1384.4665527</v>
      </c>
      <c r="H1352">
        <v>1370.6235352000001</v>
      </c>
      <c r="I1352">
        <v>1280.9600829999999</v>
      </c>
      <c r="J1352">
        <v>1259.8460693</v>
      </c>
      <c r="K1352">
        <v>2400</v>
      </c>
      <c r="L1352">
        <v>0</v>
      </c>
      <c r="M1352">
        <v>0</v>
      </c>
      <c r="N1352">
        <v>2400</v>
      </c>
    </row>
    <row r="1353" spans="1:14" x14ac:dyDescent="0.25">
      <c r="A1353">
        <v>834.52099699999997</v>
      </c>
      <c r="B1353" s="1">
        <f>DATE(2012,8,12) + TIME(12,30,14)</f>
        <v>41133.520995370367</v>
      </c>
      <c r="C1353">
        <v>80</v>
      </c>
      <c r="D1353">
        <v>79.949172974000007</v>
      </c>
      <c r="E1353">
        <v>50</v>
      </c>
      <c r="F1353">
        <v>41.766281128000003</v>
      </c>
      <c r="G1353">
        <v>1384.4000243999999</v>
      </c>
      <c r="H1353">
        <v>1370.5656738</v>
      </c>
      <c r="I1353">
        <v>1280.8334961</v>
      </c>
      <c r="J1353">
        <v>1259.6502685999999</v>
      </c>
      <c r="K1353">
        <v>2400</v>
      </c>
      <c r="L1353">
        <v>0</v>
      </c>
      <c r="M1353">
        <v>0</v>
      </c>
      <c r="N1353">
        <v>2400</v>
      </c>
    </row>
    <row r="1354" spans="1:14" x14ac:dyDescent="0.25">
      <c r="A1354">
        <v>835.65987500000006</v>
      </c>
      <c r="B1354" s="1">
        <f>DATE(2012,8,13) + TIME(15,50,13)</f>
        <v>41134.659872685188</v>
      </c>
      <c r="C1354">
        <v>80</v>
      </c>
      <c r="D1354">
        <v>79.949188231999997</v>
      </c>
      <c r="E1354">
        <v>50</v>
      </c>
      <c r="F1354">
        <v>41.635234832999998</v>
      </c>
      <c r="G1354">
        <v>1384.3334961</v>
      </c>
      <c r="H1354">
        <v>1370.5078125</v>
      </c>
      <c r="I1354">
        <v>1280.7043457</v>
      </c>
      <c r="J1354">
        <v>1259.4498291</v>
      </c>
      <c r="K1354">
        <v>2400</v>
      </c>
      <c r="L1354">
        <v>0</v>
      </c>
      <c r="M1354">
        <v>0</v>
      </c>
      <c r="N1354">
        <v>2400</v>
      </c>
    </row>
    <row r="1355" spans="1:14" x14ac:dyDescent="0.25">
      <c r="A1355">
        <v>836.81385</v>
      </c>
      <c r="B1355" s="1">
        <f>DATE(2012,8,14) + TIME(19,31,56)</f>
        <v>41135.813842592594</v>
      </c>
      <c r="C1355">
        <v>80</v>
      </c>
      <c r="D1355">
        <v>79.949211121000005</v>
      </c>
      <c r="E1355">
        <v>50</v>
      </c>
      <c r="F1355">
        <v>41.500961304</v>
      </c>
      <c r="G1355">
        <v>1384.2669678</v>
      </c>
      <c r="H1355">
        <v>1370.4498291</v>
      </c>
      <c r="I1355">
        <v>1280.5723877</v>
      </c>
      <c r="J1355">
        <v>1259.2443848</v>
      </c>
      <c r="K1355">
        <v>2400</v>
      </c>
      <c r="L1355">
        <v>0</v>
      </c>
      <c r="M1355">
        <v>0</v>
      </c>
      <c r="N1355">
        <v>2400</v>
      </c>
    </row>
    <row r="1356" spans="1:14" x14ac:dyDescent="0.25">
      <c r="A1356">
        <v>837.97749499999998</v>
      </c>
      <c r="B1356" s="1">
        <f>DATE(2012,8,15) + TIME(23,27,35)</f>
        <v>41136.977488425924</v>
      </c>
      <c r="C1356">
        <v>80</v>
      </c>
      <c r="D1356">
        <v>79.949226378999995</v>
      </c>
      <c r="E1356">
        <v>50</v>
      </c>
      <c r="F1356">
        <v>41.363639831999997</v>
      </c>
      <c r="G1356">
        <v>1384.2001952999999</v>
      </c>
      <c r="H1356">
        <v>1370.3917236</v>
      </c>
      <c r="I1356">
        <v>1280.4378661999999</v>
      </c>
      <c r="J1356">
        <v>1259.0340576000001</v>
      </c>
      <c r="K1356">
        <v>2400</v>
      </c>
      <c r="L1356">
        <v>0</v>
      </c>
      <c r="M1356">
        <v>0</v>
      </c>
      <c r="N1356">
        <v>2400</v>
      </c>
    </row>
    <row r="1357" spans="1:14" x14ac:dyDescent="0.25">
      <c r="A1357">
        <v>839.14914399999998</v>
      </c>
      <c r="B1357" s="1">
        <f>DATE(2012,8,17) + TIME(3,34,46)</f>
        <v>41138.149143518516</v>
      </c>
      <c r="C1357">
        <v>80</v>
      </c>
      <c r="D1357">
        <v>79.949249268000003</v>
      </c>
      <c r="E1357">
        <v>50</v>
      </c>
      <c r="F1357">
        <v>41.223533629999999</v>
      </c>
      <c r="G1357">
        <v>1384.1336670000001</v>
      </c>
      <c r="H1357">
        <v>1370.3337402</v>
      </c>
      <c r="I1357">
        <v>1280.3011475000001</v>
      </c>
      <c r="J1357">
        <v>1258.8197021000001</v>
      </c>
      <c r="K1357">
        <v>2400</v>
      </c>
      <c r="L1357">
        <v>0</v>
      </c>
      <c r="M1357">
        <v>0</v>
      </c>
      <c r="N1357">
        <v>2400</v>
      </c>
    </row>
    <row r="1358" spans="1:14" x14ac:dyDescent="0.25">
      <c r="A1358">
        <v>840.328215</v>
      </c>
      <c r="B1358" s="1">
        <f>DATE(2012,8,18) + TIME(7,52,37)</f>
        <v>41139.328206018516</v>
      </c>
      <c r="C1358">
        <v>80</v>
      </c>
      <c r="D1358">
        <v>79.949272156000006</v>
      </c>
      <c r="E1358">
        <v>50</v>
      </c>
      <c r="F1358">
        <v>41.080806731999999</v>
      </c>
      <c r="G1358">
        <v>1384.0673827999999</v>
      </c>
      <c r="H1358">
        <v>1370.2758789</v>
      </c>
      <c r="I1358">
        <v>1280.1624756000001</v>
      </c>
      <c r="J1358">
        <v>1258.6015625</v>
      </c>
      <c r="K1358">
        <v>2400</v>
      </c>
      <c r="L1358">
        <v>0</v>
      </c>
      <c r="M1358">
        <v>0</v>
      </c>
      <c r="N1358">
        <v>2400</v>
      </c>
    </row>
    <row r="1359" spans="1:14" x14ac:dyDescent="0.25">
      <c r="A1359">
        <v>841.51703999999995</v>
      </c>
      <c r="B1359" s="1">
        <f>DATE(2012,8,19) + TIME(12,24,32)</f>
        <v>41140.51703703704</v>
      </c>
      <c r="C1359">
        <v>80</v>
      </c>
      <c r="D1359">
        <v>79.949295043999996</v>
      </c>
      <c r="E1359">
        <v>50</v>
      </c>
      <c r="F1359">
        <v>40.935432433999999</v>
      </c>
      <c r="G1359">
        <v>1384.0015868999999</v>
      </c>
      <c r="H1359">
        <v>1370.2182617000001</v>
      </c>
      <c r="I1359">
        <v>1280.0220947</v>
      </c>
      <c r="J1359">
        <v>1258.3797606999999</v>
      </c>
      <c r="K1359">
        <v>2400</v>
      </c>
      <c r="L1359">
        <v>0</v>
      </c>
      <c r="M1359">
        <v>0</v>
      </c>
      <c r="N1359">
        <v>2400</v>
      </c>
    </row>
    <row r="1360" spans="1:14" x14ac:dyDescent="0.25">
      <c r="A1360">
        <v>842.71763799999997</v>
      </c>
      <c r="B1360" s="1">
        <f>DATE(2012,8,20) + TIME(17,13,23)</f>
        <v>41141.717627314814</v>
      </c>
      <c r="C1360">
        <v>80</v>
      </c>
      <c r="D1360">
        <v>79.949317932</v>
      </c>
      <c r="E1360">
        <v>50</v>
      </c>
      <c r="F1360">
        <v>40.787258147999999</v>
      </c>
      <c r="G1360">
        <v>1383.9357910000001</v>
      </c>
      <c r="H1360">
        <v>1370.1607666</v>
      </c>
      <c r="I1360">
        <v>1279.8797606999999</v>
      </c>
      <c r="J1360">
        <v>1258.1540527</v>
      </c>
      <c r="K1360">
        <v>2400</v>
      </c>
      <c r="L1360">
        <v>0</v>
      </c>
      <c r="M1360">
        <v>0</v>
      </c>
      <c r="N1360">
        <v>2400</v>
      </c>
    </row>
    <row r="1361" spans="1:14" x14ac:dyDescent="0.25">
      <c r="A1361">
        <v>843.93257200000005</v>
      </c>
      <c r="B1361" s="1">
        <f>DATE(2012,8,21) + TIME(22,22,54)</f>
        <v>41142.932569444441</v>
      </c>
      <c r="C1361">
        <v>80</v>
      </c>
      <c r="D1361">
        <v>79.949340820000003</v>
      </c>
      <c r="E1361">
        <v>50</v>
      </c>
      <c r="F1361">
        <v>40.636039734000001</v>
      </c>
      <c r="G1361">
        <v>1383.8701172000001</v>
      </c>
      <c r="H1361">
        <v>1370.1032714999999</v>
      </c>
      <c r="I1361">
        <v>1279.7352295000001</v>
      </c>
      <c r="J1361">
        <v>1257.9239502</v>
      </c>
      <c r="K1361">
        <v>2400</v>
      </c>
      <c r="L1361">
        <v>0</v>
      </c>
      <c r="M1361">
        <v>0</v>
      </c>
      <c r="N1361">
        <v>2400</v>
      </c>
    </row>
    <row r="1362" spans="1:14" x14ac:dyDescent="0.25">
      <c r="A1362">
        <v>845.16451500000005</v>
      </c>
      <c r="B1362" s="1">
        <f>DATE(2012,8,23) + TIME(3,56,54)</f>
        <v>41144.164513888885</v>
      </c>
      <c r="C1362">
        <v>80</v>
      </c>
      <c r="D1362">
        <v>79.949363708000007</v>
      </c>
      <c r="E1362">
        <v>50</v>
      </c>
      <c r="F1362">
        <v>40.481491089000002</v>
      </c>
      <c r="G1362">
        <v>1383.8044434000001</v>
      </c>
      <c r="H1362">
        <v>1370.0457764</v>
      </c>
      <c r="I1362">
        <v>1279.5882568</v>
      </c>
      <c r="J1362">
        <v>1257.6892089999999</v>
      </c>
      <c r="K1362">
        <v>2400</v>
      </c>
      <c r="L1362">
        <v>0</v>
      </c>
      <c r="M1362">
        <v>0</v>
      </c>
      <c r="N1362">
        <v>2400</v>
      </c>
    </row>
    <row r="1363" spans="1:14" x14ac:dyDescent="0.25">
      <c r="A1363">
        <v>846.41628200000002</v>
      </c>
      <c r="B1363" s="1">
        <f>DATE(2012,8,24) + TIME(9,59,26)</f>
        <v>41145.416273148148</v>
      </c>
      <c r="C1363">
        <v>80</v>
      </c>
      <c r="D1363">
        <v>79.949386597</v>
      </c>
      <c r="E1363">
        <v>50</v>
      </c>
      <c r="F1363">
        <v>40.323284149000003</v>
      </c>
      <c r="G1363">
        <v>1383.7385254000001</v>
      </c>
      <c r="H1363">
        <v>1369.9879149999999</v>
      </c>
      <c r="I1363">
        <v>1279.4385986</v>
      </c>
      <c r="J1363">
        <v>1257.4492187999999</v>
      </c>
      <c r="K1363">
        <v>2400</v>
      </c>
      <c r="L1363">
        <v>0</v>
      </c>
      <c r="M1363">
        <v>0</v>
      </c>
      <c r="N1363">
        <v>2400</v>
      </c>
    </row>
    <row r="1364" spans="1:14" x14ac:dyDescent="0.25">
      <c r="A1364">
        <v>847.68721200000005</v>
      </c>
      <c r="B1364" s="1">
        <f>DATE(2012,8,25) + TIME(16,29,35)</f>
        <v>41146.687210648146</v>
      </c>
      <c r="C1364">
        <v>80</v>
      </c>
      <c r="D1364">
        <v>79.949409485000004</v>
      </c>
      <c r="E1364">
        <v>50</v>
      </c>
      <c r="F1364">
        <v>40.161247252999999</v>
      </c>
      <c r="G1364">
        <v>1383.6722411999999</v>
      </c>
      <c r="H1364">
        <v>1369.9298096</v>
      </c>
      <c r="I1364">
        <v>1279.2860106999999</v>
      </c>
      <c r="J1364">
        <v>1257.2034911999999</v>
      </c>
      <c r="K1364">
        <v>2400</v>
      </c>
      <c r="L1364">
        <v>0</v>
      </c>
      <c r="M1364">
        <v>0</v>
      </c>
      <c r="N1364">
        <v>2400</v>
      </c>
    </row>
    <row r="1365" spans="1:14" x14ac:dyDescent="0.25">
      <c r="A1365">
        <v>848.96702000000005</v>
      </c>
      <c r="B1365" s="1">
        <f>DATE(2012,8,26) + TIME(23,12,30)</f>
        <v>41147.967013888891</v>
      </c>
      <c r="C1365">
        <v>80</v>
      </c>
      <c r="D1365">
        <v>79.949440002000003</v>
      </c>
      <c r="E1365">
        <v>50</v>
      </c>
      <c r="F1365">
        <v>39.995857239000003</v>
      </c>
      <c r="G1365">
        <v>1383.6055908000001</v>
      </c>
      <c r="H1365">
        <v>1369.8713379000001</v>
      </c>
      <c r="I1365">
        <v>1279.1304932</v>
      </c>
      <c r="J1365">
        <v>1256.9526367000001</v>
      </c>
      <c r="K1365">
        <v>2400</v>
      </c>
      <c r="L1365">
        <v>0</v>
      </c>
      <c r="M1365">
        <v>0</v>
      </c>
      <c r="N1365">
        <v>2400</v>
      </c>
    </row>
    <row r="1366" spans="1:14" x14ac:dyDescent="0.25">
      <c r="A1366">
        <v>850.25826800000004</v>
      </c>
      <c r="B1366" s="1">
        <f>DATE(2012,8,28) + TIME(6,11,54)</f>
        <v>41149.258263888885</v>
      </c>
      <c r="C1366">
        <v>80</v>
      </c>
      <c r="D1366">
        <v>79.949462890999996</v>
      </c>
      <c r="E1366">
        <v>50</v>
      </c>
      <c r="F1366">
        <v>39.827537536999998</v>
      </c>
      <c r="G1366">
        <v>1383.5391846</v>
      </c>
      <c r="H1366">
        <v>1369.8128661999999</v>
      </c>
      <c r="I1366">
        <v>1278.9733887</v>
      </c>
      <c r="J1366">
        <v>1256.697876</v>
      </c>
      <c r="K1366">
        <v>2400</v>
      </c>
      <c r="L1366">
        <v>0</v>
      </c>
      <c r="M1366">
        <v>0</v>
      </c>
      <c r="N1366">
        <v>2400</v>
      </c>
    </row>
    <row r="1367" spans="1:14" x14ac:dyDescent="0.25">
      <c r="A1367">
        <v>851</v>
      </c>
      <c r="B1367" s="1">
        <f>DATE(2012,8,29) + TIME(0,0,0)</f>
        <v>41150</v>
      </c>
      <c r="C1367">
        <v>80</v>
      </c>
      <c r="D1367">
        <v>79.949470520000006</v>
      </c>
      <c r="E1367">
        <v>50</v>
      </c>
      <c r="F1367">
        <v>39.696109772</v>
      </c>
      <c r="G1367">
        <v>1383.4726562000001</v>
      </c>
      <c r="H1367">
        <v>1369.7542725000001</v>
      </c>
      <c r="I1367">
        <v>1278.8171387</v>
      </c>
      <c r="J1367">
        <v>1256.4605713000001</v>
      </c>
      <c r="K1367">
        <v>2400</v>
      </c>
      <c r="L1367">
        <v>0</v>
      </c>
      <c r="M1367">
        <v>0</v>
      </c>
      <c r="N1367">
        <v>2400</v>
      </c>
    </row>
    <row r="1368" spans="1:14" x14ac:dyDescent="0.25">
      <c r="A1368">
        <v>851.000001</v>
      </c>
      <c r="B1368" s="1">
        <f>DATE(2012,8,29) + TIME(0,0,0)</f>
        <v>41150</v>
      </c>
      <c r="C1368">
        <v>80</v>
      </c>
      <c r="D1368">
        <v>79.949447632000002</v>
      </c>
      <c r="E1368">
        <v>50</v>
      </c>
      <c r="F1368">
        <v>39.696132660000004</v>
      </c>
      <c r="G1368">
        <v>1377.8806152</v>
      </c>
      <c r="H1368">
        <v>1369.5681152</v>
      </c>
      <c r="I1368">
        <v>1278.9995117000001</v>
      </c>
      <c r="J1368">
        <v>1266.2226562000001</v>
      </c>
      <c r="K1368">
        <v>1375</v>
      </c>
      <c r="L1368">
        <v>0</v>
      </c>
      <c r="M1368">
        <v>0</v>
      </c>
      <c r="N1368">
        <v>1375</v>
      </c>
    </row>
    <row r="1369" spans="1:14" x14ac:dyDescent="0.25">
      <c r="A1369">
        <v>851.00000399999999</v>
      </c>
      <c r="B1369" s="1">
        <f>DATE(2012,8,29) + TIME(0,0,0)</f>
        <v>41150</v>
      </c>
      <c r="C1369">
        <v>80</v>
      </c>
      <c r="D1369">
        <v>79.949378967000001</v>
      </c>
      <c r="E1369">
        <v>50</v>
      </c>
      <c r="F1369">
        <v>39.696189879999999</v>
      </c>
      <c r="G1369">
        <v>1377.4101562000001</v>
      </c>
      <c r="H1369">
        <v>1369.0977783000001</v>
      </c>
      <c r="I1369">
        <v>1279.4954834</v>
      </c>
      <c r="J1369">
        <v>1266.7277832</v>
      </c>
      <c r="K1369">
        <v>1375</v>
      </c>
      <c r="L1369">
        <v>0</v>
      </c>
      <c r="M1369">
        <v>0</v>
      </c>
      <c r="N1369">
        <v>1375</v>
      </c>
    </row>
    <row r="1370" spans="1:14" x14ac:dyDescent="0.25">
      <c r="A1370">
        <v>851.00001299999997</v>
      </c>
      <c r="B1370" s="1">
        <f>DATE(2012,8,29) + TIME(0,0,1)</f>
        <v>41150.000011574077</v>
      </c>
      <c r="C1370">
        <v>80</v>
      </c>
      <c r="D1370">
        <v>79.949241638000004</v>
      </c>
      <c r="E1370">
        <v>50</v>
      </c>
      <c r="F1370">
        <v>39.696327209000003</v>
      </c>
      <c r="G1370">
        <v>1376.4606934000001</v>
      </c>
      <c r="H1370">
        <v>1368.1483154</v>
      </c>
      <c r="I1370">
        <v>1280.6555175999999</v>
      </c>
      <c r="J1370">
        <v>1267.9006348</v>
      </c>
      <c r="K1370">
        <v>1375</v>
      </c>
      <c r="L1370">
        <v>0</v>
      </c>
      <c r="M1370">
        <v>0</v>
      </c>
      <c r="N1370">
        <v>1375</v>
      </c>
    </row>
    <row r="1371" spans="1:14" x14ac:dyDescent="0.25">
      <c r="A1371">
        <v>851.00004000000001</v>
      </c>
      <c r="B1371" s="1">
        <f>DATE(2012,8,29) + TIME(0,0,3)</f>
        <v>41150.000034722223</v>
      </c>
      <c r="C1371">
        <v>80</v>
      </c>
      <c r="D1371">
        <v>79.949043274000005</v>
      </c>
      <c r="E1371">
        <v>50</v>
      </c>
      <c r="F1371">
        <v>39.696567535</v>
      </c>
      <c r="G1371">
        <v>1375.0740966999999</v>
      </c>
      <c r="H1371">
        <v>1366.7615966999999</v>
      </c>
      <c r="I1371">
        <v>1282.7121582</v>
      </c>
      <c r="J1371">
        <v>1269.9631348</v>
      </c>
      <c r="K1371">
        <v>1375</v>
      </c>
      <c r="L1371">
        <v>0</v>
      </c>
      <c r="M1371">
        <v>0</v>
      </c>
      <c r="N1371">
        <v>1375</v>
      </c>
    </row>
    <row r="1372" spans="1:14" x14ac:dyDescent="0.25">
      <c r="A1372">
        <v>851.00012100000004</v>
      </c>
      <c r="B1372" s="1">
        <f>DATE(2012,8,29) + TIME(0,0,10)</f>
        <v>41150.000115740739</v>
      </c>
      <c r="C1372">
        <v>80</v>
      </c>
      <c r="D1372">
        <v>79.948822020999998</v>
      </c>
      <c r="E1372">
        <v>50</v>
      </c>
      <c r="F1372">
        <v>39.696868895999998</v>
      </c>
      <c r="G1372">
        <v>1373.5313721</v>
      </c>
      <c r="H1372">
        <v>1365.2182617000001</v>
      </c>
      <c r="I1372">
        <v>1285.3520507999999</v>
      </c>
      <c r="J1372">
        <v>1272.5979004000001</v>
      </c>
      <c r="K1372">
        <v>1375</v>
      </c>
      <c r="L1372">
        <v>0</v>
      </c>
      <c r="M1372">
        <v>0</v>
      </c>
      <c r="N1372">
        <v>1375</v>
      </c>
    </row>
    <row r="1373" spans="1:14" x14ac:dyDescent="0.25">
      <c r="A1373">
        <v>851.00036399999999</v>
      </c>
      <c r="B1373" s="1">
        <f>DATE(2012,8,29) + TIME(0,0,31)</f>
        <v>41150.000358796293</v>
      </c>
      <c r="C1373">
        <v>80</v>
      </c>
      <c r="D1373">
        <v>79.94859314</v>
      </c>
      <c r="E1373">
        <v>50</v>
      </c>
      <c r="F1373">
        <v>39.697158813000001</v>
      </c>
      <c r="G1373">
        <v>1371.973999</v>
      </c>
      <c r="H1373">
        <v>1363.6622314000001</v>
      </c>
      <c r="I1373">
        <v>1288.1413574000001</v>
      </c>
      <c r="J1373">
        <v>1275.3800048999999</v>
      </c>
      <c r="K1373">
        <v>1375</v>
      </c>
      <c r="L1373">
        <v>0</v>
      </c>
      <c r="M1373">
        <v>0</v>
      </c>
      <c r="N1373">
        <v>1375</v>
      </c>
    </row>
    <row r="1374" spans="1:14" x14ac:dyDescent="0.25">
      <c r="A1374">
        <v>851.00109299999997</v>
      </c>
      <c r="B1374" s="1">
        <f>DATE(2012,8,29) + TIME(0,1,34)</f>
        <v>41150.001087962963</v>
      </c>
      <c r="C1374">
        <v>80</v>
      </c>
      <c r="D1374">
        <v>79.948348999000004</v>
      </c>
      <c r="E1374">
        <v>50</v>
      </c>
      <c r="F1374">
        <v>39.697376251000001</v>
      </c>
      <c r="G1374">
        <v>1370.3509521000001</v>
      </c>
      <c r="H1374">
        <v>1362.0537108999999</v>
      </c>
      <c r="I1374">
        <v>1291.0109863</v>
      </c>
      <c r="J1374">
        <v>1278.2481689000001</v>
      </c>
      <c r="K1374">
        <v>1375</v>
      </c>
      <c r="L1374">
        <v>0</v>
      </c>
      <c r="M1374">
        <v>0</v>
      </c>
      <c r="N1374">
        <v>1375</v>
      </c>
    </row>
    <row r="1375" spans="1:14" x14ac:dyDescent="0.25">
      <c r="A1375">
        <v>851.00328000000002</v>
      </c>
      <c r="B1375" s="1">
        <f>DATE(2012,8,29) + TIME(0,4,43)</f>
        <v>41150.003275462965</v>
      </c>
      <c r="C1375">
        <v>80</v>
      </c>
      <c r="D1375">
        <v>79.948028563999998</v>
      </c>
      <c r="E1375">
        <v>50</v>
      </c>
      <c r="F1375">
        <v>39.697368621999999</v>
      </c>
      <c r="G1375">
        <v>1368.4725341999999</v>
      </c>
      <c r="H1375">
        <v>1360.2119141000001</v>
      </c>
      <c r="I1375">
        <v>1294.0611572</v>
      </c>
      <c r="J1375">
        <v>1281.3077393000001</v>
      </c>
      <c r="K1375">
        <v>1375</v>
      </c>
      <c r="L1375">
        <v>0</v>
      </c>
      <c r="M1375">
        <v>0</v>
      </c>
      <c r="N1375">
        <v>1375</v>
      </c>
    </row>
    <row r="1376" spans="1:14" x14ac:dyDescent="0.25">
      <c r="A1376">
        <v>851.00984100000005</v>
      </c>
      <c r="B1376" s="1">
        <f>DATE(2012,8,29) + TIME(0,14,10)</f>
        <v>41150.009837962964</v>
      </c>
      <c r="C1376">
        <v>80</v>
      </c>
      <c r="D1376">
        <v>79.947555542000003</v>
      </c>
      <c r="E1376">
        <v>50</v>
      </c>
      <c r="F1376">
        <v>39.696632385000001</v>
      </c>
      <c r="G1376">
        <v>1366.2847899999999</v>
      </c>
      <c r="H1376">
        <v>1358.0627440999999</v>
      </c>
      <c r="I1376">
        <v>1297.1728516000001</v>
      </c>
      <c r="J1376">
        <v>1284.4392089999999</v>
      </c>
      <c r="K1376">
        <v>1375</v>
      </c>
      <c r="L1376">
        <v>0</v>
      </c>
      <c r="M1376">
        <v>0</v>
      </c>
      <c r="N1376">
        <v>1375</v>
      </c>
    </row>
    <row r="1377" spans="1:14" x14ac:dyDescent="0.25">
      <c r="A1377">
        <v>851.02952400000004</v>
      </c>
      <c r="B1377" s="1">
        <f>DATE(2012,8,29) + TIME(0,42,30)</f>
        <v>41150.029513888891</v>
      </c>
      <c r="C1377">
        <v>80</v>
      </c>
      <c r="D1377">
        <v>79.946784973000007</v>
      </c>
      <c r="E1377">
        <v>50</v>
      </c>
      <c r="F1377">
        <v>39.693641663000001</v>
      </c>
      <c r="G1377">
        <v>1364.2911377</v>
      </c>
      <c r="H1377">
        <v>1356.0905762</v>
      </c>
      <c r="I1377">
        <v>1299.6437988</v>
      </c>
      <c r="J1377">
        <v>1286.9278564000001</v>
      </c>
      <c r="K1377">
        <v>1375</v>
      </c>
      <c r="L1377">
        <v>0</v>
      </c>
      <c r="M1377">
        <v>0</v>
      </c>
      <c r="N1377">
        <v>1375</v>
      </c>
    </row>
    <row r="1378" spans="1:14" x14ac:dyDescent="0.25">
      <c r="A1378">
        <v>851.088573</v>
      </c>
      <c r="B1378" s="1">
        <f>DATE(2012,8,29) + TIME(2,7,32)</f>
        <v>41150.088564814818</v>
      </c>
      <c r="C1378">
        <v>80</v>
      </c>
      <c r="D1378">
        <v>79.945228576999995</v>
      </c>
      <c r="E1378">
        <v>50</v>
      </c>
      <c r="F1378">
        <v>39.684238434000001</v>
      </c>
      <c r="G1378">
        <v>1363.1641846</v>
      </c>
      <c r="H1378">
        <v>1354.9710693</v>
      </c>
      <c r="I1378">
        <v>1300.770874</v>
      </c>
      <c r="J1378">
        <v>1288.0605469</v>
      </c>
      <c r="K1378">
        <v>1375</v>
      </c>
      <c r="L1378">
        <v>0</v>
      </c>
      <c r="M1378">
        <v>0</v>
      </c>
      <c r="N1378">
        <v>1375</v>
      </c>
    </row>
    <row r="1379" spans="1:14" x14ac:dyDescent="0.25">
      <c r="A1379">
        <v>851.26571999999999</v>
      </c>
      <c r="B1379" s="1">
        <f>DATE(2012,8,29) + TIME(6,22,38)</f>
        <v>41150.265717592592</v>
      </c>
      <c r="C1379">
        <v>80</v>
      </c>
      <c r="D1379">
        <v>79.941513061999999</v>
      </c>
      <c r="E1379">
        <v>50</v>
      </c>
      <c r="F1379">
        <v>39.658161163000003</v>
      </c>
      <c r="G1379">
        <v>1362.8427733999999</v>
      </c>
      <c r="H1379">
        <v>1354.6513672000001</v>
      </c>
      <c r="I1379">
        <v>1300.965332</v>
      </c>
      <c r="J1379">
        <v>1288.2490233999999</v>
      </c>
      <c r="K1379">
        <v>1375</v>
      </c>
      <c r="L1379">
        <v>0</v>
      </c>
      <c r="M1379">
        <v>0</v>
      </c>
      <c r="N1379">
        <v>1375</v>
      </c>
    </row>
    <row r="1380" spans="1:14" x14ac:dyDescent="0.25">
      <c r="A1380">
        <v>851.79716099999996</v>
      </c>
      <c r="B1380" s="1">
        <f>DATE(2012,8,29) + TIME(19,7,54)</f>
        <v>41150.797152777777</v>
      </c>
      <c r="C1380">
        <v>80</v>
      </c>
      <c r="D1380">
        <v>79.933784485000004</v>
      </c>
      <c r="E1380">
        <v>50</v>
      </c>
      <c r="F1380">
        <v>39.596488952999998</v>
      </c>
      <c r="G1380">
        <v>1362.7996826000001</v>
      </c>
      <c r="H1380">
        <v>1354.6086425999999</v>
      </c>
      <c r="I1380">
        <v>1300.9597168</v>
      </c>
      <c r="J1380">
        <v>1288.2252197</v>
      </c>
      <c r="K1380">
        <v>1375</v>
      </c>
      <c r="L1380">
        <v>0</v>
      </c>
      <c r="M1380">
        <v>0</v>
      </c>
      <c r="N1380">
        <v>1375</v>
      </c>
    </row>
    <row r="1381" spans="1:14" x14ac:dyDescent="0.25">
      <c r="A1381">
        <v>853.39148399999999</v>
      </c>
      <c r="B1381" s="1">
        <f>DATE(2012,8,31) + TIME(9,23,44)</f>
        <v>41152.391481481478</v>
      </c>
      <c r="C1381">
        <v>80</v>
      </c>
      <c r="D1381">
        <v>79.923606872999997</v>
      </c>
      <c r="E1381">
        <v>50</v>
      </c>
      <c r="F1381">
        <v>39.484497070000003</v>
      </c>
      <c r="G1381">
        <v>1362.7895507999999</v>
      </c>
      <c r="H1381">
        <v>1354.5998535000001</v>
      </c>
      <c r="I1381">
        <v>1300.9315185999999</v>
      </c>
      <c r="J1381">
        <v>1288.1627197</v>
      </c>
      <c r="K1381">
        <v>1375</v>
      </c>
      <c r="L1381">
        <v>0</v>
      </c>
      <c r="M1381">
        <v>0</v>
      </c>
      <c r="N1381">
        <v>1375</v>
      </c>
    </row>
    <row r="1382" spans="1:14" x14ac:dyDescent="0.25">
      <c r="A1382">
        <v>855.83705899999995</v>
      </c>
      <c r="B1382" s="1">
        <f>DATE(2012,9,2) + TIME(20,5,21)</f>
        <v>41154.837048611109</v>
      </c>
      <c r="C1382">
        <v>80</v>
      </c>
      <c r="D1382">
        <v>79.918342589999995</v>
      </c>
      <c r="E1382">
        <v>50</v>
      </c>
      <c r="F1382">
        <v>39.340579986999998</v>
      </c>
      <c r="G1382">
        <v>1362.7642822</v>
      </c>
      <c r="H1382">
        <v>1354.5791016000001</v>
      </c>
      <c r="I1382">
        <v>1300.8615723</v>
      </c>
      <c r="J1382">
        <v>1288.0451660000001</v>
      </c>
      <c r="K1382">
        <v>1375</v>
      </c>
      <c r="L1382">
        <v>0</v>
      </c>
      <c r="M1382">
        <v>0</v>
      </c>
      <c r="N1382">
        <v>1375</v>
      </c>
    </row>
    <row r="1383" spans="1:14" x14ac:dyDescent="0.25">
      <c r="A1383">
        <v>858.28881899999999</v>
      </c>
      <c r="B1383" s="1">
        <f>DATE(2012,9,5) + TIME(6,55,53)</f>
        <v>41157.288807870369</v>
      </c>
      <c r="C1383">
        <v>80</v>
      </c>
      <c r="D1383">
        <v>79.916595459000007</v>
      </c>
      <c r="E1383">
        <v>50</v>
      </c>
      <c r="F1383">
        <v>39.165523528999998</v>
      </c>
      <c r="G1383">
        <v>1362.7250977000001</v>
      </c>
      <c r="H1383">
        <v>1354.546875</v>
      </c>
      <c r="I1383">
        <v>1300.7576904</v>
      </c>
      <c r="J1383">
        <v>1287.8814697</v>
      </c>
      <c r="K1383">
        <v>1375</v>
      </c>
      <c r="L1383">
        <v>0</v>
      </c>
      <c r="M1383">
        <v>0</v>
      </c>
      <c r="N1383">
        <v>1375</v>
      </c>
    </row>
    <row r="1384" spans="1:14" x14ac:dyDescent="0.25">
      <c r="A1384">
        <v>860.75296900000001</v>
      </c>
      <c r="B1384" s="1">
        <f>DATE(2012,9,7) + TIME(18,4,16)</f>
        <v>41159.752962962964</v>
      </c>
      <c r="C1384">
        <v>80</v>
      </c>
      <c r="D1384">
        <v>79.916061400999993</v>
      </c>
      <c r="E1384">
        <v>50</v>
      </c>
      <c r="F1384">
        <v>38.977542876999998</v>
      </c>
      <c r="G1384">
        <v>1362.6860352000001</v>
      </c>
      <c r="H1384">
        <v>1354.5144043</v>
      </c>
      <c r="I1384">
        <v>1300.651001</v>
      </c>
      <c r="J1384">
        <v>1287.7093506000001</v>
      </c>
      <c r="K1384">
        <v>1375</v>
      </c>
      <c r="L1384">
        <v>0</v>
      </c>
      <c r="M1384">
        <v>0</v>
      </c>
      <c r="N1384">
        <v>1375</v>
      </c>
    </row>
    <row r="1385" spans="1:14" x14ac:dyDescent="0.25">
      <c r="A1385">
        <v>863.23930499999994</v>
      </c>
      <c r="B1385" s="1">
        <f>DATE(2012,9,10) + TIME(5,44,35)</f>
        <v>41162.239293981482</v>
      </c>
      <c r="C1385">
        <v>80</v>
      </c>
      <c r="D1385">
        <v>79.915946959999999</v>
      </c>
      <c r="E1385">
        <v>50</v>
      </c>
      <c r="F1385">
        <v>38.783256530999999</v>
      </c>
      <c r="G1385">
        <v>1362.6470947</v>
      </c>
      <c r="H1385">
        <v>1354.4820557</v>
      </c>
      <c r="I1385">
        <v>1300.5430908000001</v>
      </c>
      <c r="J1385">
        <v>1287.5330810999999</v>
      </c>
      <c r="K1385">
        <v>1375</v>
      </c>
      <c r="L1385">
        <v>0</v>
      </c>
      <c r="M1385">
        <v>0</v>
      </c>
      <c r="N1385">
        <v>1375</v>
      </c>
    </row>
    <row r="1386" spans="1:14" x14ac:dyDescent="0.25">
      <c r="A1386">
        <v>865.75372200000004</v>
      </c>
      <c r="B1386" s="1">
        <f>DATE(2012,9,12) + TIME(18,5,21)</f>
        <v>41164.75371527778</v>
      </c>
      <c r="C1386">
        <v>80</v>
      </c>
      <c r="D1386">
        <v>79.915985106999997</v>
      </c>
      <c r="E1386">
        <v>50</v>
      </c>
      <c r="F1386">
        <v>38.584896088000001</v>
      </c>
      <c r="G1386">
        <v>1362.6080322</v>
      </c>
      <c r="H1386">
        <v>1354.4493408000001</v>
      </c>
      <c r="I1386">
        <v>1300.4339600000001</v>
      </c>
      <c r="J1386">
        <v>1287.3537598</v>
      </c>
      <c r="K1386">
        <v>1375</v>
      </c>
      <c r="L1386">
        <v>0</v>
      </c>
      <c r="M1386">
        <v>0</v>
      </c>
      <c r="N1386">
        <v>1375</v>
      </c>
    </row>
    <row r="1387" spans="1:14" x14ac:dyDescent="0.25">
      <c r="A1387">
        <v>868.30240500000002</v>
      </c>
      <c r="B1387" s="1">
        <f>DATE(2012,9,15) + TIME(7,15,27)</f>
        <v>41167.302395833336</v>
      </c>
      <c r="C1387">
        <v>80</v>
      </c>
      <c r="D1387">
        <v>79.916069031000006</v>
      </c>
      <c r="E1387">
        <v>50</v>
      </c>
      <c r="F1387">
        <v>38.383113860999998</v>
      </c>
      <c r="G1387">
        <v>1362.5689697</v>
      </c>
      <c r="H1387">
        <v>1354.4165039</v>
      </c>
      <c r="I1387">
        <v>1300.3238524999999</v>
      </c>
      <c r="J1387">
        <v>1287.1716309000001</v>
      </c>
      <c r="K1387">
        <v>1375</v>
      </c>
      <c r="L1387">
        <v>0</v>
      </c>
      <c r="M1387">
        <v>0</v>
      </c>
      <c r="N1387">
        <v>1375</v>
      </c>
    </row>
    <row r="1388" spans="1:14" x14ac:dyDescent="0.25">
      <c r="A1388">
        <v>870.871082</v>
      </c>
      <c r="B1388" s="1">
        <f>DATE(2012,9,17) + TIME(20,54,21)</f>
        <v>41169.871076388888</v>
      </c>
      <c r="C1388">
        <v>80</v>
      </c>
      <c r="D1388">
        <v>79.916175842000001</v>
      </c>
      <c r="E1388">
        <v>50</v>
      </c>
      <c r="F1388">
        <v>38.178543091000002</v>
      </c>
      <c r="G1388">
        <v>1362.5295410000001</v>
      </c>
      <c r="H1388">
        <v>1354.3834228999999</v>
      </c>
      <c r="I1388">
        <v>1300.2126464999999</v>
      </c>
      <c r="J1388">
        <v>1286.9869385</v>
      </c>
      <c r="K1388">
        <v>1375</v>
      </c>
      <c r="L1388">
        <v>0</v>
      </c>
      <c r="M1388">
        <v>0</v>
      </c>
      <c r="N1388">
        <v>1375</v>
      </c>
    </row>
    <row r="1389" spans="1:14" x14ac:dyDescent="0.25">
      <c r="A1389">
        <v>873.45145300000001</v>
      </c>
      <c r="B1389" s="1">
        <f>DATE(2012,9,20) + TIME(10,50,5)</f>
        <v>41172.45144675926</v>
      </c>
      <c r="C1389">
        <v>80</v>
      </c>
      <c r="D1389">
        <v>79.916282654</v>
      </c>
      <c r="E1389">
        <v>50</v>
      </c>
      <c r="F1389">
        <v>37.972084045000003</v>
      </c>
      <c r="G1389">
        <v>1362.4901123</v>
      </c>
      <c r="H1389">
        <v>1354.3502197</v>
      </c>
      <c r="I1389">
        <v>1300.1010742000001</v>
      </c>
      <c r="J1389">
        <v>1286.8005370999999</v>
      </c>
      <c r="K1389">
        <v>1375</v>
      </c>
      <c r="L1389">
        <v>0</v>
      </c>
      <c r="M1389">
        <v>0</v>
      </c>
      <c r="N1389">
        <v>1375</v>
      </c>
    </row>
    <row r="1390" spans="1:14" x14ac:dyDescent="0.25">
      <c r="A1390">
        <v>876.0557</v>
      </c>
      <c r="B1390" s="1">
        <f>DATE(2012,9,23) + TIME(1,20,12)</f>
        <v>41175.055694444447</v>
      </c>
      <c r="C1390">
        <v>80</v>
      </c>
      <c r="D1390">
        <v>79.916397094999994</v>
      </c>
      <c r="E1390">
        <v>50</v>
      </c>
      <c r="F1390">
        <v>37.764011383000003</v>
      </c>
      <c r="G1390">
        <v>1362.4509277</v>
      </c>
      <c r="H1390">
        <v>1354.3170166</v>
      </c>
      <c r="I1390">
        <v>1299.9893798999999</v>
      </c>
      <c r="J1390">
        <v>1286.6130370999999</v>
      </c>
      <c r="K1390">
        <v>1375</v>
      </c>
      <c r="L1390">
        <v>0</v>
      </c>
      <c r="M1390">
        <v>0</v>
      </c>
      <c r="N1390">
        <v>1375</v>
      </c>
    </row>
    <row r="1391" spans="1:14" x14ac:dyDescent="0.25">
      <c r="A1391">
        <v>878.689435</v>
      </c>
      <c r="B1391" s="1">
        <f>DATE(2012,9,25) + TIME(16,32,47)</f>
        <v>41177.689432870371</v>
      </c>
      <c r="C1391">
        <v>80</v>
      </c>
      <c r="D1391">
        <v>79.916511536000002</v>
      </c>
      <c r="E1391">
        <v>50</v>
      </c>
      <c r="F1391">
        <v>37.554138184000003</v>
      </c>
      <c r="G1391">
        <v>1362.4116211</v>
      </c>
      <c r="H1391">
        <v>1354.2836914</v>
      </c>
      <c r="I1391">
        <v>1299.8775635</v>
      </c>
      <c r="J1391">
        <v>1286.4239502</v>
      </c>
      <c r="K1391">
        <v>1375</v>
      </c>
      <c r="L1391">
        <v>0</v>
      </c>
      <c r="M1391">
        <v>0</v>
      </c>
      <c r="N1391">
        <v>1375</v>
      </c>
    </row>
    <row r="1392" spans="1:14" x14ac:dyDescent="0.25">
      <c r="A1392">
        <v>881.34698200000003</v>
      </c>
      <c r="B1392" s="1">
        <f>DATE(2012,9,28) + TIME(8,19,39)</f>
        <v>41180.346979166665</v>
      </c>
      <c r="C1392">
        <v>80</v>
      </c>
      <c r="D1392">
        <v>79.916633606000005</v>
      </c>
      <c r="E1392">
        <v>50</v>
      </c>
      <c r="F1392">
        <v>37.342601776000002</v>
      </c>
      <c r="G1392">
        <v>1362.3721923999999</v>
      </c>
      <c r="H1392">
        <v>1354.2502440999999</v>
      </c>
      <c r="I1392">
        <v>1299.7652588000001</v>
      </c>
      <c r="J1392">
        <v>1286.2331543</v>
      </c>
      <c r="K1392">
        <v>1375</v>
      </c>
      <c r="L1392">
        <v>0</v>
      </c>
      <c r="M1392">
        <v>0</v>
      </c>
      <c r="N1392">
        <v>1375</v>
      </c>
    </row>
    <row r="1393" spans="1:14" x14ac:dyDescent="0.25">
      <c r="A1393">
        <v>884.03383699999995</v>
      </c>
      <c r="B1393" s="1">
        <f>DATE(2012,10,1) + TIME(0,48,43)</f>
        <v>41183.033831018518</v>
      </c>
      <c r="C1393">
        <v>80</v>
      </c>
      <c r="D1393">
        <v>79.916755675999994</v>
      </c>
      <c r="E1393">
        <v>50</v>
      </c>
      <c r="F1393">
        <v>37.129592895999998</v>
      </c>
      <c r="G1393">
        <v>1362.3326416</v>
      </c>
      <c r="H1393">
        <v>1354.2166748</v>
      </c>
      <c r="I1393">
        <v>1299.6529541</v>
      </c>
      <c r="J1393">
        <v>1286.0410156</v>
      </c>
      <c r="K1393">
        <v>1375</v>
      </c>
      <c r="L1393">
        <v>0</v>
      </c>
      <c r="M1393">
        <v>0</v>
      </c>
      <c r="N1393">
        <v>1375</v>
      </c>
    </row>
    <row r="1394" spans="1:14" x14ac:dyDescent="0.25">
      <c r="A1394">
        <v>886</v>
      </c>
      <c r="B1394" s="1">
        <f>DATE(2012,10,3) + TIME(0,0,0)</f>
        <v>41185</v>
      </c>
      <c r="C1394">
        <v>80</v>
      </c>
      <c r="D1394">
        <v>79.916831970000004</v>
      </c>
      <c r="E1394">
        <v>50</v>
      </c>
      <c r="F1394">
        <v>36.940879821999999</v>
      </c>
      <c r="G1394">
        <v>1362.2928466999999</v>
      </c>
      <c r="H1394">
        <v>1354.1827393000001</v>
      </c>
      <c r="I1394">
        <v>1299.5412598</v>
      </c>
      <c r="J1394">
        <v>1285.8560791</v>
      </c>
      <c r="K1394">
        <v>1375</v>
      </c>
      <c r="L1394">
        <v>0</v>
      </c>
      <c r="M1394">
        <v>0</v>
      </c>
      <c r="N1394">
        <v>1375</v>
      </c>
    </row>
    <row r="1395" spans="1:14" x14ac:dyDescent="0.25">
      <c r="A1395">
        <v>886.000001</v>
      </c>
      <c r="B1395" s="1">
        <f>DATE(2012,10,3) + TIME(0,0,0)</f>
        <v>41185</v>
      </c>
      <c r="C1395">
        <v>80</v>
      </c>
      <c r="D1395">
        <v>79.916763306000007</v>
      </c>
      <c r="E1395">
        <v>50</v>
      </c>
      <c r="F1395">
        <v>36.940944672000001</v>
      </c>
      <c r="G1395">
        <v>1353.7124022999999</v>
      </c>
      <c r="H1395">
        <v>1348.1618652</v>
      </c>
      <c r="I1395">
        <v>1312.2822266000001</v>
      </c>
      <c r="J1395">
        <v>1300.012207</v>
      </c>
      <c r="K1395">
        <v>0</v>
      </c>
      <c r="L1395">
        <v>1215</v>
      </c>
      <c r="M1395">
        <v>1215</v>
      </c>
      <c r="N1395">
        <v>0</v>
      </c>
    </row>
    <row r="1396" spans="1:14" x14ac:dyDescent="0.25">
      <c r="A1396">
        <v>886.00000399999999</v>
      </c>
      <c r="B1396" s="1">
        <f>DATE(2012,10,3) + TIME(0,0,0)</f>
        <v>41185</v>
      </c>
      <c r="C1396">
        <v>80</v>
      </c>
      <c r="D1396">
        <v>79.916595459000007</v>
      </c>
      <c r="E1396">
        <v>50</v>
      </c>
      <c r="F1396">
        <v>36.941120148000003</v>
      </c>
      <c r="G1396">
        <v>1352.5242920000001</v>
      </c>
      <c r="H1396">
        <v>1346.9730225000001</v>
      </c>
      <c r="I1396">
        <v>1313.5737305</v>
      </c>
      <c r="J1396">
        <v>1301.2985839999999</v>
      </c>
      <c r="K1396">
        <v>0</v>
      </c>
      <c r="L1396">
        <v>1215</v>
      </c>
      <c r="M1396">
        <v>1215</v>
      </c>
      <c r="N1396">
        <v>0</v>
      </c>
    </row>
    <row r="1397" spans="1:14" x14ac:dyDescent="0.25">
      <c r="A1397">
        <v>886.00001299999997</v>
      </c>
      <c r="B1397" s="1">
        <f>DATE(2012,10,3) + TIME(0,0,1)</f>
        <v>41185.000011574077</v>
      </c>
      <c r="C1397">
        <v>80</v>
      </c>
      <c r="D1397">
        <v>79.916252135999997</v>
      </c>
      <c r="E1397">
        <v>50</v>
      </c>
      <c r="F1397">
        <v>36.941547393999997</v>
      </c>
      <c r="G1397">
        <v>1350.1252440999999</v>
      </c>
      <c r="H1397">
        <v>1344.5734863</v>
      </c>
      <c r="I1397">
        <v>1316.614624</v>
      </c>
      <c r="J1397">
        <v>1304.3341064000001</v>
      </c>
      <c r="K1397">
        <v>0</v>
      </c>
      <c r="L1397">
        <v>1215</v>
      </c>
      <c r="M1397">
        <v>1215</v>
      </c>
      <c r="N1397">
        <v>0</v>
      </c>
    </row>
    <row r="1398" spans="1:14" x14ac:dyDescent="0.25">
      <c r="A1398">
        <v>886.00004000000001</v>
      </c>
      <c r="B1398" s="1">
        <f>DATE(2012,10,3) + TIME(0,0,3)</f>
        <v>41185.000034722223</v>
      </c>
      <c r="C1398">
        <v>80</v>
      </c>
      <c r="D1398">
        <v>79.915748596</v>
      </c>
      <c r="E1398">
        <v>50</v>
      </c>
      <c r="F1398">
        <v>36.942401885999999</v>
      </c>
      <c r="G1398">
        <v>1346.6203613</v>
      </c>
      <c r="H1398">
        <v>1341.0692139</v>
      </c>
      <c r="I1398">
        <v>1322.0792236</v>
      </c>
      <c r="J1398">
        <v>1309.7990723</v>
      </c>
      <c r="K1398">
        <v>0</v>
      </c>
      <c r="L1398">
        <v>1215</v>
      </c>
      <c r="M1398">
        <v>1215</v>
      </c>
      <c r="N1398">
        <v>0</v>
      </c>
    </row>
    <row r="1399" spans="1:14" x14ac:dyDescent="0.25">
      <c r="A1399">
        <v>886.00012100000004</v>
      </c>
      <c r="B1399" s="1">
        <f>DATE(2012,10,3) + TIME(0,0,10)</f>
        <v>41185.000115740739</v>
      </c>
      <c r="C1399">
        <v>80</v>
      </c>
      <c r="D1399">
        <v>79.915184021000002</v>
      </c>
      <c r="E1399">
        <v>50</v>
      </c>
      <c r="F1399">
        <v>36.943874358999999</v>
      </c>
      <c r="G1399">
        <v>1342.7147216999999</v>
      </c>
      <c r="H1399">
        <v>1337.1685791</v>
      </c>
      <c r="I1399">
        <v>1329.1735839999999</v>
      </c>
      <c r="J1399">
        <v>1316.9031981999999</v>
      </c>
      <c r="K1399">
        <v>0</v>
      </c>
      <c r="L1399">
        <v>1215</v>
      </c>
      <c r="M1399">
        <v>1215</v>
      </c>
      <c r="N1399">
        <v>0</v>
      </c>
    </row>
    <row r="1400" spans="1:14" x14ac:dyDescent="0.25">
      <c r="A1400">
        <v>886.00036399999999</v>
      </c>
      <c r="B1400" s="1">
        <f>DATE(2012,10,3) + TIME(0,0,31)</f>
        <v>41185.000358796293</v>
      </c>
      <c r="C1400">
        <v>80</v>
      </c>
      <c r="D1400">
        <v>79.914581299000005</v>
      </c>
      <c r="E1400">
        <v>50</v>
      </c>
      <c r="F1400">
        <v>36.946659087999997</v>
      </c>
      <c r="G1400">
        <v>1338.7784423999999</v>
      </c>
      <c r="H1400">
        <v>1333.2344971</v>
      </c>
      <c r="I1400">
        <v>1336.7069091999999</v>
      </c>
      <c r="J1400">
        <v>1324.4486084</v>
      </c>
      <c r="K1400">
        <v>0</v>
      </c>
      <c r="L1400">
        <v>1215</v>
      </c>
      <c r="M1400">
        <v>1215</v>
      </c>
      <c r="N1400">
        <v>0</v>
      </c>
    </row>
    <row r="1401" spans="1:14" x14ac:dyDescent="0.25">
      <c r="A1401">
        <v>886.00109299999997</v>
      </c>
      <c r="B1401" s="1">
        <f>DATE(2012,10,3) + TIME(0,1,34)</f>
        <v>41185.001087962963</v>
      </c>
      <c r="C1401">
        <v>80</v>
      </c>
      <c r="D1401">
        <v>79.913864136000001</v>
      </c>
      <c r="E1401">
        <v>50</v>
      </c>
      <c r="F1401">
        <v>36.953254700000002</v>
      </c>
      <c r="G1401">
        <v>1334.7374268000001</v>
      </c>
      <c r="H1401">
        <v>1329.1600341999999</v>
      </c>
      <c r="I1401">
        <v>1344.4383545000001</v>
      </c>
      <c r="J1401">
        <v>1332.1811522999999</v>
      </c>
      <c r="K1401">
        <v>0</v>
      </c>
      <c r="L1401">
        <v>1215</v>
      </c>
      <c r="M1401">
        <v>1215</v>
      </c>
      <c r="N1401">
        <v>0</v>
      </c>
    </row>
    <row r="1402" spans="1:14" x14ac:dyDescent="0.25">
      <c r="A1402">
        <v>886.00328000000002</v>
      </c>
      <c r="B1402" s="1">
        <f>DATE(2012,10,3) + TIME(0,4,43)</f>
        <v>41185.003275462965</v>
      </c>
      <c r="C1402">
        <v>80</v>
      </c>
      <c r="D1402">
        <v>79.912780761999997</v>
      </c>
      <c r="E1402">
        <v>50</v>
      </c>
      <c r="F1402">
        <v>36.971275329999997</v>
      </c>
      <c r="G1402">
        <v>1330.1754149999999</v>
      </c>
      <c r="H1402">
        <v>1324.4975586</v>
      </c>
      <c r="I1402">
        <v>1352.5433350000001</v>
      </c>
      <c r="J1402">
        <v>1340.2609863</v>
      </c>
      <c r="K1402">
        <v>0</v>
      </c>
      <c r="L1402">
        <v>1215</v>
      </c>
      <c r="M1402">
        <v>1215</v>
      </c>
      <c r="N1402">
        <v>0</v>
      </c>
    </row>
    <row r="1403" spans="1:14" x14ac:dyDescent="0.25">
      <c r="A1403">
        <v>886.00984100000005</v>
      </c>
      <c r="B1403" s="1">
        <f>DATE(2012,10,3) + TIME(0,14,10)</f>
        <v>41185.009837962964</v>
      </c>
      <c r="C1403">
        <v>80</v>
      </c>
      <c r="D1403">
        <v>79.910713196000003</v>
      </c>
      <c r="E1403">
        <v>50</v>
      </c>
      <c r="F1403">
        <v>37.023468018000003</v>
      </c>
      <c r="G1403">
        <v>1324.8966064000001</v>
      </c>
      <c r="H1403">
        <v>1319.1105957</v>
      </c>
      <c r="I1403">
        <v>1360.5953368999999</v>
      </c>
      <c r="J1403">
        <v>1348.2618408000001</v>
      </c>
      <c r="K1403">
        <v>0</v>
      </c>
      <c r="L1403">
        <v>1215</v>
      </c>
      <c r="M1403">
        <v>1215</v>
      </c>
      <c r="N1403">
        <v>0</v>
      </c>
    </row>
    <row r="1404" spans="1:14" x14ac:dyDescent="0.25">
      <c r="A1404">
        <v>886.02952400000004</v>
      </c>
      <c r="B1404" s="1">
        <f>DATE(2012,10,3) + TIME(0,42,30)</f>
        <v>41185.029513888891</v>
      </c>
      <c r="C1404">
        <v>80</v>
      </c>
      <c r="D1404">
        <v>79.906066894999995</v>
      </c>
      <c r="E1404">
        <v>50</v>
      </c>
      <c r="F1404">
        <v>37.176891327</v>
      </c>
      <c r="G1404">
        <v>1320.0333252</v>
      </c>
      <c r="H1404">
        <v>1314.1914062000001</v>
      </c>
      <c r="I1404">
        <v>1366.8308105000001</v>
      </c>
      <c r="J1404">
        <v>1354.4719238</v>
      </c>
      <c r="K1404">
        <v>0</v>
      </c>
      <c r="L1404">
        <v>1215</v>
      </c>
      <c r="M1404">
        <v>1215</v>
      </c>
      <c r="N1404">
        <v>0</v>
      </c>
    </row>
    <row r="1405" spans="1:14" x14ac:dyDescent="0.25">
      <c r="A1405">
        <v>886.088573</v>
      </c>
      <c r="B1405" s="1">
        <f>DATE(2012,10,3) + TIME(2,7,32)</f>
        <v>41185.088564814818</v>
      </c>
      <c r="C1405">
        <v>80</v>
      </c>
      <c r="D1405">
        <v>79.894073485999996</v>
      </c>
      <c r="E1405">
        <v>50</v>
      </c>
      <c r="F1405">
        <v>37.620838165000002</v>
      </c>
      <c r="G1405">
        <v>1317.2681885</v>
      </c>
      <c r="H1405">
        <v>1311.4077147999999</v>
      </c>
      <c r="I1405">
        <v>1369.5341797000001</v>
      </c>
      <c r="J1405">
        <v>1357.2409668</v>
      </c>
      <c r="K1405">
        <v>0</v>
      </c>
      <c r="L1405">
        <v>1215</v>
      </c>
      <c r="M1405">
        <v>1215</v>
      </c>
      <c r="N1405">
        <v>0</v>
      </c>
    </row>
    <row r="1406" spans="1:14" x14ac:dyDescent="0.25">
      <c r="A1406">
        <v>886.19337700000005</v>
      </c>
      <c r="B1406" s="1">
        <f>DATE(2012,10,3) + TIME(4,38,27)</f>
        <v>41185.193368055552</v>
      </c>
      <c r="C1406">
        <v>80</v>
      </c>
      <c r="D1406">
        <v>79.874069214000002</v>
      </c>
      <c r="E1406">
        <v>50</v>
      </c>
      <c r="F1406">
        <v>38.363071441999999</v>
      </c>
      <c r="G1406">
        <v>1316.5366211</v>
      </c>
      <c r="H1406">
        <v>1310.6719971</v>
      </c>
      <c r="I1406">
        <v>1369.8045654</v>
      </c>
      <c r="J1406">
        <v>1357.6513672000001</v>
      </c>
      <c r="K1406">
        <v>0</v>
      </c>
      <c r="L1406">
        <v>1215</v>
      </c>
      <c r="M1406">
        <v>1215</v>
      </c>
      <c r="N1406">
        <v>0</v>
      </c>
    </row>
    <row r="1407" spans="1:14" x14ac:dyDescent="0.25">
      <c r="A1407">
        <v>886.30350599999997</v>
      </c>
      <c r="B1407" s="1">
        <f>DATE(2012,10,3) + TIME(7,17,2)</f>
        <v>41185.303495370368</v>
      </c>
      <c r="C1407">
        <v>80</v>
      </c>
      <c r="D1407">
        <v>79.853515625</v>
      </c>
      <c r="E1407">
        <v>50</v>
      </c>
      <c r="F1407">
        <v>39.096214293999999</v>
      </c>
      <c r="G1407">
        <v>1316.4047852000001</v>
      </c>
      <c r="H1407">
        <v>1310.5389404</v>
      </c>
      <c r="I1407">
        <v>1369.6477050999999</v>
      </c>
      <c r="J1407">
        <v>1357.6248779</v>
      </c>
      <c r="K1407">
        <v>0</v>
      </c>
      <c r="L1407">
        <v>1215</v>
      </c>
      <c r="M1407">
        <v>1215</v>
      </c>
      <c r="N1407">
        <v>0</v>
      </c>
    </row>
    <row r="1408" spans="1:14" x14ac:dyDescent="0.25">
      <c r="A1408">
        <v>886.41950299999996</v>
      </c>
      <c r="B1408" s="1">
        <f>DATE(2012,10,3) + TIME(10,4,5)</f>
        <v>41185.419502314813</v>
      </c>
      <c r="C1408">
        <v>80</v>
      </c>
      <c r="D1408">
        <v>79.832298279</v>
      </c>
      <c r="E1408">
        <v>50</v>
      </c>
      <c r="F1408">
        <v>39.819454192999999</v>
      </c>
      <c r="G1408">
        <v>1316.3771973</v>
      </c>
      <c r="H1408">
        <v>1310.5106201000001</v>
      </c>
      <c r="I1408">
        <v>1369.4626464999999</v>
      </c>
      <c r="J1408">
        <v>1357.5654297000001</v>
      </c>
      <c r="K1408">
        <v>0</v>
      </c>
      <c r="L1408">
        <v>1215</v>
      </c>
      <c r="M1408">
        <v>1215</v>
      </c>
      <c r="N1408">
        <v>0</v>
      </c>
    </row>
    <row r="1409" spans="1:14" x14ac:dyDescent="0.25">
      <c r="A1409">
        <v>886.54205100000001</v>
      </c>
      <c r="B1409" s="1">
        <f>DATE(2012,10,3) + TIME(13,0,33)</f>
        <v>41185.542048611111</v>
      </c>
      <c r="C1409">
        <v>80</v>
      </c>
      <c r="D1409">
        <v>79.810317992999998</v>
      </c>
      <c r="E1409">
        <v>50</v>
      </c>
      <c r="F1409">
        <v>40.532310486</v>
      </c>
      <c r="G1409">
        <v>1316.3696289</v>
      </c>
      <c r="H1409">
        <v>1310.5025635</v>
      </c>
      <c r="I1409">
        <v>1369.2861327999999</v>
      </c>
      <c r="J1409">
        <v>1357.5097656</v>
      </c>
      <c r="K1409">
        <v>0</v>
      </c>
      <c r="L1409">
        <v>1215</v>
      </c>
      <c r="M1409">
        <v>1215</v>
      </c>
      <c r="N1409">
        <v>0</v>
      </c>
    </row>
    <row r="1410" spans="1:14" x14ac:dyDescent="0.25">
      <c r="A1410">
        <v>886.67196999999999</v>
      </c>
      <c r="B1410" s="1">
        <f>DATE(2012,10,3) + TIME(16,7,38)</f>
        <v>41185.671967592592</v>
      </c>
      <c r="C1410">
        <v>80</v>
      </c>
      <c r="D1410">
        <v>79.787475585999999</v>
      </c>
      <c r="E1410">
        <v>50</v>
      </c>
      <c r="F1410">
        <v>41.234088898000003</v>
      </c>
      <c r="G1410">
        <v>1316.3663329999999</v>
      </c>
      <c r="H1410">
        <v>1310.4986572</v>
      </c>
      <c r="I1410">
        <v>1369.1176757999999</v>
      </c>
      <c r="J1410">
        <v>1357.4573975000001</v>
      </c>
      <c r="K1410">
        <v>0</v>
      </c>
      <c r="L1410">
        <v>1215</v>
      </c>
      <c r="M1410">
        <v>1215</v>
      </c>
      <c r="N1410">
        <v>0</v>
      </c>
    </row>
    <row r="1411" spans="1:14" x14ac:dyDescent="0.25">
      <c r="A1411">
        <v>886.81023700000003</v>
      </c>
      <c r="B1411" s="1">
        <f>DATE(2012,10,3) + TIME(19,26,44)</f>
        <v>41185.810231481482</v>
      </c>
      <c r="C1411">
        <v>80</v>
      </c>
      <c r="D1411">
        <v>79.763664246000005</v>
      </c>
      <c r="E1411">
        <v>50</v>
      </c>
      <c r="F1411">
        <v>41.924045563</v>
      </c>
      <c r="G1411">
        <v>1316.3637695</v>
      </c>
      <c r="H1411">
        <v>1310.4953613</v>
      </c>
      <c r="I1411">
        <v>1368.9559326000001</v>
      </c>
      <c r="J1411">
        <v>1357.4069824000001</v>
      </c>
      <c r="K1411">
        <v>0</v>
      </c>
      <c r="L1411">
        <v>1215</v>
      </c>
      <c r="M1411">
        <v>1215</v>
      </c>
      <c r="N1411">
        <v>0</v>
      </c>
    </row>
    <row r="1412" spans="1:14" x14ac:dyDescent="0.25">
      <c r="A1412">
        <v>886.95802600000002</v>
      </c>
      <c r="B1412" s="1">
        <f>DATE(2012,10,3) + TIME(22,59,33)</f>
        <v>41185.958020833335</v>
      </c>
      <c r="C1412">
        <v>80</v>
      </c>
      <c r="D1412">
        <v>79.738739014000004</v>
      </c>
      <c r="E1412">
        <v>50</v>
      </c>
      <c r="F1412">
        <v>42.601379395000002</v>
      </c>
      <c r="G1412">
        <v>1316.3612060999999</v>
      </c>
      <c r="H1412">
        <v>1310.4921875</v>
      </c>
      <c r="I1412">
        <v>1368.7999268000001</v>
      </c>
      <c r="J1412">
        <v>1357.3577881000001</v>
      </c>
      <c r="K1412">
        <v>0</v>
      </c>
      <c r="L1412">
        <v>1215</v>
      </c>
      <c r="M1412">
        <v>1215</v>
      </c>
      <c r="N1412">
        <v>0</v>
      </c>
    </row>
    <row r="1413" spans="1:14" x14ac:dyDescent="0.25">
      <c r="A1413">
        <v>887.11676999999997</v>
      </c>
      <c r="B1413" s="1">
        <f>DATE(2012,10,4) + TIME(2,48,8)</f>
        <v>41186.116759259261</v>
      </c>
      <c r="C1413">
        <v>80</v>
      </c>
      <c r="D1413">
        <v>79.712547302000004</v>
      </c>
      <c r="E1413">
        <v>50</v>
      </c>
      <c r="F1413">
        <v>43.265155792000002</v>
      </c>
      <c r="G1413">
        <v>1316.3585204999999</v>
      </c>
      <c r="H1413">
        <v>1310.4888916</v>
      </c>
      <c r="I1413">
        <v>1368.6492920000001</v>
      </c>
      <c r="J1413">
        <v>1357.3094481999999</v>
      </c>
      <c r="K1413">
        <v>0</v>
      </c>
      <c r="L1413">
        <v>1215</v>
      </c>
      <c r="M1413">
        <v>1215</v>
      </c>
      <c r="N1413">
        <v>0</v>
      </c>
    </row>
    <row r="1414" spans="1:14" x14ac:dyDescent="0.25">
      <c r="A1414">
        <v>887.28823399999999</v>
      </c>
      <c r="B1414" s="1">
        <f>DATE(2012,10,4) + TIME(6,55,3)</f>
        <v>41186.288229166668</v>
      </c>
      <c r="C1414">
        <v>80</v>
      </c>
      <c r="D1414">
        <v>79.684890746999997</v>
      </c>
      <c r="E1414">
        <v>50</v>
      </c>
      <c r="F1414">
        <v>43.914306641000003</v>
      </c>
      <c r="G1414">
        <v>1316.3557129000001</v>
      </c>
      <c r="H1414">
        <v>1310.4852295000001</v>
      </c>
      <c r="I1414">
        <v>1368.5035399999999</v>
      </c>
      <c r="J1414">
        <v>1357.2614745999999</v>
      </c>
      <c r="K1414">
        <v>0</v>
      </c>
      <c r="L1414">
        <v>1215</v>
      </c>
      <c r="M1414">
        <v>1215</v>
      </c>
      <c r="N1414">
        <v>0</v>
      </c>
    </row>
    <row r="1415" spans="1:14" x14ac:dyDescent="0.25">
      <c r="A1415">
        <v>887.47462800000005</v>
      </c>
      <c r="B1415" s="1">
        <f>DATE(2012,10,4) + TIME(11,23,27)</f>
        <v>41186.474618055552</v>
      </c>
      <c r="C1415">
        <v>80</v>
      </c>
      <c r="D1415">
        <v>79.655525208</v>
      </c>
      <c r="E1415">
        <v>50</v>
      </c>
      <c r="F1415">
        <v>44.547569275000001</v>
      </c>
      <c r="G1415">
        <v>1316.3525391000001</v>
      </c>
      <c r="H1415">
        <v>1310.4813231999999</v>
      </c>
      <c r="I1415">
        <v>1368.3623047000001</v>
      </c>
      <c r="J1415">
        <v>1357.2137451000001</v>
      </c>
      <c r="K1415">
        <v>0</v>
      </c>
      <c r="L1415">
        <v>1215</v>
      </c>
      <c r="M1415">
        <v>1215</v>
      </c>
      <c r="N1415">
        <v>0</v>
      </c>
    </row>
    <row r="1416" spans="1:14" x14ac:dyDescent="0.25">
      <c r="A1416">
        <v>887.67873499999996</v>
      </c>
      <c r="B1416" s="1">
        <f>DATE(2012,10,4) + TIME(16,17,22)</f>
        <v>41186.678726851853</v>
      </c>
      <c r="C1416">
        <v>80</v>
      </c>
      <c r="D1416">
        <v>79.624153136999993</v>
      </c>
      <c r="E1416">
        <v>50</v>
      </c>
      <c r="F1416">
        <v>45.163402556999998</v>
      </c>
      <c r="G1416">
        <v>1316.348999</v>
      </c>
      <c r="H1416">
        <v>1310.4770507999999</v>
      </c>
      <c r="I1416">
        <v>1368.2253418</v>
      </c>
      <c r="J1416">
        <v>1357.1658935999999</v>
      </c>
      <c r="K1416">
        <v>0</v>
      </c>
      <c r="L1416">
        <v>1215</v>
      </c>
      <c r="M1416">
        <v>1215</v>
      </c>
      <c r="N1416">
        <v>0</v>
      </c>
    </row>
    <row r="1417" spans="1:14" x14ac:dyDescent="0.25">
      <c r="A1417">
        <v>887.90420900000004</v>
      </c>
      <c r="B1417" s="1">
        <f>DATE(2012,10,4) + TIME(21,42,3)</f>
        <v>41186.90420138889</v>
      </c>
      <c r="C1417">
        <v>80</v>
      </c>
      <c r="D1417">
        <v>79.590385436999995</v>
      </c>
      <c r="E1417">
        <v>50</v>
      </c>
      <c r="F1417">
        <v>45.760101317999997</v>
      </c>
      <c r="G1417">
        <v>1316.3452147999999</v>
      </c>
      <c r="H1417">
        <v>1310.4724120999999</v>
      </c>
      <c r="I1417">
        <v>1368.0922852000001</v>
      </c>
      <c r="J1417">
        <v>1357.1174315999999</v>
      </c>
      <c r="K1417">
        <v>0</v>
      </c>
      <c r="L1417">
        <v>1215</v>
      </c>
      <c r="M1417">
        <v>1215</v>
      </c>
      <c r="N1417">
        <v>0</v>
      </c>
    </row>
    <row r="1418" spans="1:14" x14ac:dyDescent="0.25">
      <c r="A1418">
        <v>888.15591300000006</v>
      </c>
      <c r="B1418" s="1">
        <f>DATE(2012,10,5) + TIME(3,44,30)</f>
        <v>41187.155902777777</v>
      </c>
      <c r="C1418">
        <v>80</v>
      </c>
      <c r="D1418">
        <v>79.553718567000004</v>
      </c>
      <c r="E1418">
        <v>50</v>
      </c>
      <c r="F1418">
        <v>46.335651398000003</v>
      </c>
      <c r="G1418">
        <v>1316.3410644999999</v>
      </c>
      <c r="H1418">
        <v>1310.4672852000001</v>
      </c>
      <c r="I1418">
        <v>1367.9625243999999</v>
      </c>
      <c r="J1418">
        <v>1357.0679932</v>
      </c>
      <c r="K1418">
        <v>0</v>
      </c>
      <c r="L1418">
        <v>1215</v>
      </c>
      <c r="M1418">
        <v>1215</v>
      </c>
      <c r="N1418">
        <v>0</v>
      </c>
    </row>
    <row r="1419" spans="1:14" x14ac:dyDescent="0.25">
      <c r="A1419">
        <v>888.44046100000003</v>
      </c>
      <c r="B1419" s="1">
        <f>DATE(2012,10,5) + TIME(10,34,15)</f>
        <v>41187.440451388888</v>
      </c>
      <c r="C1419">
        <v>80</v>
      </c>
      <c r="D1419">
        <v>79.513488769999995</v>
      </c>
      <c r="E1419">
        <v>50</v>
      </c>
      <c r="F1419">
        <v>46.887565613</v>
      </c>
      <c r="G1419">
        <v>1316.3363036999999</v>
      </c>
      <c r="H1419">
        <v>1310.4615478999999</v>
      </c>
      <c r="I1419">
        <v>1367.8358154</v>
      </c>
      <c r="J1419">
        <v>1357.0169678</v>
      </c>
      <c r="K1419">
        <v>0</v>
      </c>
      <c r="L1419">
        <v>1215</v>
      </c>
      <c r="M1419">
        <v>1215</v>
      </c>
      <c r="N1419">
        <v>0</v>
      </c>
    </row>
    <row r="1420" spans="1:14" x14ac:dyDescent="0.25">
      <c r="A1420">
        <v>888.76717399999995</v>
      </c>
      <c r="B1420" s="1">
        <f>DATE(2012,10,5) + TIME(18,24,43)</f>
        <v>41187.767164351855</v>
      </c>
      <c r="C1420">
        <v>80</v>
      </c>
      <c r="D1420">
        <v>79.468788146999998</v>
      </c>
      <c r="E1420">
        <v>50</v>
      </c>
      <c r="F1420">
        <v>47.412803650000001</v>
      </c>
      <c r="G1420">
        <v>1316.3310547000001</v>
      </c>
      <c r="H1420">
        <v>1310.4552002</v>
      </c>
      <c r="I1420">
        <v>1367.7116699000001</v>
      </c>
      <c r="J1420">
        <v>1356.9637451000001</v>
      </c>
      <c r="K1420">
        <v>0</v>
      </c>
      <c r="L1420">
        <v>1215</v>
      </c>
      <c r="M1420">
        <v>1215</v>
      </c>
      <c r="N1420">
        <v>0</v>
      </c>
    </row>
    <row r="1421" spans="1:14" x14ac:dyDescent="0.25">
      <c r="A1421">
        <v>889.14971100000002</v>
      </c>
      <c r="B1421" s="1">
        <f>DATE(2012,10,6) + TIME(3,35,35)</f>
        <v>41188.149710648147</v>
      </c>
      <c r="C1421">
        <v>80</v>
      </c>
      <c r="D1421">
        <v>79.418319702000005</v>
      </c>
      <c r="E1421">
        <v>50</v>
      </c>
      <c r="F1421">
        <v>47.907592772999998</v>
      </c>
      <c r="G1421">
        <v>1316.3248291</v>
      </c>
      <c r="H1421">
        <v>1310.447876</v>
      </c>
      <c r="I1421">
        <v>1367.5893555</v>
      </c>
      <c r="J1421">
        <v>1356.9074707</v>
      </c>
      <c r="K1421">
        <v>0</v>
      </c>
      <c r="L1421">
        <v>1215</v>
      </c>
      <c r="M1421">
        <v>1215</v>
      </c>
      <c r="N1421">
        <v>0</v>
      </c>
    </row>
    <row r="1422" spans="1:14" x14ac:dyDescent="0.25">
      <c r="A1422">
        <v>889.59947699999998</v>
      </c>
      <c r="B1422" s="1">
        <f>DATE(2012,10,6) + TIME(14,23,14)</f>
        <v>41188.59946759259</v>
      </c>
      <c r="C1422">
        <v>80</v>
      </c>
      <c r="D1422">
        <v>79.361190796000002</v>
      </c>
      <c r="E1422">
        <v>50</v>
      </c>
      <c r="F1422">
        <v>48.359706879000001</v>
      </c>
      <c r="G1422">
        <v>1316.3176269999999</v>
      </c>
      <c r="H1422">
        <v>1310.4393310999999</v>
      </c>
      <c r="I1422">
        <v>1367.4699707</v>
      </c>
      <c r="J1422">
        <v>1356.8476562000001</v>
      </c>
      <c r="K1422">
        <v>0</v>
      </c>
      <c r="L1422">
        <v>1215</v>
      </c>
      <c r="M1422">
        <v>1215</v>
      </c>
      <c r="N1422">
        <v>0</v>
      </c>
    </row>
    <row r="1423" spans="1:14" x14ac:dyDescent="0.25">
      <c r="A1423">
        <v>890.05098599999997</v>
      </c>
      <c r="B1423" s="1">
        <f>DATE(2012,10,7) + TIME(1,13,25)</f>
        <v>41189.050983796296</v>
      </c>
      <c r="C1423">
        <v>80</v>
      </c>
      <c r="D1423">
        <v>79.304008483999993</v>
      </c>
      <c r="E1423">
        <v>50</v>
      </c>
      <c r="F1423">
        <v>48.711956024000003</v>
      </c>
      <c r="G1423">
        <v>1316.3088379000001</v>
      </c>
      <c r="H1423">
        <v>1310.4293213000001</v>
      </c>
      <c r="I1423">
        <v>1367.3669434000001</v>
      </c>
      <c r="J1423">
        <v>1356.7886963000001</v>
      </c>
      <c r="K1423">
        <v>0</v>
      </c>
      <c r="L1423">
        <v>1215</v>
      </c>
      <c r="M1423">
        <v>1215</v>
      </c>
      <c r="N1423">
        <v>0</v>
      </c>
    </row>
    <row r="1424" spans="1:14" x14ac:dyDescent="0.25">
      <c r="A1424">
        <v>890.51645099999996</v>
      </c>
      <c r="B1424" s="1">
        <f>DATE(2012,10,7) + TIME(12,23,41)</f>
        <v>41189.516446759262</v>
      </c>
      <c r="C1424">
        <v>80</v>
      </c>
      <c r="D1424">
        <v>79.245658875000004</v>
      </c>
      <c r="E1424">
        <v>50</v>
      </c>
      <c r="F1424">
        <v>48.991699218999997</v>
      </c>
      <c r="G1424">
        <v>1316.3000488</v>
      </c>
      <c r="H1424">
        <v>1310.4193115</v>
      </c>
      <c r="I1424">
        <v>1367.2752685999999</v>
      </c>
      <c r="J1424">
        <v>1356.7324219</v>
      </c>
      <c r="K1424">
        <v>0</v>
      </c>
      <c r="L1424">
        <v>1215</v>
      </c>
      <c r="M1424">
        <v>1215</v>
      </c>
      <c r="N1424">
        <v>0</v>
      </c>
    </row>
    <row r="1425" spans="1:14" x14ac:dyDescent="0.25">
      <c r="A1425">
        <v>891.00071000000003</v>
      </c>
      <c r="B1425" s="1">
        <f>DATE(2012,10,8) + TIME(0,1,1)</f>
        <v>41190.000706018516</v>
      </c>
      <c r="C1425">
        <v>80</v>
      </c>
      <c r="D1425">
        <v>79.185729980000005</v>
      </c>
      <c r="E1425">
        <v>50</v>
      </c>
      <c r="F1425">
        <v>49.213787078999999</v>
      </c>
      <c r="G1425">
        <v>1316.2910156</v>
      </c>
      <c r="H1425">
        <v>1310.4089355000001</v>
      </c>
      <c r="I1425">
        <v>1367.1923827999999</v>
      </c>
      <c r="J1425">
        <v>1356.6779785000001</v>
      </c>
      <c r="K1425">
        <v>0</v>
      </c>
      <c r="L1425">
        <v>1215</v>
      </c>
      <c r="M1425">
        <v>1215</v>
      </c>
      <c r="N1425">
        <v>0</v>
      </c>
    </row>
    <row r="1426" spans="1:14" x14ac:dyDescent="0.25">
      <c r="A1426">
        <v>891.50961400000006</v>
      </c>
      <c r="B1426" s="1">
        <f>DATE(2012,10,8) + TIME(12,13,50)</f>
        <v>41190.509606481479</v>
      </c>
      <c r="C1426">
        <v>80</v>
      </c>
      <c r="D1426">
        <v>79.123703003000003</v>
      </c>
      <c r="E1426">
        <v>50</v>
      </c>
      <c r="F1426">
        <v>49.389770507999998</v>
      </c>
      <c r="G1426">
        <v>1316.2816161999999</v>
      </c>
      <c r="H1426">
        <v>1310.3981934000001</v>
      </c>
      <c r="I1426">
        <v>1367.1162108999999</v>
      </c>
      <c r="J1426">
        <v>1356.6247559000001</v>
      </c>
      <c r="K1426">
        <v>0</v>
      </c>
      <c r="L1426">
        <v>1215</v>
      </c>
      <c r="M1426">
        <v>1215</v>
      </c>
      <c r="N1426">
        <v>0</v>
      </c>
    </row>
    <row r="1427" spans="1:14" x14ac:dyDescent="0.25">
      <c r="A1427">
        <v>892.04970700000001</v>
      </c>
      <c r="B1427" s="1">
        <f>DATE(2012,10,9) + TIME(1,11,34)</f>
        <v>41191.049699074072</v>
      </c>
      <c r="C1427">
        <v>80</v>
      </c>
      <c r="D1427">
        <v>79.059005737000007</v>
      </c>
      <c r="E1427">
        <v>50</v>
      </c>
      <c r="F1427">
        <v>49.528560638000002</v>
      </c>
      <c r="G1427">
        <v>1316.2716064000001</v>
      </c>
      <c r="H1427">
        <v>1310.3868408000001</v>
      </c>
      <c r="I1427">
        <v>1367.0450439000001</v>
      </c>
      <c r="J1427">
        <v>1356.5721435999999</v>
      </c>
      <c r="K1427">
        <v>0</v>
      </c>
      <c r="L1427">
        <v>1215</v>
      </c>
      <c r="M1427">
        <v>1215</v>
      </c>
      <c r="N1427">
        <v>0</v>
      </c>
    </row>
    <row r="1428" spans="1:14" x14ac:dyDescent="0.25">
      <c r="A1428">
        <v>892.62867100000005</v>
      </c>
      <c r="B1428" s="1">
        <f>DATE(2012,10,9) + TIME(15,5,17)</f>
        <v>41191.628668981481</v>
      </c>
      <c r="C1428">
        <v>80</v>
      </c>
      <c r="D1428">
        <v>78.990989685000002</v>
      </c>
      <c r="E1428">
        <v>50</v>
      </c>
      <c r="F1428">
        <v>49.637187957999998</v>
      </c>
      <c r="G1428">
        <v>1316.2609863</v>
      </c>
      <c r="H1428">
        <v>1310.3746338000001</v>
      </c>
      <c r="I1428">
        <v>1366.9775391000001</v>
      </c>
      <c r="J1428">
        <v>1356.5198975000001</v>
      </c>
      <c r="K1428">
        <v>0</v>
      </c>
      <c r="L1428">
        <v>1215</v>
      </c>
      <c r="M1428">
        <v>1215</v>
      </c>
      <c r="N1428">
        <v>0</v>
      </c>
    </row>
    <row r="1429" spans="1:14" x14ac:dyDescent="0.25">
      <c r="A1429">
        <v>893.25622499999997</v>
      </c>
      <c r="B1429" s="1">
        <f>DATE(2012,10,10) + TIME(6,8,57)</f>
        <v>41192.256215277775</v>
      </c>
      <c r="C1429">
        <v>80</v>
      </c>
      <c r="D1429">
        <v>78.918838500999996</v>
      </c>
      <c r="E1429">
        <v>50</v>
      </c>
      <c r="F1429">
        <v>49.721355438000003</v>
      </c>
      <c r="G1429">
        <v>1316.2496338000001</v>
      </c>
      <c r="H1429">
        <v>1310.3616943</v>
      </c>
      <c r="I1429">
        <v>1366.9124756000001</v>
      </c>
      <c r="J1429">
        <v>1356.4672852000001</v>
      </c>
      <c r="K1429">
        <v>0</v>
      </c>
      <c r="L1429">
        <v>1215</v>
      </c>
      <c r="M1429">
        <v>1215</v>
      </c>
      <c r="N1429">
        <v>0</v>
      </c>
    </row>
    <row r="1430" spans="1:14" x14ac:dyDescent="0.25">
      <c r="A1430">
        <v>893.94482400000004</v>
      </c>
      <c r="B1430" s="1">
        <f>DATE(2012,10,10) + TIME(22,40,32)</f>
        <v>41192.944814814815</v>
      </c>
      <c r="C1430">
        <v>80</v>
      </c>
      <c r="D1430">
        <v>78.841575622999997</v>
      </c>
      <c r="E1430">
        <v>50</v>
      </c>
      <c r="F1430">
        <v>49.785720824999999</v>
      </c>
      <c r="G1430">
        <v>1316.2371826000001</v>
      </c>
      <c r="H1430">
        <v>1310.3475341999999</v>
      </c>
      <c r="I1430">
        <v>1366.8488769999999</v>
      </c>
      <c r="J1430">
        <v>1356.4140625</v>
      </c>
      <c r="K1430">
        <v>0</v>
      </c>
      <c r="L1430">
        <v>1215</v>
      </c>
      <c r="M1430">
        <v>1215</v>
      </c>
      <c r="N1430">
        <v>0</v>
      </c>
    </row>
    <row r="1431" spans="1:14" x14ac:dyDescent="0.25">
      <c r="A1431">
        <v>894.699296</v>
      </c>
      <c r="B1431" s="1">
        <f>DATE(2012,10,11) + TIME(16,46,59)</f>
        <v>41193.699293981481</v>
      </c>
      <c r="C1431">
        <v>80</v>
      </c>
      <c r="D1431">
        <v>78.758796692000004</v>
      </c>
      <c r="E1431">
        <v>50</v>
      </c>
      <c r="F1431">
        <v>49.833618164000001</v>
      </c>
      <c r="G1431">
        <v>1316.2235106999999</v>
      </c>
      <c r="H1431">
        <v>1310.3320312000001</v>
      </c>
      <c r="I1431">
        <v>1366.7857666</v>
      </c>
      <c r="J1431">
        <v>1356.3594971</v>
      </c>
      <c r="K1431">
        <v>0</v>
      </c>
      <c r="L1431">
        <v>1215</v>
      </c>
      <c r="M1431">
        <v>1215</v>
      </c>
      <c r="N1431">
        <v>0</v>
      </c>
    </row>
    <row r="1432" spans="1:14" x14ac:dyDescent="0.25">
      <c r="A1432">
        <v>895.53113800000006</v>
      </c>
      <c r="B1432" s="1">
        <f>DATE(2012,10,12) + TIME(12,44,50)</f>
        <v>41194.531134259261</v>
      </c>
      <c r="C1432">
        <v>80</v>
      </c>
      <c r="D1432">
        <v>78.669677734000004</v>
      </c>
      <c r="E1432">
        <v>50</v>
      </c>
      <c r="F1432">
        <v>49.868488311999997</v>
      </c>
      <c r="G1432">
        <v>1316.2084961</v>
      </c>
      <c r="H1432">
        <v>1310.3148193</v>
      </c>
      <c r="I1432">
        <v>1366.7229004000001</v>
      </c>
      <c r="J1432">
        <v>1356.3039550999999</v>
      </c>
      <c r="K1432">
        <v>0</v>
      </c>
      <c r="L1432">
        <v>1215</v>
      </c>
      <c r="M1432">
        <v>1215</v>
      </c>
      <c r="N1432">
        <v>0</v>
      </c>
    </row>
    <row r="1433" spans="1:14" x14ac:dyDescent="0.25">
      <c r="A1433">
        <v>896.45251199999996</v>
      </c>
      <c r="B1433" s="1">
        <f>DATE(2012,10,13) + TIME(10,51,37)</f>
        <v>41195.452511574076</v>
      </c>
      <c r="C1433">
        <v>80</v>
      </c>
      <c r="D1433">
        <v>78.573348999000004</v>
      </c>
      <c r="E1433">
        <v>50</v>
      </c>
      <c r="F1433">
        <v>49.893245696999998</v>
      </c>
      <c r="G1433">
        <v>1316.1917725000001</v>
      </c>
      <c r="H1433">
        <v>1310.2958983999999</v>
      </c>
      <c r="I1433">
        <v>1366.6594238</v>
      </c>
      <c r="J1433">
        <v>1356.2469481999999</v>
      </c>
      <c r="K1433">
        <v>0</v>
      </c>
      <c r="L1433">
        <v>1215</v>
      </c>
      <c r="M1433">
        <v>1215</v>
      </c>
      <c r="N1433">
        <v>0</v>
      </c>
    </row>
    <row r="1434" spans="1:14" x14ac:dyDescent="0.25">
      <c r="A1434">
        <v>897.38234899999998</v>
      </c>
      <c r="B1434" s="1">
        <f>DATE(2012,10,14) + TIME(9,10,34)</f>
        <v>41196.382337962961</v>
      </c>
      <c r="C1434">
        <v>80</v>
      </c>
      <c r="D1434">
        <v>78.475212096999996</v>
      </c>
      <c r="E1434">
        <v>50</v>
      </c>
      <c r="F1434">
        <v>49.909320831000002</v>
      </c>
      <c r="G1434">
        <v>1316.1729736</v>
      </c>
      <c r="H1434">
        <v>1310.2749022999999</v>
      </c>
      <c r="I1434">
        <v>1366.5953368999999</v>
      </c>
      <c r="J1434">
        <v>1356.1884766000001</v>
      </c>
      <c r="K1434">
        <v>0</v>
      </c>
      <c r="L1434">
        <v>1215</v>
      </c>
      <c r="M1434">
        <v>1215</v>
      </c>
      <c r="N1434">
        <v>0</v>
      </c>
    </row>
    <row r="1435" spans="1:14" x14ac:dyDescent="0.25">
      <c r="A1435">
        <v>898.33524799999998</v>
      </c>
      <c r="B1435" s="1">
        <f>DATE(2012,10,15) + TIME(8,2,45)</f>
        <v>41197.335243055553</v>
      </c>
      <c r="C1435">
        <v>80</v>
      </c>
      <c r="D1435">
        <v>78.375190735000004</v>
      </c>
      <c r="E1435">
        <v>50</v>
      </c>
      <c r="F1435">
        <v>49.919925689999999</v>
      </c>
      <c r="G1435">
        <v>1316.1539307</v>
      </c>
      <c r="H1435">
        <v>1310.253418</v>
      </c>
      <c r="I1435">
        <v>1366.5354004000001</v>
      </c>
      <c r="J1435">
        <v>1356.1337891000001</v>
      </c>
      <c r="K1435">
        <v>0</v>
      </c>
      <c r="L1435">
        <v>1215</v>
      </c>
      <c r="M1435">
        <v>1215</v>
      </c>
      <c r="N1435">
        <v>0</v>
      </c>
    </row>
    <row r="1436" spans="1:14" x14ac:dyDescent="0.25">
      <c r="A1436">
        <v>899.32550900000001</v>
      </c>
      <c r="B1436" s="1">
        <f>DATE(2012,10,16) + TIME(7,48,43)</f>
        <v>41198.325497685182</v>
      </c>
      <c r="C1436">
        <v>80</v>
      </c>
      <c r="D1436">
        <v>78.272781371999997</v>
      </c>
      <c r="E1436">
        <v>50</v>
      </c>
      <c r="F1436">
        <v>49.927001953000001</v>
      </c>
      <c r="G1436">
        <v>1316.1342772999999</v>
      </c>
      <c r="H1436">
        <v>1310.2312012</v>
      </c>
      <c r="I1436">
        <v>1366.4782714999999</v>
      </c>
      <c r="J1436">
        <v>1356.081543</v>
      </c>
      <c r="K1436">
        <v>0</v>
      </c>
      <c r="L1436">
        <v>1215</v>
      </c>
      <c r="M1436">
        <v>1215</v>
      </c>
      <c r="N1436">
        <v>0</v>
      </c>
    </row>
    <row r="1437" spans="1:14" x14ac:dyDescent="0.25">
      <c r="A1437">
        <v>900.36764600000004</v>
      </c>
      <c r="B1437" s="1">
        <f>DATE(2012,10,17) + TIME(8,49,24)</f>
        <v>41199.367638888885</v>
      </c>
      <c r="C1437">
        <v>80</v>
      </c>
      <c r="D1437">
        <v>78.167236328000001</v>
      </c>
      <c r="E1437">
        <v>50</v>
      </c>
      <c r="F1437">
        <v>49.931766510000003</v>
      </c>
      <c r="G1437">
        <v>1316.1136475000001</v>
      </c>
      <c r="H1437">
        <v>1310.2077637</v>
      </c>
      <c r="I1437">
        <v>1366.4229736</v>
      </c>
      <c r="J1437">
        <v>1356.0310059000001</v>
      </c>
      <c r="K1437">
        <v>0</v>
      </c>
      <c r="L1437">
        <v>1215</v>
      </c>
      <c r="M1437">
        <v>1215</v>
      </c>
      <c r="N1437">
        <v>0</v>
      </c>
    </row>
    <row r="1438" spans="1:14" x14ac:dyDescent="0.25">
      <c r="A1438">
        <v>901.47811000000002</v>
      </c>
      <c r="B1438" s="1">
        <f>DATE(2012,10,18) + TIME(11,28,28)</f>
        <v>41200.478101851855</v>
      </c>
      <c r="C1438">
        <v>80</v>
      </c>
      <c r="D1438">
        <v>78.057586670000006</v>
      </c>
      <c r="E1438">
        <v>50</v>
      </c>
      <c r="F1438">
        <v>49.935005187999998</v>
      </c>
      <c r="G1438">
        <v>1316.0917969</v>
      </c>
      <c r="H1438">
        <v>1310.1829834</v>
      </c>
      <c r="I1438">
        <v>1366.3684082</v>
      </c>
      <c r="J1438">
        <v>1355.9812012</v>
      </c>
      <c r="K1438">
        <v>0</v>
      </c>
      <c r="L1438">
        <v>1215</v>
      </c>
      <c r="M1438">
        <v>1215</v>
      </c>
      <c r="N1438">
        <v>0</v>
      </c>
    </row>
    <row r="1439" spans="1:14" x14ac:dyDescent="0.25">
      <c r="A1439">
        <v>902.65593200000001</v>
      </c>
      <c r="B1439" s="1">
        <f>DATE(2012,10,19) + TIME(15,44,32)</f>
        <v>41201.655925925923</v>
      </c>
      <c r="C1439">
        <v>80</v>
      </c>
      <c r="D1439">
        <v>77.943778992000006</v>
      </c>
      <c r="E1439">
        <v>50</v>
      </c>
      <c r="F1439">
        <v>49.937198639000002</v>
      </c>
      <c r="G1439">
        <v>1316.0682373</v>
      </c>
      <c r="H1439">
        <v>1310.1561279</v>
      </c>
      <c r="I1439">
        <v>1366.3138428</v>
      </c>
      <c r="J1439">
        <v>1355.9315185999999</v>
      </c>
      <c r="K1439">
        <v>0</v>
      </c>
      <c r="L1439">
        <v>1215</v>
      </c>
      <c r="M1439">
        <v>1215</v>
      </c>
      <c r="N1439">
        <v>0</v>
      </c>
    </row>
    <row r="1440" spans="1:14" x14ac:dyDescent="0.25">
      <c r="A1440">
        <v>903.91703500000006</v>
      </c>
      <c r="B1440" s="1">
        <f>DATE(2012,10,20) + TIME(22,0,31)</f>
        <v>41202.917025462964</v>
      </c>
      <c r="C1440">
        <v>80</v>
      </c>
      <c r="D1440">
        <v>77.824981688999998</v>
      </c>
      <c r="E1440">
        <v>50</v>
      </c>
      <c r="F1440">
        <v>49.938701629999997</v>
      </c>
      <c r="G1440">
        <v>1316.0429687999999</v>
      </c>
      <c r="H1440">
        <v>1310.1274414</v>
      </c>
      <c r="I1440">
        <v>1366.2595214999999</v>
      </c>
      <c r="J1440">
        <v>1355.8822021000001</v>
      </c>
      <c r="K1440">
        <v>0</v>
      </c>
      <c r="L1440">
        <v>1215</v>
      </c>
      <c r="M1440">
        <v>1215</v>
      </c>
      <c r="N1440">
        <v>0</v>
      </c>
    </row>
    <row r="1441" spans="1:14" x14ac:dyDescent="0.25">
      <c r="A1441">
        <v>905.28460099999995</v>
      </c>
      <c r="B1441" s="1">
        <f>DATE(2012,10,22) + TIME(6,49,49)</f>
        <v>41204.284594907411</v>
      </c>
      <c r="C1441">
        <v>80</v>
      </c>
      <c r="D1441">
        <v>77.699897766000007</v>
      </c>
      <c r="E1441">
        <v>50</v>
      </c>
      <c r="F1441">
        <v>49.939746857000003</v>
      </c>
      <c r="G1441">
        <v>1316.015625</v>
      </c>
      <c r="H1441">
        <v>1310.0960693</v>
      </c>
      <c r="I1441">
        <v>1366.2049560999999</v>
      </c>
      <c r="J1441">
        <v>1355.8328856999999</v>
      </c>
      <c r="K1441">
        <v>0</v>
      </c>
      <c r="L1441">
        <v>1215</v>
      </c>
      <c r="M1441">
        <v>1215</v>
      </c>
      <c r="N1441">
        <v>0</v>
      </c>
    </row>
    <row r="1442" spans="1:14" x14ac:dyDescent="0.25">
      <c r="A1442">
        <v>906.75743599999998</v>
      </c>
      <c r="B1442" s="1">
        <f>DATE(2012,10,23) + TIME(18,10,42)</f>
        <v>41205.757430555554</v>
      </c>
      <c r="C1442">
        <v>80</v>
      </c>
      <c r="D1442">
        <v>77.568359375</v>
      </c>
      <c r="E1442">
        <v>50</v>
      </c>
      <c r="F1442">
        <v>49.940479279000002</v>
      </c>
      <c r="G1442">
        <v>1315.9855957</v>
      </c>
      <c r="H1442">
        <v>1310.0616454999999</v>
      </c>
      <c r="I1442">
        <v>1366.1492920000001</v>
      </c>
      <c r="J1442">
        <v>1355.7827147999999</v>
      </c>
      <c r="K1442">
        <v>0</v>
      </c>
      <c r="L1442">
        <v>1215</v>
      </c>
      <c r="M1442">
        <v>1215</v>
      </c>
      <c r="N1442">
        <v>0</v>
      </c>
    </row>
    <row r="1443" spans="1:14" x14ac:dyDescent="0.25">
      <c r="A1443">
        <v>908.25468499999999</v>
      </c>
      <c r="B1443" s="1">
        <f>DATE(2012,10,25) + TIME(6,6,44)</f>
        <v>41207.254675925928</v>
      </c>
      <c r="C1443">
        <v>80</v>
      </c>
      <c r="D1443">
        <v>77.434249878000003</v>
      </c>
      <c r="E1443">
        <v>50</v>
      </c>
      <c r="F1443">
        <v>49.940975189</v>
      </c>
      <c r="G1443">
        <v>1315.9525146000001</v>
      </c>
      <c r="H1443">
        <v>1310.0240478999999</v>
      </c>
      <c r="I1443">
        <v>1366.0928954999999</v>
      </c>
      <c r="J1443">
        <v>1355.7321777</v>
      </c>
      <c r="K1443">
        <v>0</v>
      </c>
      <c r="L1443">
        <v>1215</v>
      </c>
      <c r="M1443">
        <v>1215</v>
      </c>
      <c r="N1443">
        <v>0</v>
      </c>
    </row>
    <row r="1444" spans="1:14" x14ac:dyDescent="0.25">
      <c r="A1444">
        <v>909.80021799999997</v>
      </c>
      <c r="B1444" s="1">
        <f>DATE(2012,10,26) + TIME(19,12,18)</f>
        <v>41208.800208333334</v>
      </c>
      <c r="C1444">
        <v>80</v>
      </c>
      <c r="D1444">
        <v>77.297966002999999</v>
      </c>
      <c r="E1444">
        <v>50</v>
      </c>
      <c r="F1444">
        <v>49.941326140999998</v>
      </c>
      <c r="G1444">
        <v>1315.9183350000001</v>
      </c>
      <c r="H1444">
        <v>1309.9847411999999</v>
      </c>
      <c r="I1444">
        <v>1366.0390625</v>
      </c>
      <c r="J1444">
        <v>1355.684082</v>
      </c>
      <c r="K1444">
        <v>0</v>
      </c>
      <c r="L1444">
        <v>1215</v>
      </c>
      <c r="M1444">
        <v>1215</v>
      </c>
      <c r="N1444">
        <v>0</v>
      </c>
    </row>
    <row r="1445" spans="1:14" x14ac:dyDescent="0.25">
      <c r="A1445">
        <v>911.41431499999999</v>
      </c>
      <c r="B1445" s="1">
        <f>DATE(2012,10,28) + TIME(9,56,36)</f>
        <v>41210.414305555554</v>
      </c>
      <c r="C1445">
        <v>80</v>
      </c>
      <c r="D1445">
        <v>77.159042357999994</v>
      </c>
      <c r="E1445">
        <v>50</v>
      </c>
      <c r="F1445">
        <v>49.941581726000003</v>
      </c>
      <c r="G1445">
        <v>1315.8824463000001</v>
      </c>
      <c r="H1445">
        <v>1309.9431152</v>
      </c>
      <c r="I1445">
        <v>1365.9866943</v>
      </c>
      <c r="J1445">
        <v>1355.6374512</v>
      </c>
      <c r="K1445">
        <v>0</v>
      </c>
      <c r="L1445">
        <v>1215</v>
      </c>
      <c r="M1445">
        <v>1215</v>
      </c>
      <c r="N1445">
        <v>0</v>
      </c>
    </row>
    <row r="1446" spans="1:14" x14ac:dyDescent="0.25">
      <c r="A1446">
        <v>913.08446800000002</v>
      </c>
      <c r="B1446" s="1">
        <f>DATE(2012,10,30) + TIME(2,1,38)</f>
        <v>41212.084467592591</v>
      </c>
      <c r="C1446">
        <v>80</v>
      </c>
      <c r="D1446">
        <v>77.018043517999999</v>
      </c>
      <c r="E1446">
        <v>50</v>
      </c>
      <c r="F1446">
        <v>49.941776275999999</v>
      </c>
      <c r="G1446">
        <v>1315.8441161999999</v>
      </c>
      <c r="H1446">
        <v>1309.8986815999999</v>
      </c>
      <c r="I1446">
        <v>1365.9349365</v>
      </c>
      <c r="J1446">
        <v>1355.5916748</v>
      </c>
      <c r="K1446">
        <v>0</v>
      </c>
      <c r="L1446">
        <v>1215</v>
      </c>
      <c r="M1446">
        <v>1215</v>
      </c>
      <c r="N1446">
        <v>0</v>
      </c>
    </row>
    <row r="1447" spans="1:14" x14ac:dyDescent="0.25">
      <c r="A1447">
        <v>914.78063099999997</v>
      </c>
      <c r="B1447" s="1">
        <f>DATE(2012,10,31) + TIME(18,44,6)</f>
        <v>41213.780624999999</v>
      </c>
      <c r="C1447">
        <v>80</v>
      </c>
      <c r="D1447">
        <v>76.876525878999999</v>
      </c>
      <c r="E1447">
        <v>50</v>
      </c>
      <c r="F1447">
        <v>49.941925048999998</v>
      </c>
      <c r="G1447">
        <v>1315.8037108999999</v>
      </c>
      <c r="H1447">
        <v>1309.8515625</v>
      </c>
      <c r="I1447">
        <v>1365.8843993999999</v>
      </c>
      <c r="J1447">
        <v>1355.546875</v>
      </c>
      <c r="K1447">
        <v>0</v>
      </c>
      <c r="L1447">
        <v>1215</v>
      </c>
      <c r="M1447">
        <v>1215</v>
      </c>
      <c r="N1447">
        <v>0</v>
      </c>
    </row>
    <row r="1448" spans="1:14" x14ac:dyDescent="0.25">
      <c r="A1448">
        <v>916.50768100000005</v>
      </c>
      <c r="B1448" s="1">
        <f>DATE(2012,11,2) + TIME(12,11,3)</f>
        <v>41215.507673611108</v>
      </c>
      <c r="C1448">
        <v>80</v>
      </c>
      <c r="D1448">
        <v>76.735015868999994</v>
      </c>
      <c r="E1448">
        <v>50</v>
      </c>
      <c r="F1448">
        <v>49.942047119000001</v>
      </c>
      <c r="G1448">
        <v>1315.7617187999999</v>
      </c>
      <c r="H1448">
        <v>1309.8023682</v>
      </c>
      <c r="I1448">
        <v>1365.8356934000001</v>
      </c>
      <c r="J1448">
        <v>1355.5040283000001</v>
      </c>
      <c r="K1448">
        <v>0</v>
      </c>
      <c r="L1448">
        <v>1215</v>
      </c>
      <c r="M1448">
        <v>1215</v>
      </c>
      <c r="N1448">
        <v>0</v>
      </c>
    </row>
    <row r="1449" spans="1:14" x14ac:dyDescent="0.25">
      <c r="A1449">
        <v>918.26967100000002</v>
      </c>
      <c r="B1449" s="1">
        <f>DATE(2012,11,4) + TIME(6,28,19)</f>
        <v>41217.26966435185</v>
      </c>
      <c r="C1449">
        <v>80</v>
      </c>
      <c r="D1449">
        <v>76.593627929999997</v>
      </c>
      <c r="E1449">
        <v>50</v>
      </c>
      <c r="F1449">
        <v>49.942150116000001</v>
      </c>
      <c r="G1449">
        <v>1315.7178954999999</v>
      </c>
      <c r="H1449">
        <v>1309.7507324000001</v>
      </c>
      <c r="I1449">
        <v>1365.7885742000001</v>
      </c>
      <c r="J1449">
        <v>1355.4626464999999</v>
      </c>
      <c r="K1449">
        <v>0</v>
      </c>
      <c r="L1449">
        <v>1215</v>
      </c>
      <c r="M1449">
        <v>1215</v>
      </c>
      <c r="N1449">
        <v>0</v>
      </c>
    </row>
    <row r="1450" spans="1:14" x14ac:dyDescent="0.25">
      <c r="A1450">
        <v>920.070696</v>
      </c>
      <c r="B1450" s="1">
        <f>DATE(2012,11,6) + TIME(1,41,48)</f>
        <v>41219.070694444446</v>
      </c>
      <c r="C1450">
        <v>80</v>
      </c>
      <c r="D1450">
        <v>76.452270507999998</v>
      </c>
      <c r="E1450">
        <v>50</v>
      </c>
      <c r="F1450">
        <v>49.942237853999998</v>
      </c>
      <c r="G1450">
        <v>1315.6721190999999</v>
      </c>
      <c r="H1450">
        <v>1309.6964111</v>
      </c>
      <c r="I1450">
        <v>1365.7427978999999</v>
      </c>
      <c r="J1450">
        <v>1355.4226074000001</v>
      </c>
      <c r="K1450">
        <v>0</v>
      </c>
      <c r="L1450">
        <v>1215</v>
      </c>
      <c r="M1450">
        <v>1215</v>
      </c>
      <c r="N1450">
        <v>0</v>
      </c>
    </row>
    <row r="1451" spans="1:14" x14ac:dyDescent="0.25">
      <c r="A1451">
        <v>921.91492400000004</v>
      </c>
      <c r="B1451" s="1">
        <f>DATE(2012,11,7) + TIME(21,57,29)</f>
        <v>41220.914918981478</v>
      </c>
      <c r="C1451">
        <v>80</v>
      </c>
      <c r="D1451">
        <v>76.310760497999993</v>
      </c>
      <c r="E1451">
        <v>50</v>
      </c>
      <c r="F1451">
        <v>49.942321776999997</v>
      </c>
      <c r="G1451">
        <v>1315.6242675999999</v>
      </c>
      <c r="H1451">
        <v>1309.6394043</v>
      </c>
      <c r="I1451">
        <v>1365.6981201000001</v>
      </c>
      <c r="J1451">
        <v>1355.3836670000001</v>
      </c>
      <c r="K1451">
        <v>0</v>
      </c>
      <c r="L1451">
        <v>1215</v>
      </c>
      <c r="M1451">
        <v>1215</v>
      </c>
      <c r="N1451">
        <v>0</v>
      </c>
    </row>
    <row r="1452" spans="1:14" x14ac:dyDescent="0.25">
      <c r="A1452">
        <v>923.80667700000004</v>
      </c>
      <c r="B1452" s="1">
        <f>DATE(2012,11,9) + TIME(19,21,36)</f>
        <v>41222.806666666664</v>
      </c>
      <c r="C1452">
        <v>80</v>
      </c>
      <c r="D1452">
        <v>76.168861389</v>
      </c>
      <c r="E1452">
        <v>50</v>
      </c>
      <c r="F1452">
        <v>49.942401885999999</v>
      </c>
      <c r="G1452">
        <v>1315.5740966999999</v>
      </c>
      <c r="H1452">
        <v>1309.5791016000001</v>
      </c>
      <c r="I1452">
        <v>1365.6545410000001</v>
      </c>
      <c r="J1452">
        <v>1355.3457031</v>
      </c>
      <c r="K1452">
        <v>0</v>
      </c>
      <c r="L1452">
        <v>1215</v>
      </c>
      <c r="M1452">
        <v>1215</v>
      </c>
      <c r="N1452">
        <v>0</v>
      </c>
    </row>
    <row r="1453" spans="1:14" x14ac:dyDescent="0.25">
      <c r="A1453">
        <v>925.75048000000004</v>
      </c>
      <c r="B1453" s="1">
        <f>DATE(2012,11,11) + TIME(18,0,41)</f>
        <v>41224.750474537039</v>
      </c>
      <c r="C1453">
        <v>80</v>
      </c>
      <c r="D1453">
        <v>76.026313782000003</v>
      </c>
      <c r="E1453">
        <v>50</v>
      </c>
      <c r="F1453">
        <v>49.942478180000002</v>
      </c>
      <c r="G1453">
        <v>1315.5212402</v>
      </c>
      <c r="H1453">
        <v>1309.5155029</v>
      </c>
      <c r="I1453">
        <v>1365.6116943</v>
      </c>
      <c r="J1453">
        <v>1355.3085937999999</v>
      </c>
      <c r="K1453">
        <v>0</v>
      </c>
      <c r="L1453">
        <v>1215</v>
      </c>
      <c r="M1453">
        <v>1215</v>
      </c>
      <c r="N1453">
        <v>0</v>
      </c>
    </row>
    <row r="1454" spans="1:14" x14ac:dyDescent="0.25">
      <c r="A1454">
        <v>927.73758399999997</v>
      </c>
      <c r="B1454" s="1">
        <f>DATE(2012,11,13) + TIME(17,42,7)</f>
        <v>41226.737581018519</v>
      </c>
      <c r="C1454">
        <v>80</v>
      </c>
      <c r="D1454">
        <v>75.883308411000002</v>
      </c>
      <c r="E1454">
        <v>50</v>
      </c>
      <c r="F1454">
        <v>49.942554473999998</v>
      </c>
      <c r="G1454">
        <v>1315.4655762</v>
      </c>
      <c r="H1454">
        <v>1309.4479980000001</v>
      </c>
      <c r="I1454">
        <v>1365.5695800999999</v>
      </c>
      <c r="J1454">
        <v>1355.2720947</v>
      </c>
      <c r="K1454">
        <v>0</v>
      </c>
      <c r="L1454">
        <v>1215</v>
      </c>
      <c r="M1454">
        <v>1215</v>
      </c>
      <c r="N1454">
        <v>0</v>
      </c>
    </row>
    <row r="1455" spans="1:14" x14ac:dyDescent="0.25">
      <c r="A1455">
        <v>929.75667299999998</v>
      </c>
      <c r="B1455" s="1">
        <f>DATE(2012,11,15) + TIME(18,9,36)</f>
        <v>41228.756666666668</v>
      </c>
      <c r="C1455">
        <v>80</v>
      </c>
      <c r="D1455">
        <v>75.740325928000004</v>
      </c>
      <c r="E1455">
        <v>50</v>
      </c>
      <c r="F1455">
        <v>49.942630768000001</v>
      </c>
      <c r="G1455">
        <v>1315.4072266000001</v>
      </c>
      <c r="H1455">
        <v>1309.3768310999999</v>
      </c>
      <c r="I1455">
        <v>1365.5283202999999</v>
      </c>
      <c r="J1455">
        <v>1355.2364502</v>
      </c>
      <c r="K1455">
        <v>0</v>
      </c>
      <c r="L1455">
        <v>1215</v>
      </c>
      <c r="M1455">
        <v>1215</v>
      </c>
      <c r="N1455">
        <v>0</v>
      </c>
    </row>
    <row r="1456" spans="1:14" x14ac:dyDescent="0.25">
      <c r="A1456">
        <v>931.81282599999997</v>
      </c>
      <c r="B1456" s="1">
        <f>DATE(2012,11,17) + TIME(19,30,28)</f>
        <v>41230.812824074077</v>
      </c>
      <c r="C1456">
        <v>80</v>
      </c>
      <c r="D1456">
        <v>75.597465514999996</v>
      </c>
      <c r="E1456">
        <v>50</v>
      </c>
      <c r="F1456">
        <v>49.942707061999997</v>
      </c>
      <c r="G1456">
        <v>1315.3461914</v>
      </c>
      <c r="H1456">
        <v>1309.302124</v>
      </c>
      <c r="I1456">
        <v>1365.4881591999999</v>
      </c>
      <c r="J1456">
        <v>1355.2017822</v>
      </c>
      <c r="K1456">
        <v>0</v>
      </c>
      <c r="L1456">
        <v>1215</v>
      </c>
      <c r="M1456">
        <v>1215</v>
      </c>
      <c r="N1456">
        <v>0</v>
      </c>
    </row>
    <row r="1457" spans="1:14" x14ac:dyDescent="0.25">
      <c r="A1457">
        <v>933.91103499999997</v>
      </c>
      <c r="B1457" s="1">
        <f>DATE(2012,11,19) + TIME(21,51,53)</f>
        <v>41232.911030092589</v>
      </c>
      <c r="C1457">
        <v>80</v>
      </c>
      <c r="D1457">
        <v>75.454559325999995</v>
      </c>
      <c r="E1457">
        <v>50</v>
      </c>
      <c r="F1457">
        <v>49.942787170000003</v>
      </c>
      <c r="G1457">
        <v>1315.2824707</v>
      </c>
      <c r="H1457">
        <v>1309.2235106999999</v>
      </c>
      <c r="I1457">
        <v>1365.4487305</v>
      </c>
      <c r="J1457">
        <v>1355.1679687999999</v>
      </c>
      <c r="K1457">
        <v>0</v>
      </c>
      <c r="L1457">
        <v>1215</v>
      </c>
      <c r="M1457">
        <v>1215</v>
      </c>
      <c r="N1457">
        <v>0</v>
      </c>
    </row>
    <row r="1458" spans="1:14" x14ac:dyDescent="0.25">
      <c r="A1458">
        <v>936.05644600000005</v>
      </c>
      <c r="B1458" s="1">
        <f>DATE(2012,11,22) + TIME(1,21,16)</f>
        <v>41235.056435185186</v>
      </c>
      <c r="C1458">
        <v>80</v>
      </c>
      <c r="D1458">
        <v>75.311355590999995</v>
      </c>
      <c r="E1458">
        <v>50</v>
      </c>
      <c r="F1458">
        <v>49.942863463999998</v>
      </c>
      <c r="G1458">
        <v>1315.2156981999999</v>
      </c>
      <c r="H1458">
        <v>1309.140625</v>
      </c>
      <c r="I1458">
        <v>1365.4101562000001</v>
      </c>
      <c r="J1458">
        <v>1355.1348877</v>
      </c>
      <c r="K1458">
        <v>0</v>
      </c>
      <c r="L1458">
        <v>1215</v>
      </c>
      <c r="M1458">
        <v>1215</v>
      </c>
      <c r="N1458">
        <v>0</v>
      </c>
    </row>
    <row r="1459" spans="1:14" x14ac:dyDescent="0.25">
      <c r="A1459">
        <v>938.25429999999994</v>
      </c>
      <c r="B1459" s="1">
        <f>DATE(2012,11,24) + TIME(6,6,11)</f>
        <v>41237.254293981481</v>
      </c>
      <c r="C1459">
        <v>80</v>
      </c>
      <c r="D1459">
        <v>75.167526245000005</v>
      </c>
      <c r="E1459">
        <v>50</v>
      </c>
      <c r="F1459">
        <v>49.942943573000001</v>
      </c>
      <c r="G1459">
        <v>1315.1456298999999</v>
      </c>
      <c r="H1459">
        <v>1309.0533447</v>
      </c>
      <c r="I1459">
        <v>1365.3723144999999</v>
      </c>
      <c r="J1459">
        <v>1355.1022949000001</v>
      </c>
      <c r="K1459">
        <v>0</v>
      </c>
      <c r="L1459">
        <v>1215</v>
      </c>
      <c r="M1459">
        <v>1215</v>
      </c>
      <c r="N1459">
        <v>0</v>
      </c>
    </row>
    <row r="1460" spans="1:14" x14ac:dyDescent="0.25">
      <c r="A1460">
        <v>940.48925799999995</v>
      </c>
      <c r="B1460" s="1">
        <f>DATE(2012,11,26) + TIME(11,44,31)</f>
        <v>41239.489247685182</v>
      </c>
      <c r="C1460">
        <v>80</v>
      </c>
      <c r="D1460">
        <v>75.023376464999998</v>
      </c>
      <c r="E1460">
        <v>50</v>
      </c>
      <c r="F1460">
        <v>49.943027495999999</v>
      </c>
      <c r="G1460">
        <v>1315.0720214999999</v>
      </c>
      <c r="H1460">
        <v>1308.9610596</v>
      </c>
      <c r="I1460">
        <v>1365.3348389</v>
      </c>
      <c r="J1460">
        <v>1355.0703125</v>
      </c>
      <c r="K1460">
        <v>0</v>
      </c>
      <c r="L1460">
        <v>1215</v>
      </c>
      <c r="M1460">
        <v>1215</v>
      </c>
      <c r="N1460">
        <v>0</v>
      </c>
    </row>
    <row r="1461" spans="1:14" x14ac:dyDescent="0.25">
      <c r="A1461">
        <v>941</v>
      </c>
      <c r="B1461" s="1">
        <f>DATE(2012,11,27) + TIME(0,0,0)</f>
        <v>41240</v>
      </c>
      <c r="C1461">
        <v>80</v>
      </c>
      <c r="D1461">
        <v>74.966087341000005</v>
      </c>
      <c r="E1461">
        <v>50</v>
      </c>
      <c r="F1461">
        <v>49.943038940000001</v>
      </c>
      <c r="G1461">
        <v>1314.9981689000001</v>
      </c>
      <c r="H1461">
        <v>1308.8748779</v>
      </c>
      <c r="I1461">
        <v>1365.2976074000001</v>
      </c>
      <c r="J1461">
        <v>1355.0384521000001</v>
      </c>
      <c r="K1461">
        <v>0</v>
      </c>
      <c r="L1461">
        <v>1215</v>
      </c>
      <c r="M1461">
        <v>1215</v>
      </c>
      <c r="N1461">
        <v>0</v>
      </c>
    </row>
    <row r="1462" spans="1:14" x14ac:dyDescent="0.25">
      <c r="A1462">
        <v>941.000001</v>
      </c>
      <c r="B1462" s="1">
        <f>DATE(2012,11,27) + TIME(0,0,0)</f>
        <v>41240</v>
      </c>
      <c r="C1462">
        <v>80</v>
      </c>
      <c r="D1462">
        <v>74.966064453000001</v>
      </c>
      <c r="E1462">
        <v>50</v>
      </c>
      <c r="F1462">
        <v>49.943054199000002</v>
      </c>
      <c r="G1462">
        <v>1314.880249</v>
      </c>
      <c r="H1462">
        <v>1305.1243896000001</v>
      </c>
      <c r="I1462">
        <v>1370.6904297000001</v>
      </c>
      <c r="J1462">
        <v>1355.1586914</v>
      </c>
      <c r="K1462">
        <v>0</v>
      </c>
      <c r="L1462">
        <v>1875</v>
      </c>
      <c r="M1462">
        <v>1875</v>
      </c>
      <c r="N1462">
        <v>0</v>
      </c>
    </row>
    <row r="1463" spans="1:14" x14ac:dyDescent="0.25">
      <c r="A1463">
        <v>941.00000399999999</v>
      </c>
      <c r="B1463" s="1">
        <f>DATE(2012,11,27) + TIME(0,0,0)</f>
        <v>41240</v>
      </c>
      <c r="C1463">
        <v>80</v>
      </c>
      <c r="D1463">
        <v>74.966026306000003</v>
      </c>
      <c r="E1463">
        <v>50</v>
      </c>
      <c r="F1463">
        <v>49.943092346</v>
      </c>
      <c r="G1463">
        <v>1314.5788574000001</v>
      </c>
      <c r="H1463">
        <v>1304.8182373</v>
      </c>
      <c r="I1463">
        <v>1371.0112305</v>
      </c>
      <c r="J1463">
        <v>1355.4792480000001</v>
      </c>
      <c r="K1463">
        <v>0</v>
      </c>
      <c r="L1463">
        <v>1875</v>
      </c>
      <c r="M1463">
        <v>1875</v>
      </c>
      <c r="N1463">
        <v>0</v>
      </c>
    </row>
    <row r="1464" spans="1:14" x14ac:dyDescent="0.25">
      <c r="A1464">
        <v>941.00001299999997</v>
      </c>
      <c r="B1464" s="1">
        <f>DATE(2012,11,27) + TIME(0,0,1)</f>
        <v>41240.000011574077</v>
      </c>
      <c r="C1464">
        <v>80</v>
      </c>
      <c r="D1464">
        <v>74.965934752999999</v>
      </c>
      <c r="E1464">
        <v>50</v>
      </c>
      <c r="F1464">
        <v>49.943183898999997</v>
      </c>
      <c r="G1464">
        <v>1313.958374</v>
      </c>
      <c r="H1464">
        <v>1304.1931152</v>
      </c>
      <c r="I1464">
        <v>1371.7307129000001</v>
      </c>
      <c r="J1464">
        <v>1356.1986084</v>
      </c>
      <c r="K1464">
        <v>0</v>
      </c>
      <c r="L1464">
        <v>1875</v>
      </c>
      <c r="M1464">
        <v>1875</v>
      </c>
      <c r="N1464">
        <v>0</v>
      </c>
    </row>
    <row r="1465" spans="1:14" x14ac:dyDescent="0.25">
      <c r="A1465">
        <v>941.00004000000001</v>
      </c>
      <c r="B1465" s="1">
        <f>DATE(2012,11,27) + TIME(0,0,3)</f>
        <v>41240.000034722223</v>
      </c>
      <c r="C1465">
        <v>80</v>
      </c>
      <c r="D1465">
        <v>74.965805054</v>
      </c>
      <c r="E1465">
        <v>50</v>
      </c>
      <c r="F1465">
        <v>49.943336487000003</v>
      </c>
      <c r="G1465">
        <v>1313.0323486</v>
      </c>
      <c r="H1465">
        <v>1303.2667236</v>
      </c>
      <c r="I1465">
        <v>1372.9328613</v>
      </c>
      <c r="J1465">
        <v>1357.4007568</v>
      </c>
      <c r="K1465">
        <v>0</v>
      </c>
      <c r="L1465">
        <v>1875</v>
      </c>
      <c r="M1465">
        <v>1875</v>
      </c>
      <c r="N1465">
        <v>0</v>
      </c>
    </row>
    <row r="1466" spans="1:14" x14ac:dyDescent="0.25">
      <c r="A1466">
        <v>941.00012100000004</v>
      </c>
      <c r="B1466" s="1">
        <f>DATE(2012,11,27) + TIME(0,0,10)</f>
        <v>41240.000115740739</v>
      </c>
      <c r="C1466">
        <v>80</v>
      </c>
      <c r="D1466">
        <v>74.965644835999996</v>
      </c>
      <c r="E1466">
        <v>50</v>
      </c>
      <c r="F1466">
        <v>49.943523407000001</v>
      </c>
      <c r="G1466">
        <v>1311.9870605000001</v>
      </c>
      <c r="H1466">
        <v>1302.2220459</v>
      </c>
      <c r="I1466">
        <v>1374.4002685999999</v>
      </c>
      <c r="J1466">
        <v>1358.8688964999999</v>
      </c>
      <c r="K1466">
        <v>0</v>
      </c>
      <c r="L1466">
        <v>1875</v>
      </c>
      <c r="M1466">
        <v>1875</v>
      </c>
      <c r="N1466">
        <v>0</v>
      </c>
    </row>
    <row r="1467" spans="1:14" x14ac:dyDescent="0.25">
      <c r="A1467">
        <v>941.00036399999999</v>
      </c>
      <c r="B1467" s="1">
        <f>DATE(2012,11,27) + TIME(0,0,31)</f>
        <v>41240.000358796293</v>
      </c>
      <c r="C1467">
        <v>80</v>
      </c>
      <c r="D1467">
        <v>74.965454101999995</v>
      </c>
      <c r="E1467">
        <v>50</v>
      </c>
      <c r="F1467">
        <v>49.943717956999997</v>
      </c>
      <c r="G1467">
        <v>1310.9207764</v>
      </c>
      <c r="H1467">
        <v>1301.1505127</v>
      </c>
      <c r="I1467">
        <v>1375.9212646000001</v>
      </c>
      <c r="J1467">
        <v>1360.3901367000001</v>
      </c>
      <c r="K1467">
        <v>0</v>
      </c>
      <c r="L1467">
        <v>1875</v>
      </c>
      <c r="M1467">
        <v>1875</v>
      </c>
      <c r="N1467">
        <v>0</v>
      </c>
    </row>
    <row r="1468" spans="1:14" x14ac:dyDescent="0.25">
      <c r="A1468">
        <v>941.00109299999997</v>
      </c>
      <c r="B1468" s="1">
        <f>DATE(2012,11,27) + TIME(0,1,34)</f>
        <v>41240.001087962963</v>
      </c>
      <c r="C1468">
        <v>80</v>
      </c>
      <c r="D1468">
        <v>74.965164185000006</v>
      </c>
      <c r="E1468">
        <v>50</v>
      </c>
      <c r="F1468">
        <v>49.943931579999997</v>
      </c>
      <c r="G1468">
        <v>1309.7977295000001</v>
      </c>
      <c r="H1468">
        <v>1300.0069579999999</v>
      </c>
      <c r="I1468">
        <v>1377.5061035000001</v>
      </c>
      <c r="J1468">
        <v>1361.9694824000001</v>
      </c>
      <c r="K1468">
        <v>0</v>
      </c>
      <c r="L1468">
        <v>1875</v>
      </c>
      <c r="M1468">
        <v>1875</v>
      </c>
      <c r="N1468">
        <v>0</v>
      </c>
    </row>
    <row r="1469" spans="1:14" x14ac:dyDescent="0.25">
      <c r="A1469">
        <v>941.00328000000002</v>
      </c>
      <c r="B1469" s="1">
        <f>DATE(2012,11,27) + TIME(0,4,43)</f>
        <v>41240.003275462965</v>
      </c>
      <c r="C1469">
        <v>80</v>
      </c>
      <c r="D1469">
        <v>74.964576721</v>
      </c>
      <c r="E1469">
        <v>50</v>
      </c>
      <c r="F1469">
        <v>49.944187163999999</v>
      </c>
      <c r="G1469">
        <v>1308.4980469</v>
      </c>
      <c r="H1469">
        <v>1298.6730957</v>
      </c>
      <c r="I1469">
        <v>1379.2593993999999</v>
      </c>
      <c r="J1469">
        <v>1363.7080077999999</v>
      </c>
      <c r="K1469">
        <v>0</v>
      </c>
      <c r="L1469">
        <v>1875</v>
      </c>
      <c r="M1469">
        <v>1875</v>
      </c>
      <c r="N1469">
        <v>0</v>
      </c>
    </row>
    <row r="1470" spans="1:14" x14ac:dyDescent="0.25">
      <c r="A1470">
        <v>941.00984100000005</v>
      </c>
      <c r="B1470" s="1">
        <f>DATE(2012,11,27) + TIME(0,14,10)</f>
        <v>41240.009837962964</v>
      </c>
      <c r="C1470">
        <v>80</v>
      </c>
      <c r="D1470">
        <v>74.963165282999995</v>
      </c>
      <c r="E1470">
        <v>50</v>
      </c>
      <c r="F1470">
        <v>49.944534302000001</v>
      </c>
      <c r="G1470">
        <v>1306.9984131000001</v>
      </c>
      <c r="H1470">
        <v>1297.1428223</v>
      </c>
      <c r="I1470">
        <v>1381.1251221</v>
      </c>
      <c r="J1470">
        <v>1365.5541992000001</v>
      </c>
      <c r="K1470">
        <v>0</v>
      </c>
      <c r="L1470">
        <v>1875</v>
      </c>
      <c r="M1470">
        <v>1875</v>
      </c>
      <c r="N1470">
        <v>0</v>
      </c>
    </row>
    <row r="1471" spans="1:14" x14ac:dyDescent="0.25">
      <c r="A1471">
        <v>941.02952400000004</v>
      </c>
      <c r="B1471" s="1">
        <f>DATE(2012,11,27) + TIME(0,42,30)</f>
        <v>41240.029513888891</v>
      </c>
      <c r="C1471">
        <v>80</v>
      </c>
      <c r="D1471">
        <v>74.959411621000001</v>
      </c>
      <c r="E1471">
        <v>50</v>
      </c>
      <c r="F1471">
        <v>49.945060730000002</v>
      </c>
      <c r="G1471">
        <v>1305.6427002</v>
      </c>
      <c r="H1471">
        <v>1295.7701416</v>
      </c>
      <c r="I1471">
        <v>1382.6505127</v>
      </c>
      <c r="J1471">
        <v>1367.0653076000001</v>
      </c>
      <c r="K1471">
        <v>0</v>
      </c>
      <c r="L1471">
        <v>1875</v>
      </c>
      <c r="M1471">
        <v>1875</v>
      </c>
      <c r="N1471">
        <v>0</v>
      </c>
    </row>
    <row r="1472" spans="1:14" x14ac:dyDescent="0.25">
      <c r="A1472">
        <v>941.088573</v>
      </c>
      <c r="B1472" s="1">
        <f>DATE(2012,11,27) + TIME(2,7,32)</f>
        <v>41240.088564814818</v>
      </c>
      <c r="C1472">
        <v>80</v>
      </c>
      <c r="D1472">
        <v>74.949020386000001</v>
      </c>
      <c r="E1472">
        <v>50</v>
      </c>
      <c r="F1472">
        <v>49.946090697999999</v>
      </c>
      <c r="G1472">
        <v>1304.8758545000001</v>
      </c>
      <c r="H1472">
        <v>1294.9957274999999</v>
      </c>
      <c r="I1472">
        <v>1383.3548584</v>
      </c>
      <c r="J1472">
        <v>1367.7637939000001</v>
      </c>
      <c r="K1472">
        <v>0</v>
      </c>
      <c r="L1472">
        <v>1875</v>
      </c>
      <c r="M1472">
        <v>1875</v>
      </c>
      <c r="N1472">
        <v>0</v>
      </c>
    </row>
    <row r="1473" spans="1:14" x14ac:dyDescent="0.25">
      <c r="A1473">
        <v>941.26571999999999</v>
      </c>
      <c r="B1473" s="1">
        <f>DATE(2012,11,27) + TIME(6,22,38)</f>
        <v>41240.265717592592</v>
      </c>
      <c r="C1473">
        <v>80</v>
      </c>
      <c r="D1473">
        <v>74.921707153</v>
      </c>
      <c r="E1473">
        <v>50</v>
      </c>
      <c r="F1473">
        <v>49.948516845999997</v>
      </c>
      <c r="G1473">
        <v>1304.6499022999999</v>
      </c>
      <c r="H1473">
        <v>1294.7639160000001</v>
      </c>
      <c r="I1473">
        <v>1383.473999</v>
      </c>
      <c r="J1473">
        <v>1367.8823242000001</v>
      </c>
      <c r="K1473">
        <v>0</v>
      </c>
      <c r="L1473">
        <v>1875</v>
      </c>
      <c r="M1473">
        <v>1875</v>
      </c>
      <c r="N1473">
        <v>0</v>
      </c>
    </row>
    <row r="1474" spans="1:14" x14ac:dyDescent="0.25">
      <c r="A1474">
        <v>941.79716099999996</v>
      </c>
      <c r="B1474" s="1">
        <f>DATE(2012,11,27) + TIME(19,7,54)</f>
        <v>41240.797152777777</v>
      </c>
      <c r="C1474">
        <v>80</v>
      </c>
      <c r="D1474">
        <v>74.861686707000004</v>
      </c>
      <c r="E1474">
        <v>50</v>
      </c>
      <c r="F1474">
        <v>49.953292847</v>
      </c>
      <c r="G1474">
        <v>1304.6052245999999</v>
      </c>
      <c r="H1474">
        <v>1294.7082519999999</v>
      </c>
      <c r="I1474">
        <v>1383.4693603999999</v>
      </c>
      <c r="J1474">
        <v>1367.8785399999999</v>
      </c>
      <c r="K1474">
        <v>0</v>
      </c>
      <c r="L1474">
        <v>1875</v>
      </c>
      <c r="M1474">
        <v>1875</v>
      </c>
      <c r="N1474">
        <v>0</v>
      </c>
    </row>
    <row r="1475" spans="1:14" x14ac:dyDescent="0.25">
      <c r="A1475">
        <v>943.39148399999999</v>
      </c>
      <c r="B1475" s="1">
        <f>DATE(2012,11,29) + TIME(9,23,44)</f>
        <v>41242.391481481478</v>
      </c>
      <c r="C1475">
        <v>80</v>
      </c>
      <c r="D1475">
        <v>74.762405396000005</v>
      </c>
      <c r="E1475">
        <v>50</v>
      </c>
      <c r="F1475">
        <v>49.958965302000003</v>
      </c>
      <c r="G1475">
        <v>1304.5611572</v>
      </c>
      <c r="H1475">
        <v>1294.6441649999999</v>
      </c>
      <c r="I1475">
        <v>1383.4488524999999</v>
      </c>
      <c r="J1475">
        <v>1367.8605957</v>
      </c>
      <c r="K1475">
        <v>0</v>
      </c>
      <c r="L1475">
        <v>1875</v>
      </c>
      <c r="M1475">
        <v>1875</v>
      </c>
      <c r="N1475">
        <v>0</v>
      </c>
    </row>
    <row r="1476" spans="1:14" x14ac:dyDescent="0.25">
      <c r="A1476">
        <v>945.07239500000003</v>
      </c>
      <c r="B1476" s="1">
        <f>DATE(2012,12,1) + TIME(1,44,14)</f>
        <v>41244.072384259256</v>
      </c>
      <c r="C1476">
        <v>80</v>
      </c>
      <c r="D1476">
        <v>74.643623352000006</v>
      </c>
      <c r="E1476">
        <v>50</v>
      </c>
      <c r="F1476">
        <v>49.961273192999997</v>
      </c>
      <c r="G1476">
        <v>1304.4471435999999</v>
      </c>
      <c r="H1476">
        <v>1294.4995117000001</v>
      </c>
      <c r="I1476">
        <v>1383.3883057</v>
      </c>
      <c r="J1476">
        <v>1367.8063964999999</v>
      </c>
      <c r="K1476">
        <v>0</v>
      </c>
      <c r="L1476">
        <v>1875</v>
      </c>
      <c r="M1476">
        <v>1875</v>
      </c>
      <c r="N1476">
        <v>0</v>
      </c>
    </row>
    <row r="1477" spans="1:14" x14ac:dyDescent="0.25">
      <c r="A1477">
        <v>946.77583900000002</v>
      </c>
      <c r="B1477" s="1">
        <f>DATE(2012,12,2) + TIME(18,37,12)</f>
        <v>41245.775833333333</v>
      </c>
      <c r="C1477">
        <v>80</v>
      </c>
      <c r="D1477">
        <v>74.514900208</v>
      </c>
      <c r="E1477">
        <v>50</v>
      </c>
      <c r="F1477">
        <v>49.962188720999997</v>
      </c>
      <c r="G1477">
        <v>1304.3215332</v>
      </c>
      <c r="H1477">
        <v>1294.3383789</v>
      </c>
      <c r="I1477">
        <v>1383.3270264</v>
      </c>
      <c r="J1477">
        <v>1367.7515868999999</v>
      </c>
      <c r="K1477">
        <v>0</v>
      </c>
      <c r="L1477">
        <v>1875</v>
      </c>
      <c r="M1477">
        <v>1875</v>
      </c>
      <c r="N1477">
        <v>0</v>
      </c>
    </row>
    <row r="1478" spans="1:14" x14ac:dyDescent="0.25">
      <c r="A1478">
        <v>948.49866899999995</v>
      </c>
      <c r="B1478" s="1">
        <f>DATE(2012,12,4) + TIME(11,58,4)</f>
        <v>41247.498657407406</v>
      </c>
      <c r="C1478">
        <v>80</v>
      </c>
      <c r="D1478">
        <v>74.381645203000005</v>
      </c>
      <c r="E1478">
        <v>50</v>
      </c>
      <c r="F1478">
        <v>49.962562560999999</v>
      </c>
      <c r="G1478">
        <v>1304.1896973</v>
      </c>
      <c r="H1478">
        <v>1294.1674805</v>
      </c>
      <c r="I1478">
        <v>1383.2673339999999</v>
      </c>
      <c r="J1478">
        <v>1367.6983643000001</v>
      </c>
      <c r="K1478">
        <v>0</v>
      </c>
      <c r="L1478">
        <v>1875</v>
      </c>
      <c r="M1478">
        <v>1875</v>
      </c>
      <c r="N1478">
        <v>0</v>
      </c>
    </row>
    <row r="1479" spans="1:14" x14ac:dyDescent="0.25">
      <c r="A1479">
        <v>950.24333200000001</v>
      </c>
      <c r="B1479" s="1">
        <f>DATE(2012,12,6) + TIME(5,50,23)</f>
        <v>41249.243321759262</v>
      </c>
      <c r="C1479">
        <v>80</v>
      </c>
      <c r="D1479">
        <v>74.245925903</v>
      </c>
      <c r="E1479">
        <v>50</v>
      </c>
      <c r="F1479">
        <v>49.962734222000002</v>
      </c>
      <c r="G1479">
        <v>1304.0523682</v>
      </c>
      <c r="H1479">
        <v>1293.9884033000001</v>
      </c>
      <c r="I1479">
        <v>1383.2092285000001</v>
      </c>
      <c r="J1479">
        <v>1367.6468506000001</v>
      </c>
      <c r="K1479">
        <v>0</v>
      </c>
      <c r="L1479">
        <v>1875</v>
      </c>
      <c r="M1479">
        <v>1875</v>
      </c>
      <c r="N1479">
        <v>0</v>
      </c>
    </row>
    <row r="1480" spans="1:14" x14ac:dyDescent="0.25">
      <c r="A1480">
        <v>952.01199899999995</v>
      </c>
      <c r="B1480" s="1">
        <f>DATE(2012,12,8) + TIME(0,17,16)</f>
        <v>41251.011990740742</v>
      </c>
      <c r="C1480">
        <v>80</v>
      </c>
      <c r="D1480">
        <v>74.108337402000004</v>
      </c>
      <c r="E1480">
        <v>50</v>
      </c>
      <c r="F1480">
        <v>49.962821959999999</v>
      </c>
      <c r="G1480">
        <v>1303.9097899999999</v>
      </c>
      <c r="H1480">
        <v>1293.8012695</v>
      </c>
      <c r="I1480">
        <v>1383.1524658000001</v>
      </c>
      <c r="J1480">
        <v>1367.5965576000001</v>
      </c>
      <c r="K1480">
        <v>0</v>
      </c>
      <c r="L1480">
        <v>1875</v>
      </c>
      <c r="M1480">
        <v>1875</v>
      </c>
      <c r="N1480">
        <v>0</v>
      </c>
    </row>
    <row r="1481" spans="1:14" x14ac:dyDescent="0.25">
      <c r="A1481">
        <v>953.80815500000006</v>
      </c>
      <c r="B1481" s="1">
        <f>DATE(2012,12,9) + TIME(19,23,44)</f>
        <v>41252.808148148149</v>
      </c>
      <c r="C1481">
        <v>80</v>
      </c>
      <c r="D1481">
        <v>73.968826293999996</v>
      </c>
      <c r="E1481">
        <v>50</v>
      </c>
      <c r="F1481">
        <v>49.962882995999998</v>
      </c>
      <c r="G1481">
        <v>1303.7614745999999</v>
      </c>
      <c r="H1481">
        <v>1293.6060791</v>
      </c>
      <c r="I1481">
        <v>1383.0970459</v>
      </c>
      <c r="J1481">
        <v>1367.5473632999999</v>
      </c>
      <c r="K1481">
        <v>0</v>
      </c>
      <c r="L1481">
        <v>1875</v>
      </c>
      <c r="M1481">
        <v>1875</v>
      </c>
      <c r="N1481">
        <v>0</v>
      </c>
    </row>
    <row r="1482" spans="1:14" x14ac:dyDescent="0.25">
      <c r="A1482">
        <v>955.62920599999995</v>
      </c>
      <c r="B1482" s="1">
        <f>DATE(2012,12,11) + TIME(15,6,3)</f>
        <v>41254.629201388889</v>
      </c>
      <c r="C1482">
        <v>80</v>
      </c>
      <c r="D1482">
        <v>73.827247619999994</v>
      </c>
      <c r="E1482">
        <v>50</v>
      </c>
      <c r="F1482">
        <v>49.962932586999997</v>
      </c>
      <c r="G1482">
        <v>1303.6072998</v>
      </c>
      <c r="H1482">
        <v>1293.4022216999999</v>
      </c>
      <c r="I1482">
        <v>1383.0426024999999</v>
      </c>
      <c r="J1482">
        <v>1367.4992675999999</v>
      </c>
      <c r="K1482">
        <v>0</v>
      </c>
      <c r="L1482">
        <v>1875</v>
      </c>
      <c r="M1482">
        <v>1875</v>
      </c>
      <c r="N1482">
        <v>0</v>
      </c>
    </row>
    <row r="1483" spans="1:14" x14ac:dyDescent="0.25">
      <c r="A1483">
        <v>957.47461499999997</v>
      </c>
      <c r="B1483" s="1">
        <f>DATE(2012,12,13) + TIME(11,23,26)</f>
        <v>41256.474606481483</v>
      </c>
      <c r="C1483">
        <v>80</v>
      </c>
      <c r="D1483">
        <v>73.683425903</v>
      </c>
      <c r="E1483">
        <v>50</v>
      </c>
      <c r="F1483">
        <v>49.962978362999998</v>
      </c>
      <c r="G1483">
        <v>1303.4473877</v>
      </c>
      <c r="H1483">
        <v>1293.1898193</v>
      </c>
      <c r="I1483">
        <v>1382.9892577999999</v>
      </c>
      <c r="J1483">
        <v>1367.4521483999999</v>
      </c>
      <c r="K1483">
        <v>0</v>
      </c>
      <c r="L1483">
        <v>1875</v>
      </c>
      <c r="M1483">
        <v>1875</v>
      </c>
      <c r="N1483">
        <v>0</v>
      </c>
    </row>
    <row r="1484" spans="1:14" x14ac:dyDescent="0.25">
      <c r="A1484">
        <v>959.34499000000005</v>
      </c>
      <c r="B1484" s="1">
        <f>DATE(2012,12,15) + TIME(8,16,47)</f>
        <v>41258.344988425924</v>
      </c>
      <c r="C1484">
        <v>80</v>
      </c>
      <c r="D1484">
        <v>73.537101746000005</v>
      </c>
      <c r="E1484">
        <v>50</v>
      </c>
      <c r="F1484">
        <v>49.963024138999998</v>
      </c>
      <c r="G1484">
        <v>1303.2814940999999</v>
      </c>
      <c r="H1484">
        <v>1292.96875</v>
      </c>
      <c r="I1484">
        <v>1382.9368896000001</v>
      </c>
      <c r="J1484">
        <v>1367.4058838000001</v>
      </c>
      <c r="K1484">
        <v>0</v>
      </c>
      <c r="L1484">
        <v>1875</v>
      </c>
      <c r="M1484">
        <v>1875</v>
      </c>
      <c r="N1484">
        <v>0</v>
      </c>
    </row>
    <row r="1485" spans="1:14" x14ac:dyDescent="0.25">
      <c r="A1485">
        <v>961.23669800000005</v>
      </c>
      <c r="B1485" s="1">
        <f>DATE(2012,12,17) + TIME(5,40,50)</f>
        <v>41260.236689814818</v>
      </c>
      <c r="C1485">
        <v>80</v>
      </c>
      <c r="D1485">
        <v>73.388069153000004</v>
      </c>
      <c r="E1485">
        <v>50</v>
      </c>
      <c r="F1485">
        <v>49.963069916000002</v>
      </c>
      <c r="G1485">
        <v>1303.1097411999999</v>
      </c>
      <c r="H1485">
        <v>1292.7388916</v>
      </c>
      <c r="I1485">
        <v>1382.8856201000001</v>
      </c>
      <c r="J1485">
        <v>1367.3605957</v>
      </c>
      <c r="K1485">
        <v>0</v>
      </c>
      <c r="L1485">
        <v>1875</v>
      </c>
      <c r="M1485">
        <v>1875</v>
      </c>
      <c r="N1485">
        <v>0</v>
      </c>
    </row>
    <row r="1486" spans="1:14" x14ac:dyDescent="0.25">
      <c r="A1486">
        <v>963.15352700000005</v>
      </c>
      <c r="B1486" s="1">
        <f>DATE(2012,12,19) + TIME(3,41,4)</f>
        <v>41262.15351851852</v>
      </c>
      <c r="C1486">
        <v>80</v>
      </c>
      <c r="D1486">
        <v>73.236007689999994</v>
      </c>
      <c r="E1486">
        <v>50</v>
      </c>
      <c r="F1486">
        <v>49.963115692000002</v>
      </c>
      <c r="G1486">
        <v>1302.9321289</v>
      </c>
      <c r="H1486">
        <v>1292.5003661999999</v>
      </c>
      <c r="I1486">
        <v>1382.8352050999999</v>
      </c>
      <c r="J1486">
        <v>1367.3162841999999</v>
      </c>
      <c r="K1486">
        <v>0</v>
      </c>
      <c r="L1486">
        <v>1875</v>
      </c>
      <c r="M1486">
        <v>1875</v>
      </c>
      <c r="N1486">
        <v>0</v>
      </c>
    </row>
    <row r="1487" spans="1:14" x14ac:dyDescent="0.25">
      <c r="A1487">
        <v>965.09917199999995</v>
      </c>
      <c r="B1487" s="1">
        <f>DATE(2012,12,21) + TIME(2,22,48)</f>
        <v>41264.099166666667</v>
      </c>
      <c r="C1487">
        <v>80</v>
      </c>
      <c r="D1487">
        <v>73.080360412999994</v>
      </c>
      <c r="E1487">
        <v>50</v>
      </c>
      <c r="F1487">
        <v>49.963161468999999</v>
      </c>
      <c r="G1487">
        <v>1302.7484131000001</v>
      </c>
      <c r="H1487">
        <v>1292.2526855000001</v>
      </c>
      <c r="I1487">
        <v>1382.7857666</v>
      </c>
      <c r="J1487">
        <v>1367.2727050999999</v>
      </c>
      <c r="K1487">
        <v>0</v>
      </c>
      <c r="L1487">
        <v>1875</v>
      </c>
      <c r="M1487">
        <v>1875</v>
      </c>
      <c r="N1487">
        <v>0</v>
      </c>
    </row>
    <row r="1488" spans="1:14" x14ac:dyDescent="0.25">
      <c r="A1488">
        <v>967.06872499999997</v>
      </c>
      <c r="B1488" s="1">
        <f>DATE(2012,12,23) + TIME(1,38,57)</f>
        <v>41266.068715277775</v>
      </c>
      <c r="C1488">
        <v>80</v>
      </c>
      <c r="D1488">
        <v>72.920722960999996</v>
      </c>
      <c r="E1488">
        <v>50</v>
      </c>
      <c r="F1488">
        <v>49.963207245</v>
      </c>
      <c r="G1488">
        <v>1302.5582274999999</v>
      </c>
      <c r="H1488">
        <v>1291.9954834</v>
      </c>
      <c r="I1488">
        <v>1382.7369385</v>
      </c>
      <c r="J1488">
        <v>1367.2297363</v>
      </c>
      <c r="K1488">
        <v>0</v>
      </c>
      <c r="L1488">
        <v>1875</v>
      </c>
      <c r="M1488">
        <v>1875</v>
      </c>
      <c r="N1488">
        <v>0</v>
      </c>
    </row>
    <row r="1489" spans="1:14" x14ac:dyDescent="0.25">
      <c r="A1489">
        <v>969.06490799999995</v>
      </c>
      <c r="B1489" s="1">
        <f>DATE(2012,12,25) + TIME(1,33,28)</f>
        <v>41268.06490740741</v>
      </c>
      <c r="C1489">
        <v>80</v>
      </c>
      <c r="D1489">
        <v>72.756729125999996</v>
      </c>
      <c r="E1489">
        <v>50</v>
      </c>
      <c r="F1489">
        <v>49.963253021</v>
      </c>
      <c r="G1489">
        <v>1302.3618164</v>
      </c>
      <c r="H1489">
        <v>1291.7290039</v>
      </c>
      <c r="I1489">
        <v>1382.6890868999999</v>
      </c>
      <c r="J1489">
        <v>1367.1875</v>
      </c>
      <c r="K1489">
        <v>0</v>
      </c>
      <c r="L1489">
        <v>1875</v>
      </c>
      <c r="M1489">
        <v>1875</v>
      </c>
      <c r="N1489">
        <v>0</v>
      </c>
    </row>
    <row r="1490" spans="1:14" x14ac:dyDescent="0.25">
      <c r="A1490">
        <v>971.09144500000002</v>
      </c>
      <c r="B1490" s="1">
        <f>DATE(2012,12,27) + TIME(2,11,40)</f>
        <v>41270.091435185182</v>
      </c>
      <c r="C1490">
        <v>80</v>
      </c>
      <c r="D1490">
        <v>72.587753296000002</v>
      </c>
      <c r="E1490">
        <v>50</v>
      </c>
      <c r="F1490">
        <v>49.963302612</v>
      </c>
      <c r="G1490">
        <v>1302.1590576000001</v>
      </c>
      <c r="H1490">
        <v>1291.4528809000001</v>
      </c>
      <c r="I1490">
        <v>1382.6418457</v>
      </c>
      <c r="J1490">
        <v>1367.1459961</v>
      </c>
      <c r="K1490">
        <v>0</v>
      </c>
      <c r="L1490">
        <v>1875</v>
      </c>
      <c r="M1490">
        <v>1875</v>
      </c>
      <c r="N1490">
        <v>0</v>
      </c>
    </row>
    <row r="1491" spans="1:14" x14ac:dyDescent="0.25">
      <c r="A1491">
        <v>973.14657799999998</v>
      </c>
      <c r="B1491" s="1">
        <f>DATE(2012,12,29) + TIME(3,31,4)</f>
        <v>41272.146574074075</v>
      </c>
      <c r="C1491">
        <v>80</v>
      </c>
      <c r="D1491">
        <v>72.413230896000002</v>
      </c>
      <c r="E1491">
        <v>50</v>
      </c>
      <c r="F1491">
        <v>49.963352202999999</v>
      </c>
      <c r="G1491">
        <v>1301.9495850000001</v>
      </c>
      <c r="H1491">
        <v>1291.1665039</v>
      </c>
      <c r="I1491">
        <v>1382.5952147999999</v>
      </c>
      <c r="J1491">
        <v>1367.1049805</v>
      </c>
      <c r="K1491">
        <v>0</v>
      </c>
      <c r="L1491">
        <v>1875</v>
      </c>
      <c r="M1491">
        <v>1875</v>
      </c>
      <c r="N1491">
        <v>0</v>
      </c>
    </row>
    <row r="1492" spans="1:14" x14ac:dyDescent="0.25">
      <c r="A1492">
        <v>975.22531300000003</v>
      </c>
      <c r="B1492" s="1">
        <f>DATE(2012,12,31) + TIME(5,24,27)</f>
        <v>41274.225312499999</v>
      </c>
      <c r="C1492">
        <v>80</v>
      </c>
      <c r="D1492">
        <v>72.232803344999994</v>
      </c>
      <c r="E1492">
        <v>50</v>
      </c>
      <c r="F1492">
        <v>49.963401793999999</v>
      </c>
      <c r="G1492">
        <v>1301.7332764</v>
      </c>
      <c r="H1492">
        <v>1290.8699951000001</v>
      </c>
      <c r="I1492">
        <v>1382.5490723</v>
      </c>
      <c r="J1492">
        <v>1367.0644531</v>
      </c>
      <c r="K1492">
        <v>0</v>
      </c>
      <c r="L1492">
        <v>1875</v>
      </c>
      <c r="M1492">
        <v>1875</v>
      </c>
      <c r="N1492">
        <v>0</v>
      </c>
    </row>
    <row r="1493" spans="1:14" x14ac:dyDescent="0.25">
      <c r="A1493">
        <v>977.331639</v>
      </c>
      <c r="B1493" s="1">
        <f>DATE(2013,1,2) + TIME(7,57,33)</f>
        <v>41276.331631944442</v>
      </c>
      <c r="C1493">
        <v>80</v>
      </c>
      <c r="D1493">
        <v>72.046020507999998</v>
      </c>
      <c r="E1493">
        <v>50</v>
      </c>
      <c r="F1493">
        <v>49.963451384999999</v>
      </c>
      <c r="G1493">
        <v>1301.5107422000001</v>
      </c>
      <c r="H1493">
        <v>1290.5638428</v>
      </c>
      <c r="I1493">
        <v>1382.5037841999999</v>
      </c>
      <c r="J1493">
        <v>1367.0245361</v>
      </c>
      <c r="K1493">
        <v>0</v>
      </c>
      <c r="L1493">
        <v>1875</v>
      </c>
      <c r="M1493">
        <v>1875</v>
      </c>
      <c r="N1493">
        <v>0</v>
      </c>
    </row>
    <row r="1494" spans="1:14" x14ac:dyDescent="0.25">
      <c r="A1494">
        <v>979.46125099999995</v>
      </c>
      <c r="B1494" s="1">
        <f>DATE(2013,1,4) + TIME(11,4,12)</f>
        <v>41278.46125</v>
      </c>
      <c r="C1494">
        <v>80</v>
      </c>
      <c r="D1494">
        <v>71.852378845000004</v>
      </c>
      <c r="E1494">
        <v>50</v>
      </c>
      <c r="F1494">
        <v>49.963500977000002</v>
      </c>
      <c r="G1494">
        <v>1301.2817382999999</v>
      </c>
      <c r="H1494">
        <v>1290.2478027</v>
      </c>
      <c r="I1494">
        <v>1382.4589844</v>
      </c>
      <c r="J1494">
        <v>1366.9852295000001</v>
      </c>
      <c r="K1494">
        <v>0</v>
      </c>
      <c r="L1494">
        <v>1875</v>
      </c>
      <c r="M1494">
        <v>1875</v>
      </c>
      <c r="N1494">
        <v>0</v>
      </c>
    </row>
    <row r="1495" spans="1:14" x14ac:dyDescent="0.25">
      <c r="A1495">
        <v>981.61667399999999</v>
      </c>
      <c r="B1495" s="1">
        <f>DATE(2013,1,6) + TIME(14,48,0)</f>
        <v>41280.616666666669</v>
      </c>
      <c r="C1495">
        <v>80</v>
      </c>
      <c r="D1495">
        <v>71.651382446</v>
      </c>
      <c r="E1495">
        <v>50</v>
      </c>
      <c r="F1495">
        <v>49.963554381999998</v>
      </c>
      <c r="G1495">
        <v>1301.0463867000001</v>
      </c>
      <c r="H1495">
        <v>1289.9221190999999</v>
      </c>
      <c r="I1495">
        <v>1382.4149170000001</v>
      </c>
      <c r="J1495">
        <v>1366.9464111</v>
      </c>
      <c r="K1495">
        <v>0</v>
      </c>
      <c r="L1495">
        <v>1875</v>
      </c>
      <c r="M1495">
        <v>1875</v>
      </c>
      <c r="N1495">
        <v>0</v>
      </c>
    </row>
    <row r="1496" spans="1:14" x14ac:dyDescent="0.25">
      <c r="A1496">
        <v>983.80182400000001</v>
      </c>
      <c r="B1496" s="1">
        <f>DATE(2013,1,8) + TIME(19,14,37)</f>
        <v>41282.801817129628</v>
      </c>
      <c r="C1496">
        <v>80</v>
      </c>
      <c r="D1496">
        <v>71.442283630000006</v>
      </c>
      <c r="E1496">
        <v>50</v>
      </c>
      <c r="F1496">
        <v>49.963603972999998</v>
      </c>
      <c r="G1496">
        <v>1300.8048096</v>
      </c>
      <c r="H1496">
        <v>1289.5864257999999</v>
      </c>
      <c r="I1496">
        <v>1382.3713379000001</v>
      </c>
      <c r="J1496">
        <v>1366.9080810999999</v>
      </c>
      <c r="K1496">
        <v>0</v>
      </c>
      <c r="L1496">
        <v>1875</v>
      </c>
      <c r="M1496">
        <v>1875</v>
      </c>
      <c r="N1496">
        <v>0</v>
      </c>
    </row>
    <row r="1497" spans="1:14" x14ac:dyDescent="0.25">
      <c r="A1497">
        <v>986.01972999999998</v>
      </c>
      <c r="B1497" s="1">
        <f>DATE(2013,1,11) + TIME(0,28,24)</f>
        <v>41285.01972222222</v>
      </c>
      <c r="C1497">
        <v>80</v>
      </c>
      <c r="D1497">
        <v>71.224174500000004</v>
      </c>
      <c r="E1497">
        <v>50</v>
      </c>
      <c r="F1497">
        <v>49.963657378999997</v>
      </c>
      <c r="G1497">
        <v>1300.5565185999999</v>
      </c>
      <c r="H1497">
        <v>1289.2403564000001</v>
      </c>
      <c r="I1497">
        <v>1382.328125</v>
      </c>
      <c r="J1497">
        <v>1366.8701172000001</v>
      </c>
      <c r="K1497">
        <v>0</v>
      </c>
      <c r="L1497">
        <v>1875</v>
      </c>
      <c r="M1497">
        <v>1875</v>
      </c>
      <c r="N1497">
        <v>0</v>
      </c>
    </row>
    <row r="1498" spans="1:14" x14ac:dyDescent="0.25">
      <c r="A1498">
        <v>988.26037399999996</v>
      </c>
      <c r="B1498" s="1">
        <f>DATE(2013,1,13) + TIME(6,14,56)</f>
        <v>41287.260370370372</v>
      </c>
      <c r="C1498">
        <v>80</v>
      </c>
      <c r="D1498">
        <v>70.996520996000001</v>
      </c>
      <c r="E1498">
        <v>50</v>
      </c>
      <c r="F1498">
        <v>49.963710785000004</v>
      </c>
      <c r="G1498">
        <v>1300.3011475000001</v>
      </c>
      <c r="H1498">
        <v>1288.8836670000001</v>
      </c>
      <c r="I1498">
        <v>1382.2854004000001</v>
      </c>
      <c r="J1498">
        <v>1366.8325195</v>
      </c>
      <c r="K1498">
        <v>0</v>
      </c>
      <c r="L1498">
        <v>1875</v>
      </c>
      <c r="M1498">
        <v>1875</v>
      </c>
      <c r="N1498">
        <v>0</v>
      </c>
    </row>
    <row r="1499" spans="1:14" x14ac:dyDescent="0.25">
      <c r="A1499">
        <v>990.52814599999999</v>
      </c>
      <c r="B1499" s="1">
        <f>DATE(2013,1,15) + TIME(12,40,31)</f>
        <v>41289.528136574074</v>
      </c>
      <c r="C1499">
        <v>80</v>
      </c>
      <c r="D1499">
        <v>70.758964539000004</v>
      </c>
      <c r="E1499">
        <v>50</v>
      </c>
      <c r="F1499">
        <v>49.963764191000003</v>
      </c>
      <c r="G1499">
        <v>1300.0397949000001</v>
      </c>
      <c r="H1499">
        <v>1288.5172118999999</v>
      </c>
      <c r="I1499">
        <v>1382.2431641000001</v>
      </c>
      <c r="J1499">
        <v>1366.7954102000001</v>
      </c>
      <c r="K1499">
        <v>0</v>
      </c>
      <c r="L1499">
        <v>1875</v>
      </c>
      <c r="M1499">
        <v>1875</v>
      </c>
      <c r="N1499">
        <v>0</v>
      </c>
    </row>
    <row r="1500" spans="1:14" x14ac:dyDescent="0.25">
      <c r="A1500">
        <v>992.82725600000003</v>
      </c>
      <c r="B1500" s="1">
        <f>DATE(2013,1,17) + TIME(19,51,14)</f>
        <v>41291.827245370368</v>
      </c>
      <c r="C1500">
        <v>80</v>
      </c>
      <c r="D1500">
        <v>70.510658264</v>
      </c>
      <c r="E1500">
        <v>50</v>
      </c>
      <c r="F1500">
        <v>49.963817595999998</v>
      </c>
      <c r="G1500">
        <v>1299.7722168</v>
      </c>
      <c r="H1500">
        <v>1288.1407471</v>
      </c>
      <c r="I1500">
        <v>1382.2012939000001</v>
      </c>
      <c r="J1500">
        <v>1366.7585449000001</v>
      </c>
      <c r="K1500">
        <v>0</v>
      </c>
      <c r="L1500">
        <v>1875</v>
      </c>
      <c r="M1500">
        <v>1875</v>
      </c>
      <c r="N1500">
        <v>0</v>
      </c>
    </row>
    <row r="1501" spans="1:14" x14ac:dyDescent="0.25">
      <c r="A1501">
        <v>995.15758000000005</v>
      </c>
      <c r="B1501" s="1">
        <f>DATE(2013,1,20) + TIME(3,46,54)</f>
        <v>41294.157569444447</v>
      </c>
      <c r="C1501">
        <v>80</v>
      </c>
      <c r="D1501">
        <v>70.250801085999996</v>
      </c>
      <c r="E1501">
        <v>50</v>
      </c>
      <c r="F1501">
        <v>49.963874816999997</v>
      </c>
      <c r="G1501">
        <v>1299.4979248</v>
      </c>
      <c r="H1501">
        <v>1287.7537841999999</v>
      </c>
      <c r="I1501">
        <v>1382.1597899999999</v>
      </c>
      <c r="J1501">
        <v>1366.7220459</v>
      </c>
      <c r="K1501">
        <v>0</v>
      </c>
      <c r="L1501">
        <v>1875</v>
      </c>
      <c r="M1501">
        <v>1875</v>
      </c>
      <c r="N1501">
        <v>0</v>
      </c>
    </row>
    <row r="1502" spans="1:14" x14ac:dyDescent="0.25">
      <c r="A1502">
        <v>997.522785</v>
      </c>
      <c r="B1502" s="1">
        <f>DATE(2013,1,22) + TIME(12,32,48)</f>
        <v>41296.522777777776</v>
      </c>
      <c r="C1502">
        <v>80</v>
      </c>
      <c r="D1502">
        <v>69.978454589999998</v>
      </c>
      <c r="E1502">
        <v>50</v>
      </c>
      <c r="F1502">
        <v>49.963928223000003</v>
      </c>
      <c r="G1502">
        <v>1299.2170410000001</v>
      </c>
      <c r="H1502">
        <v>1287.3562012</v>
      </c>
      <c r="I1502">
        <v>1382.1185303</v>
      </c>
      <c r="J1502">
        <v>1366.6857910000001</v>
      </c>
      <c r="K1502">
        <v>0</v>
      </c>
      <c r="L1502">
        <v>1875</v>
      </c>
      <c r="M1502">
        <v>1875</v>
      </c>
      <c r="N1502">
        <v>0</v>
      </c>
    </row>
    <row r="1503" spans="1:14" x14ac:dyDescent="0.25">
      <c r="A1503">
        <v>999.92148899999995</v>
      </c>
      <c r="B1503" s="1">
        <f>DATE(2013,1,24) + TIME(22,6,56)</f>
        <v>41298.921481481484</v>
      </c>
      <c r="C1503">
        <v>80</v>
      </c>
      <c r="D1503">
        <v>69.692367554</v>
      </c>
      <c r="E1503">
        <v>50</v>
      </c>
      <c r="F1503">
        <v>49.963985442999999</v>
      </c>
      <c r="G1503">
        <v>1298.9293213000001</v>
      </c>
      <c r="H1503">
        <v>1286.9476318</v>
      </c>
      <c r="I1503">
        <v>1382.0776367000001</v>
      </c>
      <c r="J1503">
        <v>1366.6497803</v>
      </c>
      <c r="K1503">
        <v>0</v>
      </c>
      <c r="L1503">
        <v>1875</v>
      </c>
      <c r="M1503">
        <v>1875</v>
      </c>
      <c r="N1503">
        <v>0</v>
      </c>
    </row>
    <row r="1504" spans="1:14" x14ac:dyDescent="0.25">
      <c r="A1504">
        <v>1002.349082</v>
      </c>
      <c r="B1504" s="1">
        <f>DATE(2013,1,27) + TIME(8,22,40)</f>
        <v>41301.349074074074</v>
      </c>
      <c r="C1504">
        <v>80</v>
      </c>
      <c r="D1504">
        <v>69.392265320000007</v>
      </c>
      <c r="E1504">
        <v>50</v>
      </c>
      <c r="F1504">
        <v>49.964042663999997</v>
      </c>
      <c r="G1504">
        <v>1298.6348877</v>
      </c>
      <c r="H1504">
        <v>1286.5283202999999</v>
      </c>
      <c r="I1504">
        <v>1382.0368652</v>
      </c>
      <c r="J1504">
        <v>1366.6138916</v>
      </c>
      <c r="K1504">
        <v>0</v>
      </c>
      <c r="L1504">
        <v>1875</v>
      </c>
      <c r="M1504">
        <v>1875</v>
      </c>
      <c r="N1504">
        <v>0</v>
      </c>
    </row>
    <row r="1505" spans="1:14" x14ac:dyDescent="0.25">
      <c r="A1505">
        <v>1004.806432</v>
      </c>
      <c r="B1505" s="1">
        <f>DATE(2013,1,29) + TIME(19,21,15)</f>
        <v>41303.806423611109</v>
      </c>
      <c r="C1505">
        <v>80</v>
      </c>
      <c r="D1505">
        <v>69.077728270999998</v>
      </c>
      <c r="E1505">
        <v>50</v>
      </c>
      <c r="F1505">
        <v>49.964099883999999</v>
      </c>
      <c r="G1505">
        <v>1298.3344727000001</v>
      </c>
      <c r="H1505">
        <v>1286.0988769999999</v>
      </c>
      <c r="I1505">
        <v>1381.9964600000001</v>
      </c>
      <c r="J1505">
        <v>1366.5782471</v>
      </c>
      <c r="K1505">
        <v>0</v>
      </c>
      <c r="L1505">
        <v>1875</v>
      </c>
      <c r="M1505">
        <v>1875</v>
      </c>
      <c r="N1505">
        <v>0</v>
      </c>
    </row>
    <row r="1506" spans="1:14" x14ac:dyDescent="0.25">
      <c r="A1506">
        <v>1007.296458</v>
      </c>
      <c r="B1506" s="1">
        <f>DATE(2013,2,1) + TIME(7,6,53)</f>
        <v>41306.296446759261</v>
      </c>
      <c r="C1506">
        <v>80</v>
      </c>
      <c r="D1506">
        <v>68.748016356999997</v>
      </c>
      <c r="E1506">
        <v>50</v>
      </c>
      <c r="F1506">
        <v>49.964157104000002</v>
      </c>
      <c r="G1506">
        <v>1298.0279541</v>
      </c>
      <c r="H1506">
        <v>1285.6594238</v>
      </c>
      <c r="I1506">
        <v>1381.9561768000001</v>
      </c>
      <c r="J1506">
        <v>1366.5428466999999</v>
      </c>
      <c r="K1506">
        <v>0</v>
      </c>
      <c r="L1506">
        <v>1875</v>
      </c>
      <c r="M1506">
        <v>1875</v>
      </c>
      <c r="N1506">
        <v>0</v>
      </c>
    </row>
    <row r="1507" spans="1:14" x14ac:dyDescent="0.25">
      <c r="A1507">
        <v>1009.823593</v>
      </c>
      <c r="B1507" s="1">
        <f>DATE(2013,2,3) + TIME(19,45,58)</f>
        <v>41308.823587962965</v>
      </c>
      <c r="C1507">
        <v>80</v>
      </c>
      <c r="D1507">
        <v>68.402153014999996</v>
      </c>
      <c r="E1507">
        <v>50</v>
      </c>
      <c r="F1507">
        <v>49.96421814</v>
      </c>
      <c r="G1507">
        <v>1297.7154541</v>
      </c>
      <c r="H1507">
        <v>1285.2097168</v>
      </c>
      <c r="I1507">
        <v>1381.9161377</v>
      </c>
      <c r="J1507">
        <v>1366.5075684000001</v>
      </c>
      <c r="K1507">
        <v>0</v>
      </c>
      <c r="L1507">
        <v>1875</v>
      </c>
      <c r="M1507">
        <v>1875</v>
      </c>
      <c r="N1507">
        <v>0</v>
      </c>
    </row>
    <row r="1508" spans="1:14" x14ac:dyDescent="0.25">
      <c r="A1508">
        <v>1011</v>
      </c>
      <c r="B1508" s="1">
        <f>DATE(2013,2,5) + TIME(0,0,0)</f>
        <v>41310</v>
      </c>
      <c r="C1508">
        <v>80</v>
      </c>
      <c r="D1508">
        <v>68.127372742000006</v>
      </c>
      <c r="E1508">
        <v>50</v>
      </c>
      <c r="F1508">
        <v>49.964241028000004</v>
      </c>
      <c r="G1508">
        <v>1297.4077147999999</v>
      </c>
      <c r="H1508">
        <v>1284.7843018000001</v>
      </c>
      <c r="I1508">
        <v>1381.8756103999999</v>
      </c>
      <c r="J1508">
        <v>1366.4716797000001</v>
      </c>
      <c r="K1508">
        <v>0</v>
      </c>
      <c r="L1508">
        <v>1875</v>
      </c>
      <c r="M1508">
        <v>1875</v>
      </c>
      <c r="N1508">
        <v>0</v>
      </c>
    </row>
    <row r="1509" spans="1:14" x14ac:dyDescent="0.25">
      <c r="A1509">
        <v>1011.000001</v>
      </c>
      <c r="B1509" s="1">
        <f>DATE(2013,2,5) + TIME(0,0,0)</f>
        <v>41310</v>
      </c>
      <c r="C1509">
        <v>80</v>
      </c>
      <c r="D1509">
        <v>68.127418517999999</v>
      </c>
      <c r="E1509">
        <v>50</v>
      </c>
      <c r="F1509">
        <v>49.964195251</v>
      </c>
      <c r="G1509">
        <v>1297.7823486</v>
      </c>
      <c r="H1509">
        <v>1297.7823486</v>
      </c>
      <c r="I1509">
        <v>1366.1204834</v>
      </c>
      <c r="J1509">
        <v>1366.1204834</v>
      </c>
      <c r="K1509">
        <v>0</v>
      </c>
      <c r="L1509">
        <v>0</v>
      </c>
      <c r="M1509">
        <v>0</v>
      </c>
      <c r="N1509">
        <v>0</v>
      </c>
    </row>
    <row r="1510" spans="1:14" x14ac:dyDescent="0.25">
      <c r="A1510">
        <v>1011.000004</v>
      </c>
      <c r="B1510" s="1">
        <f>DATE(2013,2,5) + TIME(0,0,0)</f>
        <v>41310</v>
      </c>
      <c r="C1510">
        <v>80</v>
      </c>
      <c r="D1510">
        <v>68.127548218000001</v>
      </c>
      <c r="E1510">
        <v>50</v>
      </c>
      <c r="F1510">
        <v>49.964076996000003</v>
      </c>
      <c r="G1510">
        <v>1298.7504882999999</v>
      </c>
      <c r="H1510">
        <v>1298.7504882999999</v>
      </c>
      <c r="I1510">
        <v>1365.1834716999999</v>
      </c>
      <c r="J1510">
        <v>1365.1834716999999</v>
      </c>
      <c r="K1510">
        <v>0</v>
      </c>
      <c r="L1510">
        <v>0</v>
      </c>
      <c r="M1510">
        <v>0</v>
      </c>
      <c r="N1510">
        <v>0</v>
      </c>
    </row>
    <row r="1511" spans="1:14" x14ac:dyDescent="0.25">
      <c r="A1511">
        <v>1011.000013</v>
      </c>
      <c r="B1511" s="1">
        <f>DATE(2013,2,5) + TIME(0,0,1)</f>
        <v>41310.000011574077</v>
      </c>
      <c r="C1511">
        <v>80</v>
      </c>
      <c r="D1511">
        <v>68.127822875999996</v>
      </c>
      <c r="E1511">
        <v>50</v>
      </c>
      <c r="F1511">
        <v>49.963813782000003</v>
      </c>
      <c r="G1511">
        <v>1300.7905272999999</v>
      </c>
      <c r="H1511">
        <v>1300.7905272999999</v>
      </c>
      <c r="I1511">
        <v>1363.0817870999999</v>
      </c>
      <c r="J1511">
        <v>1363.0817870999999</v>
      </c>
      <c r="K1511">
        <v>0</v>
      </c>
      <c r="L1511">
        <v>0</v>
      </c>
      <c r="M1511">
        <v>0</v>
      </c>
      <c r="N1511">
        <v>0</v>
      </c>
    </row>
    <row r="1512" spans="1:14" x14ac:dyDescent="0.25">
      <c r="A1512">
        <v>1011.00004</v>
      </c>
      <c r="B1512" s="1">
        <f>DATE(2013,2,5) + TIME(0,0,3)</f>
        <v>41310.000034722223</v>
      </c>
      <c r="C1512">
        <v>80</v>
      </c>
      <c r="D1512">
        <v>68.128250121999997</v>
      </c>
      <c r="E1512">
        <v>50</v>
      </c>
      <c r="F1512">
        <v>49.963367462000001</v>
      </c>
      <c r="G1512">
        <v>1303.9287108999999</v>
      </c>
      <c r="H1512">
        <v>1303.9287108999999</v>
      </c>
      <c r="I1512">
        <v>1359.5703125</v>
      </c>
      <c r="J1512">
        <v>1359.5703125</v>
      </c>
      <c r="K1512">
        <v>0</v>
      </c>
      <c r="L1512">
        <v>0</v>
      </c>
      <c r="M1512">
        <v>0</v>
      </c>
      <c r="N1512">
        <v>0</v>
      </c>
    </row>
    <row r="1513" spans="1:14" x14ac:dyDescent="0.25">
      <c r="A1513">
        <v>1011.000121</v>
      </c>
      <c r="B1513" s="1">
        <f>DATE(2013,2,5) + TIME(0,0,10)</f>
        <v>41310.000115740739</v>
      </c>
      <c r="C1513">
        <v>80</v>
      </c>
      <c r="D1513">
        <v>68.128730774000005</v>
      </c>
      <c r="E1513">
        <v>50</v>
      </c>
      <c r="F1513">
        <v>49.962825774999999</v>
      </c>
      <c r="G1513">
        <v>1307.5487060999999</v>
      </c>
      <c r="H1513">
        <v>1307.5487060999999</v>
      </c>
      <c r="I1513">
        <v>1355.2847899999999</v>
      </c>
      <c r="J1513">
        <v>1355.2847899999999</v>
      </c>
      <c r="K1513">
        <v>0</v>
      </c>
      <c r="L1513">
        <v>0</v>
      </c>
      <c r="M1513">
        <v>0</v>
      </c>
      <c r="N1513">
        <v>0</v>
      </c>
    </row>
    <row r="1514" spans="1:14" x14ac:dyDescent="0.25">
      <c r="A1514">
        <v>1011.000364</v>
      </c>
      <c r="B1514" s="1">
        <f>DATE(2013,2,5) + TIME(0,0,31)</f>
        <v>41310.000358796293</v>
      </c>
      <c r="C1514">
        <v>80</v>
      </c>
      <c r="D1514">
        <v>68.129226685000006</v>
      </c>
      <c r="E1514">
        <v>50</v>
      </c>
      <c r="F1514">
        <v>49.9622612</v>
      </c>
      <c r="G1514">
        <v>1311.2600098</v>
      </c>
      <c r="H1514">
        <v>1311.2600098</v>
      </c>
      <c r="I1514">
        <v>1350.8728027</v>
      </c>
      <c r="J1514">
        <v>1350.8728027</v>
      </c>
      <c r="K1514">
        <v>0</v>
      </c>
      <c r="L1514">
        <v>0</v>
      </c>
      <c r="M1514">
        <v>0</v>
      </c>
      <c r="N1514">
        <v>0</v>
      </c>
    </row>
    <row r="1515" spans="1:14" x14ac:dyDescent="0.25">
      <c r="A1515">
        <v>1011.001093</v>
      </c>
      <c r="B1515" s="1">
        <f>DATE(2013,2,5) + TIME(0,1,34)</f>
        <v>41310.001087962963</v>
      </c>
      <c r="C1515">
        <v>80</v>
      </c>
      <c r="D1515">
        <v>68.129722595000004</v>
      </c>
      <c r="E1515">
        <v>50</v>
      </c>
      <c r="F1515">
        <v>49.961677551000001</v>
      </c>
      <c r="G1515">
        <v>1315.1342772999999</v>
      </c>
      <c r="H1515">
        <v>1315.1342772999999</v>
      </c>
      <c r="I1515">
        <v>1346.4454346</v>
      </c>
      <c r="J1515">
        <v>1346.4454346</v>
      </c>
      <c r="K1515">
        <v>0</v>
      </c>
      <c r="L1515">
        <v>0</v>
      </c>
      <c r="M1515">
        <v>0</v>
      </c>
      <c r="N1515">
        <v>0</v>
      </c>
    </row>
    <row r="1516" spans="1:14" x14ac:dyDescent="0.25">
      <c r="A1516">
        <v>1011.00328</v>
      </c>
      <c r="B1516" s="1">
        <f>DATE(2013,2,5) + TIME(0,4,43)</f>
        <v>41310.003275462965</v>
      </c>
      <c r="C1516">
        <v>80</v>
      </c>
      <c r="D1516">
        <v>68.130241393999995</v>
      </c>
      <c r="E1516">
        <v>50</v>
      </c>
      <c r="F1516">
        <v>49.961025237999998</v>
      </c>
      <c r="G1516">
        <v>1319.4770507999999</v>
      </c>
      <c r="H1516">
        <v>1319.4770507999999</v>
      </c>
      <c r="I1516">
        <v>1341.8591309000001</v>
      </c>
      <c r="J1516">
        <v>1341.8591309000001</v>
      </c>
      <c r="K1516">
        <v>0</v>
      </c>
      <c r="L1516">
        <v>0</v>
      </c>
      <c r="M1516">
        <v>0</v>
      </c>
      <c r="N1516">
        <v>0</v>
      </c>
    </row>
    <row r="1517" spans="1:14" x14ac:dyDescent="0.25">
      <c r="A1517">
        <v>1011.0098410000001</v>
      </c>
      <c r="B1517" s="1">
        <f>DATE(2013,2,5) + TIME(0,14,10)</f>
        <v>41310.009837962964</v>
      </c>
      <c r="C1517">
        <v>80</v>
      </c>
      <c r="D1517">
        <v>68.130699157999999</v>
      </c>
      <c r="E1517">
        <v>50</v>
      </c>
      <c r="F1517">
        <v>49.960197448999999</v>
      </c>
      <c r="G1517">
        <v>1324.2729492000001</v>
      </c>
      <c r="H1517">
        <v>1324.2729492000001</v>
      </c>
      <c r="I1517">
        <v>1337.1191406</v>
      </c>
      <c r="J1517">
        <v>1337.1191406</v>
      </c>
      <c r="K1517">
        <v>0</v>
      </c>
      <c r="L1517">
        <v>0</v>
      </c>
      <c r="M1517">
        <v>0</v>
      </c>
      <c r="N1517">
        <v>0</v>
      </c>
    </row>
    <row r="1518" spans="1:14" x14ac:dyDescent="0.25">
      <c r="A1518">
        <v>1011.029524</v>
      </c>
      <c r="B1518" s="1">
        <f>DATE(2013,2,5) + TIME(0,42,30)</f>
        <v>41310.029513888891</v>
      </c>
      <c r="C1518">
        <v>80</v>
      </c>
      <c r="D1518">
        <v>68.130851746000005</v>
      </c>
      <c r="E1518">
        <v>50</v>
      </c>
      <c r="F1518">
        <v>49.959014893000003</v>
      </c>
      <c r="G1518">
        <v>1328.4698486</v>
      </c>
      <c r="H1518">
        <v>1328.4698486</v>
      </c>
      <c r="I1518">
        <v>1333.1661377</v>
      </c>
      <c r="J1518">
        <v>1333.1661377</v>
      </c>
      <c r="K1518">
        <v>0</v>
      </c>
      <c r="L1518">
        <v>0</v>
      </c>
      <c r="M1518">
        <v>0</v>
      </c>
      <c r="N1518">
        <v>0</v>
      </c>
    </row>
    <row r="1519" spans="1:14" x14ac:dyDescent="0.25">
      <c r="A1519">
        <v>1011.088573</v>
      </c>
      <c r="B1519" s="1">
        <f>DATE(2013,2,5) + TIME(2,7,32)</f>
        <v>41310.088564814818</v>
      </c>
      <c r="C1519">
        <v>80</v>
      </c>
      <c r="D1519">
        <v>68.130180358999993</v>
      </c>
      <c r="E1519">
        <v>50</v>
      </c>
      <c r="F1519">
        <v>49.956756591999998</v>
      </c>
      <c r="G1519">
        <v>1330.8055420000001</v>
      </c>
      <c r="H1519">
        <v>1330.8055420000001</v>
      </c>
      <c r="I1519">
        <v>1331.2928466999999</v>
      </c>
      <c r="J1519">
        <v>1331.2928466999999</v>
      </c>
      <c r="K1519">
        <v>0</v>
      </c>
      <c r="L1519">
        <v>0</v>
      </c>
      <c r="M1519">
        <v>0</v>
      </c>
      <c r="N1519">
        <v>0</v>
      </c>
    </row>
    <row r="1520" spans="1:14" x14ac:dyDescent="0.25">
      <c r="A1520">
        <v>1011.26572</v>
      </c>
      <c r="B1520" s="1">
        <f>DATE(2013,2,5) + TIME(6,22,38)</f>
        <v>41310.265717592592</v>
      </c>
      <c r="C1520">
        <v>80</v>
      </c>
      <c r="D1520">
        <v>68.127510071000003</v>
      </c>
      <c r="E1520">
        <v>50</v>
      </c>
      <c r="F1520">
        <v>49.950649261000002</v>
      </c>
      <c r="G1520">
        <v>1331.4748535000001</v>
      </c>
      <c r="H1520">
        <v>1331.4748535000001</v>
      </c>
      <c r="I1520">
        <v>1330.9719238</v>
      </c>
      <c r="J1520">
        <v>1330.9719238</v>
      </c>
      <c r="K1520">
        <v>0</v>
      </c>
      <c r="L1520">
        <v>0</v>
      </c>
      <c r="M1520">
        <v>0</v>
      </c>
      <c r="N1520">
        <v>0</v>
      </c>
    </row>
    <row r="1521" spans="1:14" x14ac:dyDescent="0.25">
      <c r="A1521">
        <v>1011.797161</v>
      </c>
      <c r="B1521" s="1">
        <f>DATE(2013,2,5) + TIME(19,7,54)</f>
        <v>41310.797152777777</v>
      </c>
      <c r="C1521">
        <v>80</v>
      </c>
      <c r="D1521">
        <v>68.119224548000005</v>
      </c>
      <c r="E1521">
        <v>50</v>
      </c>
      <c r="F1521">
        <v>49.932495117000002</v>
      </c>
      <c r="G1521">
        <v>1331.5611572</v>
      </c>
      <c r="H1521">
        <v>1331.5611572</v>
      </c>
      <c r="I1521">
        <v>1330.9691161999999</v>
      </c>
      <c r="J1521">
        <v>1330.9691161999999</v>
      </c>
      <c r="K1521">
        <v>0</v>
      </c>
      <c r="L1521">
        <v>0</v>
      </c>
      <c r="M1521">
        <v>0</v>
      </c>
      <c r="N1521">
        <v>0</v>
      </c>
    </row>
    <row r="1522" spans="1:14" x14ac:dyDescent="0.25">
      <c r="A1522">
        <v>1013.391484</v>
      </c>
      <c r="B1522" s="1">
        <f>DATE(2013,2,7) + TIME(9,23,44)</f>
        <v>41312.391481481478</v>
      </c>
      <c r="C1522">
        <v>80</v>
      </c>
      <c r="D1522">
        <v>68.094223021999994</v>
      </c>
      <c r="E1522">
        <v>50</v>
      </c>
      <c r="F1522">
        <v>49.878566741999997</v>
      </c>
      <c r="G1522">
        <v>1331.5649414</v>
      </c>
      <c r="H1522">
        <v>1331.5649414</v>
      </c>
      <c r="I1522">
        <v>1330.9705810999999</v>
      </c>
      <c r="J1522">
        <v>1330.9705810999999</v>
      </c>
      <c r="K1522">
        <v>0</v>
      </c>
      <c r="L1522">
        <v>0</v>
      </c>
      <c r="M1522">
        <v>0</v>
      </c>
      <c r="N1522">
        <v>0</v>
      </c>
    </row>
    <row r="1523" spans="1:14" x14ac:dyDescent="0.25">
      <c r="A1523">
        <v>1016</v>
      </c>
      <c r="B1523" s="1">
        <f>DATE(2013,2,10) + TIME(0,0,0)</f>
        <v>41315</v>
      </c>
      <c r="C1523">
        <v>80</v>
      </c>
      <c r="D1523">
        <v>68.053039550999998</v>
      </c>
      <c r="E1523">
        <v>50</v>
      </c>
      <c r="F1523">
        <v>49.791698455999999</v>
      </c>
      <c r="G1523">
        <v>1331.5628661999999</v>
      </c>
      <c r="H1523">
        <v>1331.5628661999999</v>
      </c>
      <c r="I1523">
        <v>1330.9700928</v>
      </c>
      <c r="J1523">
        <v>1330.9700928</v>
      </c>
      <c r="K1523">
        <v>0</v>
      </c>
      <c r="L1523">
        <v>0</v>
      </c>
      <c r="M1523">
        <v>0</v>
      </c>
      <c r="N1523">
        <v>0</v>
      </c>
    </row>
    <row r="1524" spans="1:14" x14ac:dyDescent="0.25">
      <c r="A1524">
        <v>1016.000001</v>
      </c>
      <c r="B1524" s="1">
        <f>DATE(2013,2,10) + TIME(0,0,0)</f>
        <v>41315</v>
      </c>
      <c r="C1524">
        <v>80</v>
      </c>
      <c r="D1524">
        <v>68.052993774000001</v>
      </c>
      <c r="E1524">
        <v>50</v>
      </c>
      <c r="F1524">
        <v>49.791744231999999</v>
      </c>
      <c r="G1524">
        <v>1331.2294922000001</v>
      </c>
      <c r="H1524">
        <v>1320.0098877</v>
      </c>
      <c r="I1524">
        <v>1346.7050781</v>
      </c>
      <c r="J1524">
        <v>1331.3200684000001</v>
      </c>
      <c r="K1524">
        <v>0</v>
      </c>
      <c r="L1524">
        <v>1825</v>
      </c>
      <c r="M1524">
        <v>1825</v>
      </c>
      <c r="N1524">
        <v>0</v>
      </c>
    </row>
    <row r="1525" spans="1:14" x14ac:dyDescent="0.25">
      <c r="A1525">
        <v>1016.000004</v>
      </c>
      <c r="B1525" s="1">
        <f>DATE(2013,2,10) + TIME(0,0,0)</f>
        <v>41315</v>
      </c>
      <c r="C1525">
        <v>80</v>
      </c>
      <c r="D1525">
        <v>68.052871703999998</v>
      </c>
      <c r="E1525">
        <v>50</v>
      </c>
      <c r="F1525">
        <v>49.791862488</v>
      </c>
      <c r="G1525">
        <v>1330.3660889</v>
      </c>
      <c r="H1525">
        <v>1319.1290283000001</v>
      </c>
      <c r="I1525">
        <v>1347.5921631000001</v>
      </c>
      <c r="J1525">
        <v>1332.2507324000001</v>
      </c>
      <c r="K1525">
        <v>0</v>
      </c>
      <c r="L1525">
        <v>1825</v>
      </c>
      <c r="M1525">
        <v>1825</v>
      </c>
      <c r="N1525">
        <v>0</v>
      </c>
    </row>
    <row r="1526" spans="1:14" x14ac:dyDescent="0.25">
      <c r="A1526">
        <v>1016.000013</v>
      </c>
      <c r="B1526" s="1">
        <f>DATE(2013,2,10) + TIME(0,0,1)</f>
        <v>41315.000011574077</v>
      </c>
      <c r="C1526">
        <v>80</v>
      </c>
      <c r="D1526">
        <v>68.052619934000006</v>
      </c>
      <c r="E1526">
        <v>50</v>
      </c>
      <c r="F1526">
        <v>49.792125702</v>
      </c>
      <c r="G1526">
        <v>1328.5317382999999</v>
      </c>
      <c r="H1526">
        <v>1317.2204589999999</v>
      </c>
      <c r="I1526">
        <v>1349.5822754000001</v>
      </c>
      <c r="J1526">
        <v>1334.3262939000001</v>
      </c>
      <c r="K1526">
        <v>0</v>
      </c>
      <c r="L1526">
        <v>1825</v>
      </c>
      <c r="M1526">
        <v>1825</v>
      </c>
      <c r="N1526">
        <v>0</v>
      </c>
    </row>
    <row r="1527" spans="1:14" x14ac:dyDescent="0.25">
      <c r="A1527">
        <v>1016.00004</v>
      </c>
      <c r="B1527" s="1">
        <f>DATE(2013,2,10) + TIME(0,0,3)</f>
        <v>41315.000034722223</v>
      </c>
      <c r="C1527">
        <v>80</v>
      </c>
      <c r="D1527">
        <v>68.052223205999994</v>
      </c>
      <c r="E1527">
        <v>50</v>
      </c>
      <c r="F1527">
        <v>49.792560577000003</v>
      </c>
      <c r="G1527">
        <v>1325.6429443</v>
      </c>
      <c r="H1527">
        <v>1314.1582031</v>
      </c>
      <c r="I1527">
        <v>1352.9075928</v>
      </c>
      <c r="J1527">
        <v>1337.7617187999999</v>
      </c>
      <c r="K1527">
        <v>0</v>
      </c>
      <c r="L1527">
        <v>1825</v>
      </c>
      <c r="M1527">
        <v>1825</v>
      </c>
      <c r="N1527">
        <v>0</v>
      </c>
    </row>
    <row r="1528" spans="1:14" x14ac:dyDescent="0.25">
      <c r="A1528">
        <v>1016.000121</v>
      </c>
      <c r="B1528" s="1">
        <f>DATE(2013,2,10) + TIME(0,0,10)</f>
        <v>41315.000115740739</v>
      </c>
      <c r="C1528">
        <v>80</v>
      </c>
      <c r="D1528">
        <v>68.051727295000006</v>
      </c>
      <c r="E1528">
        <v>50</v>
      </c>
      <c r="F1528">
        <v>49.793098450000002</v>
      </c>
      <c r="G1528">
        <v>1322.1903076000001</v>
      </c>
      <c r="H1528">
        <v>1310.4998779</v>
      </c>
      <c r="I1528">
        <v>1356.9659423999999</v>
      </c>
      <c r="J1528">
        <v>1341.9122314000001</v>
      </c>
      <c r="K1528">
        <v>0</v>
      </c>
      <c r="L1528">
        <v>1825</v>
      </c>
      <c r="M1528">
        <v>1825</v>
      </c>
      <c r="N1528">
        <v>0</v>
      </c>
    </row>
    <row r="1529" spans="1:14" x14ac:dyDescent="0.25">
      <c r="A1529">
        <v>1016.000364</v>
      </c>
      <c r="B1529" s="1">
        <f>DATE(2013,2,10) + TIME(0,0,31)</f>
        <v>41315.000358796293</v>
      </c>
      <c r="C1529">
        <v>80</v>
      </c>
      <c r="D1529">
        <v>68.051139832000004</v>
      </c>
      <c r="E1529">
        <v>50</v>
      </c>
      <c r="F1529">
        <v>49.793670654000003</v>
      </c>
      <c r="G1529">
        <v>1318.5438231999999</v>
      </c>
      <c r="H1529">
        <v>1306.6828613</v>
      </c>
      <c r="I1529">
        <v>1361.1451416</v>
      </c>
      <c r="J1529">
        <v>1346.1553954999999</v>
      </c>
      <c r="K1529">
        <v>0</v>
      </c>
      <c r="L1529">
        <v>1825</v>
      </c>
      <c r="M1529">
        <v>1825</v>
      </c>
      <c r="N1529">
        <v>0</v>
      </c>
    </row>
    <row r="1530" spans="1:14" x14ac:dyDescent="0.25">
      <c r="A1530">
        <v>1016.001093</v>
      </c>
      <c r="B1530" s="1">
        <f>DATE(2013,2,10) + TIME(0,1,34)</f>
        <v>41315.001087962963</v>
      </c>
      <c r="C1530">
        <v>80</v>
      </c>
      <c r="D1530">
        <v>68.050338745000005</v>
      </c>
      <c r="E1530">
        <v>50</v>
      </c>
      <c r="F1530">
        <v>49.794319153000004</v>
      </c>
      <c r="G1530">
        <v>1314.65625</v>
      </c>
      <c r="H1530">
        <v>1302.6441649999999</v>
      </c>
      <c r="I1530">
        <v>1365.3588867000001</v>
      </c>
      <c r="J1530">
        <v>1350.4082031</v>
      </c>
      <c r="K1530">
        <v>0</v>
      </c>
      <c r="L1530">
        <v>1825</v>
      </c>
      <c r="M1530">
        <v>1825</v>
      </c>
      <c r="N1530">
        <v>0</v>
      </c>
    </row>
    <row r="1531" spans="1:14" x14ac:dyDescent="0.25">
      <c r="A1531">
        <v>1016.00328</v>
      </c>
      <c r="B1531" s="1">
        <f>DATE(2013,2,10) + TIME(0,4,43)</f>
        <v>41315.003275462965</v>
      </c>
      <c r="C1531">
        <v>80</v>
      </c>
      <c r="D1531">
        <v>68.048912048000005</v>
      </c>
      <c r="E1531">
        <v>50</v>
      </c>
      <c r="F1531">
        <v>49.795223235999998</v>
      </c>
      <c r="G1531">
        <v>1310.2590332</v>
      </c>
      <c r="H1531">
        <v>1298.1129149999999</v>
      </c>
      <c r="I1531">
        <v>1369.7962646000001</v>
      </c>
      <c r="J1531">
        <v>1354.8503418</v>
      </c>
      <c r="K1531">
        <v>0</v>
      </c>
      <c r="L1531">
        <v>1825</v>
      </c>
      <c r="M1531">
        <v>1825</v>
      </c>
      <c r="N1531">
        <v>0</v>
      </c>
    </row>
    <row r="1532" spans="1:14" x14ac:dyDescent="0.25">
      <c r="A1532">
        <v>1016.0098410000001</v>
      </c>
      <c r="B1532" s="1">
        <f>DATE(2013,2,10) + TIME(0,14,10)</f>
        <v>41315.009837962964</v>
      </c>
      <c r="C1532">
        <v>80</v>
      </c>
      <c r="D1532">
        <v>68.045707703000005</v>
      </c>
      <c r="E1532">
        <v>50</v>
      </c>
      <c r="F1532">
        <v>49.796829224</v>
      </c>
      <c r="G1532">
        <v>1305.4243164</v>
      </c>
      <c r="H1532">
        <v>1293.1796875</v>
      </c>
      <c r="I1532">
        <v>1374.4648437999999</v>
      </c>
      <c r="J1532">
        <v>1359.4940185999999</v>
      </c>
      <c r="K1532">
        <v>0</v>
      </c>
      <c r="L1532">
        <v>1825</v>
      </c>
      <c r="M1532">
        <v>1825</v>
      </c>
      <c r="N1532">
        <v>0</v>
      </c>
    </row>
    <row r="1533" spans="1:14" x14ac:dyDescent="0.25">
      <c r="A1533">
        <v>1016.029524</v>
      </c>
      <c r="B1533" s="1">
        <f>DATE(2013,2,10) + TIME(0,42,30)</f>
        <v>41315.029513888891</v>
      </c>
      <c r="C1533">
        <v>80</v>
      </c>
      <c r="D1533">
        <v>68.037437439000001</v>
      </c>
      <c r="E1533">
        <v>50</v>
      </c>
      <c r="F1533">
        <v>49.800319672000001</v>
      </c>
      <c r="G1533">
        <v>1301.2324219</v>
      </c>
      <c r="H1533">
        <v>1288.9318848</v>
      </c>
      <c r="I1533">
        <v>1378.3746338000001</v>
      </c>
      <c r="J1533">
        <v>1363.3789062000001</v>
      </c>
      <c r="K1533">
        <v>0</v>
      </c>
      <c r="L1533">
        <v>1825</v>
      </c>
      <c r="M1533">
        <v>1825</v>
      </c>
      <c r="N1533">
        <v>0</v>
      </c>
    </row>
    <row r="1534" spans="1:14" x14ac:dyDescent="0.25">
      <c r="A1534">
        <v>1016.088573</v>
      </c>
      <c r="B1534" s="1">
        <f>DATE(2013,2,10) + TIME(2,7,32)</f>
        <v>41315.088564814818</v>
      </c>
      <c r="C1534">
        <v>80</v>
      </c>
      <c r="D1534">
        <v>68.014801024999997</v>
      </c>
      <c r="E1534">
        <v>50</v>
      </c>
      <c r="F1534">
        <v>49.809089661000002</v>
      </c>
      <c r="G1534">
        <v>1298.9147949000001</v>
      </c>
      <c r="H1534">
        <v>1286.5882568</v>
      </c>
      <c r="I1534">
        <v>1380.2241211</v>
      </c>
      <c r="J1534">
        <v>1365.2183838000001</v>
      </c>
      <c r="K1534">
        <v>0</v>
      </c>
      <c r="L1534">
        <v>1825</v>
      </c>
      <c r="M1534">
        <v>1825</v>
      </c>
      <c r="N1534">
        <v>0</v>
      </c>
    </row>
    <row r="1535" spans="1:14" x14ac:dyDescent="0.25">
      <c r="A1535">
        <v>1016.26572</v>
      </c>
      <c r="B1535" s="1">
        <f>DATE(2013,2,10) + TIME(6,22,38)</f>
        <v>41315.265717592592</v>
      </c>
      <c r="C1535">
        <v>80</v>
      </c>
      <c r="D1535">
        <v>67.956375121999997</v>
      </c>
      <c r="E1535">
        <v>50</v>
      </c>
      <c r="F1535">
        <v>49.83108902</v>
      </c>
      <c r="G1535">
        <v>1298.2391356999999</v>
      </c>
      <c r="H1535">
        <v>1285.8919678</v>
      </c>
      <c r="I1535">
        <v>1380.5396728999999</v>
      </c>
      <c r="J1535">
        <v>1365.5338135</v>
      </c>
      <c r="K1535">
        <v>0</v>
      </c>
      <c r="L1535">
        <v>1825</v>
      </c>
      <c r="M1535">
        <v>1825</v>
      </c>
      <c r="N1535">
        <v>0</v>
      </c>
    </row>
    <row r="1536" spans="1:14" x14ac:dyDescent="0.25">
      <c r="A1536">
        <v>1016.797161</v>
      </c>
      <c r="B1536" s="1">
        <f>DATE(2013,2,10) + TIME(19,7,54)</f>
        <v>41315.797152777777</v>
      </c>
      <c r="C1536">
        <v>80</v>
      </c>
      <c r="D1536">
        <v>67.833412170000003</v>
      </c>
      <c r="E1536">
        <v>50</v>
      </c>
      <c r="F1536">
        <v>49.875053405999999</v>
      </c>
      <c r="G1536">
        <v>1298.1186522999999</v>
      </c>
      <c r="H1536">
        <v>1285.7347411999999</v>
      </c>
      <c r="I1536">
        <v>1380.5375977000001</v>
      </c>
      <c r="J1536">
        <v>1365.5357666</v>
      </c>
      <c r="K1536">
        <v>0</v>
      </c>
      <c r="L1536">
        <v>1825</v>
      </c>
      <c r="M1536">
        <v>1825</v>
      </c>
      <c r="N1536">
        <v>0</v>
      </c>
    </row>
    <row r="1537" spans="1:14" x14ac:dyDescent="0.25">
      <c r="A1537">
        <v>1018.391484</v>
      </c>
      <c r="B1537" s="1">
        <f>DATE(2013,2,12) + TIME(9,23,44)</f>
        <v>41317.391481481478</v>
      </c>
      <c r="C1537">
        <v>80</v>
      </c>
      <c r="D1537">
        <v>67.643241881999998</v>
      </c>
      <c r="E1537">
        <v>50</v>
      </c>
      <c r="F1537">
        <v>49.927959442000002</v>
      </c>
      <c r="G1537">
        <v>1298.0314940999999</v>
      </c>
      <c r="H1537">
        <v>1285.5860596</v>
      </c>
      <c r="I1537">
        <v>1380.5251464999999</v>
      </c>
      <c r="J1537">
        <v>1365.5285644999999</v>
      </c>
      <c r="K1537">
        <v>0</v>
      </c>
      <c r="L1537">
        <v>1825</v>
      </c>
      <c r="M1537">
        <v>1825</v>
      </c>
      <c r="N1537">
        <v>0</v>
      </c>
    </row>
    <row r="1538" spans="1:14" x14ac:dyDescent="0.25">
      <c r="A1538">
        <v>1021.095859</v>
      </c>
      <c r="B1538" s="1">
        <f>DATE(2013,2,15) + TIME(2,18,2)</f>
        <v>41320.095856481479</v>
      </c>
      <c r="C1538">
        <v>80</v>
      </c>
      <c r="D1538">
        <v>67.379631042</v>
      </c>
      <c r="E1538">
        <v>50</v>
      </c>
      <c r="F1538">
        <v>49.953468323000003</v>
      </c>
      <c r="G1538">
        <v>1297.8394774999999</v>
      </c>
      <c r="H1538">
        <v>1285.3028564000001</v>
      </c>
      <c r="I1538">
        <v>1380.5001221</v>
      </c>
      <c r="J1538">
        <v>1365.5073242000001</v>
      </c>
      <c r="K1538">
        <v>0</v>
      </c>
      <c r="L1538">
        <v>1825</v>
      </c>
      <c r="M1538">
        <v>1825</v>
      </c>
      <c r="N1538">
        <v>0</v>
      </c>
    </row>
    <row r="1539" spans="1:14" x14ac:dyDescent="0.25">
      <c r="A1539">
        <v>1023.8238260000001</v>
      </c>
      <c r="B1539" s="1">
        <f>DATE(2013,2,17) + TIME(19,46,18)</f>
        <v>41322.823819444442</v>
      </c>
      <c r="C1539">
        <v>80</v>
      </c>
      <c r="D1539">
        <v>67.002952575999998</v>
      </c>
      <c r="E1539">
        <v>50</v>
      </c>
      <c r="F1539">
        <v>49.960762023999997</v>
      </c>
      <c r="G1539">
        <v>1297.5303954999999</v>
      </c>
      <c r="H1539">
        <v>1284.8636475000001</v>
      </c>
      <c r="I1539">
        <v>1380.4595947</v>
      </c>
      <c r="J1539">
        <v>1365.4705810999999</v>
      </c>
      <c r="K1539">
        <v>0</v>
      </c>
      <c r="L1539">
        <v>1825</v>
      </c>
      <c r="M1539">
        <v>1825</v>
      </c>
      <c r="N1539">
        <v>0</v>
      </c>
    </row>
    <row r="1540" spans="1:14" x14ac:dyDescent="0.25">
      <c r="A1540">
        <v>1026.593218</v>
      </c>
      <c r="B1540" s="1">
        <f>DATE(2013,2,20) + TIME(14,14,14)</f>
        <v>41325.593217592592</v>
      </c>
      <c r="C1540">
        <v>80</v>
      </c>
      <c r="D1540">
        <v>66.583938599000007</v>
      </c>
      <c r="E1540">
        <v>50</v>
      </c>
      <c r="F1540">
        <v>49.962871552000003</v>
      </c>
      <c r="G1540">
        <v>1297.2034911999999</v>
      </c>
      <c r="H1540">
        <v>1284.3887939000001</v>
      </c>
      <c r="I1540">
        <v>1380.4200439000001</v>
      </c>
      <c r="J1540">
        <v>1365.4349365</v>
      </c>
      <c r="K1540">
        <v>0</v>
      </c>
      <c r="L1540">
        <v>1825</v>
      </c>
      <c r="M1540">
        <v>1825</v>
      </c>
      <c r="N1540">
        <v>0</v>
      </c>
    </row>
    <row r="1541" spans="1:14" x14ac:dyDescent="0.25">
      <c r="A1541">
        <v>1029.4089690000001</v>
      </c>
      <c r="B1541" s="1">
        <f>DATE(2013,2,23) + TIME(9,48,54)</f>
        <v>41328.408958333333</v>
      </c>
      <c r="C1541">
        <v>80</v>
      </c>
      <c r="D1541">
        <v>66.139060974000003</v>
      </c>
      <c r="E1541">
        <v>50</v>
      </c>
      <c r="F1541">
        <v>49.963512420999997</v>
      </c>
      <c r="G1541">
        <v>1296.8670654</v>
      </c>
      <c r="H1541">
        <v>1283.8964844</v>
      </c>
      <c r="I1541">
        <v>1380.3806152</v>
      </c>
      <c r="J1541">
        <v>1365.3997803</v>
      </c>
      <c r="K1541">
        <v>0</v>
      </c>
      <c r="L1541">
        <v>1825</v>
      </c>
      <c r="M1541">
        <v>1825</v>
      </c>
      <c r="N1541">
        <v>0</v>
      </c>
    </row>
    <row r="1542" spans="1:14" x14ac:dyDescent="0.25">
      <c r="A1542">
        <v>1032.2763649999999</v>
      </c>
      <c r="B1542" s="1">
        <f>DATE(2013,2,26) + TIME(6,37,57)</f>
        <v>41331.276354166665</v>
      </c>
      <c r="C1542">
        <v>80</v>
      </c>
      <c r="D1542">
        <v>65.671737671000002</v>
      </c>
      <c r="E1542">
        <v>50</v>
      </c>
      <c r="F1542">
        <v>49.963737488</v>
      </c>
      <c r="G1542">
        <v>1296.5236815999999</v>
      </c>
      <c r="H1542">
        <v>1283.3913574000001</v>
      </c>
      <c r="I1542">
        <v>1380.3413086</v>
      </c>
      <c r="J1542">
        <v>1365.364624</v>
      </c>
      <c r="K1542">
        <v>0</v>
      </c>
      <c r="L1542">
        <v>1825</v>
      </c>
      <c r="M1542">
        <v>1825</v>
      </c>
      <c r="N1542">
        <v>0</v>
      </c>
    </row>
    <row r="1543" spans="1:14" x14ac:dyDescent="0.25">
      <c r="A1543">
        <v>1035.184996</v>
      </c>
      <c r="B1543" s="1">
        <f>DATE(2013,3,1) + TIME(4,26,23)</f>
        <v>41334.184988425928</v>
      </c>
      <c r="C1543">
        <v>80</v>
      </c>
      <c r="D1543">
        <v>65.182655334000003</v>
      </c>
      <c r="E1543">
        <v>50</v>
      </c>
      <c r="F1543">
        <v>49.963848114000001</v>
      </c>
      <c r="G1543">
        <v>1296.1735839999999</v>
      </c>
      <c r="H1543">
        <v>1282.8746338000001</v>
      </c>
      <c r="I1543">
        <v>1380.3020019999999</v>
      </c>
      <c r="J1543">
        <v>1365.3295897999999</v>
      </c>
      <c r="K1543">
        <v>0</v>
      </c>
      <c r="L1543">
        <v>1825</v>
      </c>
      <c r="M1543">
        <v>1825</v>
      </c>
      <c r="N1543">
        <v>0</v>
      </c>
    </row>
    <row r="1544" spans="1:14" x14ac:dyDescent="0.25">
      <c r="A1544">
        <v>1038.135902</v>
      </c>
      <c r="B1544" s="1">
        <f>DATE(2013,3,4) + TIME(3,15,41)</f>
        <v>41337.135891203703</v>
      </c>
      <c r="C1544">
        <v>80</v>
      </c>
      <c r="D1544">
        <v>64.672851562000005</v>
      </c>
      <c r="E1544">
        <v>50</v>
      </c>
      <c r="F1544">
        <v>49.963928223000003</v>
      </c>
      <c r="G1544">
        <v>1295.8184814000001</v>
      </c>
      <c r="H1544">
        <v>1282.3482666</v>
      </c>
      <c r="I1544">
        <v>1380.2625731999999</v>
      </c>
      <c r="J1544">
        <v>1365.2944336</v>
      </c>
      <c r="K1544">
        <v>0</v>
      </c>
      <c r="L1544">
        <v>1825</v>
      </c>
      <c r="M1544">
        <v>1825</v>
      </c>
      <c r="N1544">
        <v>0</v>
      </c>
    </row>
    <row r="1545" spans="1:14" x14ac:dyDescent="0.25">
      <c r="A1545">
        <v>1041.1348379999999</v>
      </c>
      <c r="B1545" s="1">
        <f>DATE(2013,3,7) + TIME(3,14,10)</f>
        <v>41340.134837962964</v>
      </c>
      <c r="C1545">
        <v>80</v>
      </c>
      <c r="D1545">
        <v>64.142196655000006</v>
      </c>
      <c r="E1545">
        <v>50</v>
      </c>
      <c r="F1545">
        <v>49.964000702</v>
      </c>
      <c r="G1545">
        <v>1295.4586182</v>
      </c>
      <c r="H1545">
        <v>1281.8127440999999</v>
      </c>
      <c r="I1545">
        <v>1380.2231445</v>
      </c>
      <c r="J1545">
        <v>1365.2593993999999</v>
      </c>
      <c r="K1545">
        <v>0</v>
      </c>
      <c r="L1545">
        <v>1825</v>
      </c>
      <c r="M1545">
        <v>1825</v>
      </c>
      <c r="N1545">
        <v>0</v>
      </c>
    </row>
    <row r="1546" spans="1:14" x14ac:dyDescent="0.25">
      <c r="A1546">
        <v>1044.1876850000001</v>
      </c>
      <c r="B1546" s="1">
        <f>DATE(2013,3,10) + TIME(4,30,16)</f>
        <v>41343.187685185185</v>
      </c>
      <c r="C1546">
        <v>80</v>
      </c>
      <c r="D1546">
        <v>63.589817046999997</v>
      </c>
      <c r="E1546">
        <v>50</v>
      </c>
      <c r="F1546">
        <v>49.964069365999997</v>
      </c>
      <c r="G1546">
        <v>1295.09375</v>
      </c>
      <c r="H1546">
        <v>1281.2677002</v>
      </c>
      <c r="I1546">
        <v>1380.1834716999999</v>
      </c>
      <c r="J1546">
        <v>1365.2241211</v>
      </c>
      <c r="K1546">
        <v>0</v>
      </c>
      <c r="L1546">
        <v>1825</v>
      </c>
      <c r="M1546">
        <v>1825</v>
      </c>
      <c r="N1546">
        <v>0</v>
      </c>
    </row>
    <row r="1547" spans="1:14" x14ac:dyDescent="0.25">
      <c r="A1547">
        <v>1047.290215</v>
      </c>
      <c r="B1547" s="1">
        <f>DATE(2013,3,13) + TIME(6,57,54)</f>
        <v>41346.290208333332</v>
      </c>
      <c r="C1547">
        <v>80</v>
      </c>
      <c r="D1547">
        <v>63.015228270999998</v>
      </c>
      <c r="E1547">
        <v>50</v>
      </c>
      <c r="F1547">
        <v>49.964141845999997</v>
      </c>
      <c r="G1547">
        <v>1294.7236327999999</v>
      </c>
      <c r="H1547">
        <v>1280.7126464999999</v>
      </c>
      <c r="I1547">
        <v>1380.1436768000001</v>
      </c>
      <c r="J1547">
        <v>1365.1885986</v>
      </c>
      <c r="K1547">
        <v>0</v>
      </c>
      <c r="L1547">
        <v>1825</v>
      </c>
      <c r="M1547">
        <v>1825</v>
      </c>
      <c r="N1547">
        <v>0</v>
      </c>
    </row>
    <row r="1548" spans="1:14" x14ac:dyDescent="0.25">
      <c r="A1548">
        <v>1050.4347640000001</v>
      </c>
      <c r="B1548" s="1">
        <f>DATE(2013,3,16) + TIME(10,26,3)</f>
        <v>41349.434756944444</v>
      </c>
      <c r="C1548">
        <v>80</v>
      </c>
      <c r="D1548">
        <v>62.419353485000002</v>
      </c>
      <c r="E1548">
        <v>50</v>
      </c>
      <c r="F1548">
        <v>49.964210510000001</v>
      </c>
      <c r="G1548">
        <v>1294.3491211</v>
      </c>
      <c r="H1548">
        <v>1280.1486815999999</v>
      </c>
      <c r="I1548">
        <v>1380.1036377</v>
      </c>
      <c r="J1548">
        <v>1365.1529541</v>
      </c>
      <c r="K1548">
        <v>0</v>
      </c>
      <c r="L1548">
        <v>1825</v>
      </c>
      <c r="M1548">
        <v>1825</v>
      </c>
      <c r="N1548">
        <v>0</v>
      </c>
    </row>
    <row r="1549" spans="1:14" x14ac:dyDescent="0.25">
      <c r="A1549">
        <v>1051</v>
      </c>
      <c r="B1549" s="1">
        <f>DATE(2013,3,17) + TIME(0,0,0)</f>
        <v>41350</v>
      </c>
      <c r="C1549">
        <v>80</v>
      </c>
      <c r="D1549">
        <v>62.117458343999999</v>
      </c>
      <c r="E1549">
        <v>50</v>
      </c>
      <c r="F1549">
        <v>49.96421814</v>
      </c>
      <c r="G1549">
        <v>1293.9907227000001</v>
      </c>
      <c r="H1549">
        <v>1279.6785889</v>
      </c>
      <c r="I1549">
        <v>1380.0627440999999</v>
      </c>
      <c r="J1549">
        <v>1365.1163329999999</v>
      </c>
      <c r="K1549">
        <v>0</v>
      </c>
      <c r="L1549">
        <v>1825</v>
      </c>
      <c r="M1549">
        <v>1825</v>
      </c>
      <c r="N1549">
        <v>0</v>
      </c>
    </row>
    <row r="1550" spans="1:14" x14ac:dyDescent="0.25">
      <c r="A1550">
        <v>1051.0000010000001</v>
      </c>
      <c r="B1550" s="1">
        <f>DATE(2013,3,17) + TIME(0,0,0)</f>
        <v>41350</v>
      </c>
      <c r="C1550">
        <v>80</v>
      </c>
      <c r="D1550">
        <v>62.117511749000002</v>
      </c>
      <c r="E1550">
        <v>50</v>
      </c>
      <c r="F1550">
        <v>49.964176178000002</v>
      </c>
      <c r="G1550">
        <v>1294.3823242000001</v>
      </c>
      <c r="H1550">
        <v>1294.3823242000001</v>
      </c>
      <c r="I1550">
        <v>1364.7755127</v>
      </c>
      <c r="J1550">
        <v>1364.7755127</v>
      </c>
      <c r="K1550">
        <v>0</v>
      </c>
      <c r="L1550">
        <v>0</v>
      </c>
      <c r="M1550">
        <v>0</v>
      </c>
      <c r="N1550">
        <v>0</v>
      </c>
    </row>
    <row r="1551" spans="1:14" x14ac:dyDescent="0.25">
      <c r="A1551">
        <v>1051.000004</v>
      </c>
      <c r="B1551" s="1">
        <f>DATE(2013,3,17) + TIME(0,0,0)</f>
        <v>41350</v>
      </c>
      <c r="C1551">
        <v>80</v>
      </c>
      <c r="D1551">
        <v>62.117645263999997</v>
      </c>
      <c r="E1551">
        <v>50</v>
      </c>
      <c r="F1551">
        <v>49.964061737000002</v>
      </c>
      <c r="G1551">
        <v>1295.4055175999999</v>
      </c>
      <c r="H1551">
        <v>1295.4055175999999</v>
      </c>
      <c r="I1551">
        <v>1363.8664550999999</v>
      </c>
      <c r="J1551">
        <v>1363.8664550999999</v>
      </c>
      <c r="K1551">
        <v>0</v>
      </c>
      <c r="L1551">
        <v>0</v>
      </c>
      <c r="M1551">
        <v>0</v>
      </c>
      <c r="N1551">
        <v>0</v>
      </c>
    </row>
    <row r="1552" spans="1:14" x14ac:dyDescent="0.25">
      <c r="A1552">
        <v>1051.0000130000001</v>
      </c>
      <c r="B1552" s="1">
        <f>DATE(2013,3,17) + TIME(0,0,1)</f>
        <v>41350.000011574077</v>
      </c>
      <c r="C1552">
        <v>80</v>
      </c>
      <c r="D1552">
        <v>62.117935181</v>
      </c>
      <c r="E1552">
        <v>50</v>
      </c>
      <c r="F1552">
        <v>49.963802338000001</v>
      </c>
      <c r="G1552">
        <v>1297.6079102000001</v>
      </c>
      <c r="H1552">
        <v>1297.6079102000001</v>
      </c>
      <c r="I1552">
        <v>1361.8271483999999</v>
      </c>
      <c r="J1552">
        <v>1361.8271483999999</v>
      </c>
      <c r="K1552">
        <v>0</v>
      </c>
      <c r="L1552">
        <v>0</v>
      </c>
      <c r="M1552">
        <v>0</v>
      </c>
      <c r="N1552">
        <v>0</v>
      </c>
    </row>
    <row r="1553" spans="1:14" x14ac:dyDescent="0.25">
      <c r="A1553">
        <v>1051.0000399999999</v>
      </c>
      <c r="B1553" s="1">
        <f>DATE(2013,3,17) + TIME(0,0,3)</f>
        <v>41350.000034722223</v>
      </c>
      <c r="C1553">
        <v>80</v>
      </c>
      <c r="D1553">
        <v>62.118389129999997</v>
      </c>
      <c r="E1553">
        <v>50</v>
      </c>
      <c r="F1553">
        <v>49.963375092</v>
      </c>
      <c r="G1553">
        <v>1301.0893555</v>
      </c>
      <c r="H1553">
        <v>1301.0893555</v>
      </c>
      <c r="I1553">
        <v>1358.4197998</v>
      </c>
      <c r="J1553">
        <v>1358.4197998</v>
      </c>
      <c r="K1553">
        <v>0</v>
      </c>
      <c r="L1553">
        <v>0</v>
      </c>
      <c r="M1553">
        <v>0</v>
      </c>
      <c r="N1553">
        <v>0</v>
      </c>
    </row>
    <row r="1554" spans="1:14" x14ac:dyDescent="0.25">
      <c r="A1554">
        <v>1051.000121</v>
      </c>
      <c r="B1554" s="1">
        <f>DATE(2013,3,17) + TIME(0,0,10)</f>
        <v>41350.000115740739</v>
      </c>
      <c r="C1554">
        <v>80</v>
      </c>
      <c r="D1554">
        <v>62.118919372999997</v>
      </c>
      <c r="E1554">
        <v>50</v>
      </c>
      <c r="F1554">
        <v>49.962848663000003</v>
      </c>
      <c r="G1554">
        <v>1305.1784668</v>
      </c>
      <c r="H1554">
        <v>1305.1784668</v>
      </c>
      <c r="I1554">
        <v>1354.2611084</v>
      </c>
      <c r="J1554">
        <v>1354.2611084</v>
      </c>
      <c r="K1554">
        <v>0</v>
      </c>
      <c r="L1554">
        <v>0</v>
      </c>
      <c r="M1554">
        <v>0</v>
      </c>
      <c r="N1554">
        <v>0</v>
      </c>
    </row>
    <row r="1555" spans="1:14" x14ac:dyDescent="0.25">
      <c r="A1555">
        <v>1051.000364</v>
      </c>
      <c r="B1555" s="1">
        <f>DATE(2013,3,17) + TIME(0,0,31)</f>
        <v>41350.000358796293</v>
      </c>
      <c r="C1555">
        <v>80</v>
      </c>
      <c r="D1555">
        <v>62.119457245</v>
      </c>
      <c r="E1555">
        <v>50</v>
      </c>
      <c r="F1555">
        <v>49.962299346999998</v>
      </c>
      <c r="G1555">
        <v>1309.3858643000001</v>
      </c>
      <c r="H1555">
        <v>1309.3858643000001</v>
      </c>
      <c r="I1555">
        <v>1349.9803466999999</v>
      </c>
      <c r="J1555">
        <v>1349.9803466999999</v>
      </c>
      <c r="K1555">
        <v>0</v>
      </c>
      <c r="L1555">
        <v>0</v>
      </c>
      <c r="M1555">
        <v>0</v>
      </c>
      <c r="N1555">
        <v>0</v>
      </c>
    </row>
    <row r="1556" spans="1:14" x14ac:dyDescent="0.25">
      <c r="A1556">
        <v>1051.0010930000001</v>
      </c>
      <c r="B1556" s="1">
        <f>DATE(2013,3,17) + TIME(0,1,34)</f>
        <v>41350.001087962963</v>
      </c>
      <c r="C1556">
        <v>80</v>
      </c>
      <c r="D1556">
        <v>62.119995117000002</v>
      </c>
      <c r="E1556">
        <v>50</v>
      </c>
      <c r="F1556">
        <v>49.961734772</v>
      </c>
      <c r="G1556">
        <v>1313.7490233999999</v>
      </c>
      <c r="H1556">
        <v>1313.7490233999999</v>
      </c>
      <c r="I1556">
        <v>1345.6967772999999</v>
      </c>
      <c r="J1556">
        <v>1345.6967772999999</v>
      </c>
      <c r="K1556">
        <v>0</v>
      </c>
      <c r="L1556">
        <v>0</v>
      </c>
      <c r="M1556">
        <v>0</v>
      </c>
      <c r="N1556">
        <v>0</v>
      </c>
    </row>
    <row r="1557" spans="1:14" x14ac:dyDescent="0.25">
      <c r="A1557">
        <v>1051.0032799999999</v>
      </c>
      <c r="B1557" s="1">
        <f>DATE(2013,3,17) + TIME(0,4,43)</f>
        <v>41350.003275462965</v>
      </c>
      <c r="C1557">
        <v>80</v>
      </c>
      <c r="D1557">
        <v>62.120513916</v>
      </c>
      <c r="E1557">
        <v>50</v>
      </c>
      <c r="F1557">
        <v>49.961109161000003</v>
      </c>
      <c r="G1557">
        <v>1318.5178223</v>
      </c>
      <c r="H1557">
        <v>1318.5178223</v>
      </c>
      <c r="I1557">
        <v>1341.3128661999999</v>
      </c>
      <c r="J1557">
        <v>1341.3128661999999</v>
      </c>
      <c r="K1557">
        <v>0</v>
      </c>
      <c r="L1557">
        <v>0</v>
      </c>
      <c r="M1557">
        <v>0</v>
      </c>
      <c r="N1557">
        <v>0</v>
      </c>
    </row>
    <row r="1558" spans="1:14" x14ac:dyDescent="0.25">
      <c r="A1558">
        <v>1051.0098410000001</v>
      </c>
      <c r="B1558" s="1">
        <f>DATE(2013,3,17) + TIME(0,14,10)</f>
        <v>41350.009837962964</v>
      </c>
      <c r="C1558">
        <v>80</v>
      </c>
      <c r="D1558">
        <v>62.120918273999997</v>
      </c>
      <c r="E1558">
        <v>50</v>
      </c>
      <c r="F1558">
        <v>49.960319519000002</v>
      </c>
      <c r="G1558">
        <v>1323.5872803</v>
      </c>
      <c r="H1558">
        <v>1323.5872803</v>
      </c>
      <c r="I1558">
        <v>1336.8415527</v>
      </c>
      <c r="J1558">
        <v>1336.8415527</v>
      </c>
      <c r="K1558">
        <v>0</v>
      </c>
      <c r="L1558">
        <v>0</v>
      </c>
      <c r="M1558">
        <v>0</v>
      </c>
      <c r="N1558">
        <v>0</v>
      </c>
    </row>
    <row r="1559" spans="1:14" x14ac:dyDescent="0.25">
      <c r="A1559">
        <v>1051.029524</v>
      </c>
      <c r="B1559" s="1">
        <f>DATE(2013,3,17) + TIME(0,42,30)</f>
        <v>41350.029513888891</v>
      </c>
      <c r="C1559">
        <v>80</v>
      </c>
      <c r="D1559">
        <v>62.120960236000002</v>
      </c>
      <c r="E1559">
        <v>50</v>
      </c>
      <c r="F1559">
        <v>49.959190368999998</v>
      </c>
      <c r="G1559">
        <v>1327.885376</v>
      </c>
      <c r="H1559">
        <v>1327.885376</v>
      </c>
      <c r="I1559">
        <v>1333.1192627</v>
      </c>
      <c r="J1559">
        <v>1333.1192627</v>
      </c>
      <c r="K1559">
        <v>0</v>
      </c>
      <c r="L1559">
        <v>0</v>
      </c>
      <c r="M1559">
        <v>0</v>
      </c>
      <c r="N1559">
        <v>0</v>
      </c>
    </row>
    <row r="1560" spans="1:14" x14ac:dyDescent="0.25">
      <c r="A1560">
        <v>1051.088573</v>
      </c>
      <c r="B1560" s="1">
        <f>DATE(2013,3,17) + TIME(2,7,32)</f>
        <v>41350.088564814818</v>
      </c>
      <c r="C1560">
        <v>80</v>
      </c>
      <c r="D1560">
        <v>62.120216370000001</v>
      </c>
      <c r="E1560">
        <v>50</v>
      </c>
      <c r="F1560">
        <v>49.957004546999997</v>
      </c>
      <c r="G1560">
        <v>1330.2408447</v>
      </c>
      <c r="H1560">
        <v>1330.2408447</v>
      </c>
      <c r="I1560">
        <v>1331.3542480000001</v>
      </c>
      <c r="J1560">
        <v>1331.3542480000001</v>
      </c>
      <c r="K1560">
        <v>0</v>
      </c>
      <c r="L1560">
        <v>0</v>
      </c>
      <c r="M1560">
        <v>0</v>
      </c>
      <c r="N1560">
        <v>0</v>
      </c>
    </row>
    <row r="1561" spans="1:14" x14ac:dyDescent="0.25">
      <c r="A1561">
        <v>1051.2657200000001</v>
      </c>
      <c r="B1561" s="1">
        <f>DATE(2013,3,17) + TIME(6,22,38)</f>
        <v>41350.265717592592</v>
      </c>
      <c r="C1561">
        <v>80</v>
      </c>
      <c r="D1561">
        <v>62.117424010999997</v>
      </c>
      <c r="E1561">
        <v>50</v>
      </c>
      <c r="F1561">
        <v>49.951072693</v>
      </c>
      <c r="G1561">
        <v>1330.9155272999999</v>
      </c>
      <c r="H1561">
        <v>1330.9155272999999</v>
      </c>
      <c r="I1561">
        <v>1331.0565185999999</v>
      </c>
      <c r="J1561">
        <v>1331.0565185999999</v>
      </c>
      <c r="K1561">
        <v>0</v>
      </c>
      <c r="L1561">
        <v>0</v>
      </c>
      <c r="M1561">
        <v>0</v>
      </c>
      <c r="N1561">
        <v>0</v>
      </c>
    </row>
    <row r="1562" spans="1:14" x14ac:dyDescent="0.25">
      <c r="A1562">
        <v>1051.797161</v>
      </c>
      <c r="B1562" s="1">
        <f>DATE(2013,3,17) + TIME(19,7,54)</f>
        <v>41350.797152777777</v>
      </c>
      <c r="C1562">
        <v>80</v>
      </c>
      <c r="D1562">
        <v>62.108776093000003</v>
      </c>
      <c r="E1562">
        <v>50</v>
      </c>
      <c r="F1562">
        <v>49.933448792</v>
      </c>
      <c r="G1562">
        <v>1331.0029297000001</v>
      </c>
      <c r="H1562">
        <v>1331.0029297000001</v>
      </c>
      <c r="I1562">
        <v>1331.0557861</v>
      </c>
      <c r="J1562">
        <v>1331.0557861</v>
      </c>
      <c r="K1562">
        <v>0</v>
      </c>
      <c r="L1562">
        <v>0</v>
      </c>
      <c r="M1562">
        <v>0</v>
      </c>
      <c r="N1562">
        <v>0</v>
      </c>
    </row>
    <row r="1563" spans="1:14" x14ac:dyDescent="0.25">
      <c r="A1563">
        <v>1053.391484</v>
      </c>
      <c r="B1563" s="1">
        <f>DATE(2013,3,19) + TIME(9,23,44)</f>
        <v>41352.391481481478</v>
      </c>
      <c r="C1563">
        <v>80</v>
      </c>
      <c r="D1563">
        <v>62.082679749</v>
      </c>
      <c r="E1563">
        <v>50</v>
      </c>
      <c r="F1563">
        <v>49.881072998</v>
      </c>
      <c r="G1563">
        <v>1331.0070800999999</v>
      </c>
      <c r="H1563">
        <v>1331.0070800999999</v>
      </c>
      <c r="I1563">
        <v>1331.0573730000001</v>
      </c>
      <c r="J1563">
        <v>1331.0573730000001</v>
      </c>
      <c r="K1563">
        <v>0</v>
      </c>
      <c r="L1563">
        <v>0</v>
      </c>
      <c r="M1563">
        <v>0</v>
      </c>
      <c r="N1563">
        <v>0</v>
      </c>
    </row>
    <row r="1564" spans="1:14" x14ac:dyDescent="0.25">
      <c r="A1564">
        <v>1056</v>
      </c>
      <c r="B1564" s="1">
        <f>DATE(2013,3,22) + TIME(0,0,0)</f>
        <v>41355</v>
      </c>
      <c r="C1564">
        <v>80</v>
      </c>
      <c r="D1564">
        <v>62.039699554000002</v>
      </c>
      <c r="E1564">
        <v>50</v>
      </c>
      <c r="F1564">
        <v>49.796661377</v>
      </c>
      <c r="G1564">
        <v>1331.0057373</v>
      </c>
      <c r="H1564">
        <v>1331.0057373</v>
      </c>
      <c r="I1564">
        <v>1331.0568848</v>
      </c>
      <c r="J1564">
        <v>1331.0568848</v>
      </c>
      <c r="K1564">
        <v>0</v>
      </c>
      <c r="L1564">
        <v>0</v>
      </c>
      <c r="M1564">
        <v>0</v>
      </c>
      <c r="N1564">
        <v>0</v>
      </c>
    </row>
    <row r="1565" spans="1:14" x14ac:dyDescent="0.25">
      <c r="A1565">
        <v>1056.0000010000001</v>
      </c>
      <c r="B1565" s="1">
        <f>DATE(2013,3,22) + TIME(0,0,0)</f>
        <v>41355</v>
      </c>
      <c r="C1565">
        <v>80</v>
      </c>
      <c r="D1565">
        <v>62.039649963000002</v>
      </c>
      <c r="E1565">
        <v>50</v>
      </c>
      <c r="F1565">
        <v>49.796707153</v>
      </c>
      <c r="G1565">
        <v>1330.6324463000001</v>
      </c>
      <c r="H1565">
        <v>1316.9968262</v>
      </c>
      <c r="I1565">
        <v>1346.7034911999999</v>
      </c>
      <c r="J1565">
        <v>1331.4049072</v>
      </c>
      <c r="K1565">
        <v>0</v>
      </c>
      <c r="L1565">
        <v>1825</v>
      </c>
      <c r="M1565">
        <v>1825</v>
      </c>
      <c r="N1565">
        <v>0</v>
      </c>
    </row>
    <row r="1566" spans="1:14" x14ac:dyDescent="0.25">
      <c r="A1566">
        <v>1056.000004</v>
      </c>
      <c r="B1566" s="1">
        <f>DATE(2013,3,22) + TIME(0,0,0)</f>
        <v>41355</v>
      </c>
      <c r="C1566">
        <v>80</v>
      </c>
      <c r="D1566">
        <v>62.039520263999997</v>
      </c>
      <c r="E1566">
        <v>50</v>
      </c>
      <c r="F1566">
        <v>49.796825409</v>
      </c>
      <c r="G1566">
        <v>1329.6618652</v>
      </c>
      <c r="H1566">
        <v>1316.0925293</v>
      </c>
      <c r="I1566">
        <v>1347.5906981999999</v>
      </c>
      <c r="J1566">
        <v>1332.3306885</v>
      </c>
      <c r="K1566">
        <v>0</v>
      </c>
      <c r="L1566">
        <v>1825</v>
      </c>
      <c r="M1566">
        <v>1825</v>
      </c>
      <c r="N1566">
        <v>0</v>
      </c>
    </row>
    <row r="1567" spans="1:14" x14ac:dyDescent="0.25">
      <c r="A1567">
        <v>1056.0000130000001</v>
      </c>
      <c r="B1567" s="1">
        <f>DATE(2013,3,22) + TIME(0,0,1)</f>
        <v>41355.000011574077</v>
      </c>
      <c r="C1567">
        <v>80</v>
      </c>
      <c r="D1567">
        <v>62.039245604999998</v>
      </c>
      <c r="E1567">
        <v>50</v>
      </c>
      <c r="F1567">
        <v>49.797084808000001</v>
      </c>
      <c r="G1567">
        <v>1327.5823975000001</v>
      </c>
      <c r="H1567">
        <v>1314.0714111</v>
      </c>
      <c r="I1567">
        <v>1349.5806885</v>
      </c>
      <c r="J1567">
        <v>1334.3968506000001</v>
      </c>
      <c r="K1567">
        <v>0</v>
      </c>
      <c r="L1567">
        <v>1825</v>
      </c>
      <c r="M1567">
        <v>1825</v>
      </c>
      <c r="N1567">
        <v>0</v>
      </c>
    </row>
    <row r="1568" spans="1:14" x14ac:dyDescent="0.25">
      <c r="A1568">
        <v>1056.0000399999999</v>
      </c>
      <c r="B1568" s="1">
        <f>DATE(2013,3,22) + TIME(0,0,3)</f>
        <v>41355.000034722223</v>
      </c>
      <c r="C1568">
        <v>80</v>
      </c>
      <c r="D1568">
        <v>62.038791656000001</v>
      </c>
      <c r="E1568">
        <v>50</v>
      </c>
      <c r="F1568">
        <v>49.797519684000001</v>
      </c>
      <c r="G1568">
        <v>1324.2672118999999</v>
      </c>
      <c r="H1568">
        <v>1310.6856689000001</v>
      </c>
      <c r="I1568">
        <v>1352.9060059000001</v>
      </c>
      <c r="J1568">
        <v>1337.8203125</v>
      </c>
      <c r="K1568">
        <v>0</v>
      </c>
      <c r="L1568">
        <v>1825</v>
      </c>
      <c r="M1568">
        <v>1825</v>
      </c>
      <c r="N1568">
        <v>0</v>
      </c>
    </row>
    <row r="1569" spans="1:14" x14ac:dyDescent="0.25">
      <c r="A1569">
        <v>1056.000121</v>
      </c>
      <c r="B1569" s="1">
        <f>DATE(2013,3,22) + TIME(0,0,10)</f>
        <v>41355.000115740739</v>
      </c>
      <c r="C1569">
        <v>80</v>
      </c>
      <c r="D1569">
        <v>62.038219452</v>
      </c>
      <c r="E1569">
        <v>50</v>
      </c>
      <c r="F1569">
        <v>49.798053740999997</v>
      </c>
      <c r="G1569">
        <v>1320.2633057</v>
      </c>
      <c r="H1569">
        <v>1306.5017089999999</v>
      </c>
      <c r="I1569">
        <v>1356.9642334</v>
      </c>
      <c r="J1569">
        <v>1341.9609375</v>
      </c>
      <c r="K1569">
        <v>0</v>
      </c>
      <c r="L1569">
        <v>1825</v>
      </c>
      <c r="M1569">
        <v>1825</v>
      </c>
      <c r="N1569">
        <v>0</v>
      </c>
    </row>
    <row r="1570" spans="1:14" x14ac:dyDescent="0.25">
      <c r="A1570">
        <v>1056.000364</v>
      </c>
      <c r="B1570" s="1">
        <f>DATE(2013,3,22) + TIME(0,0,31)</f>
        <v>41355.000358796293</v>
      </c>
      <c r="C1570">
        <v>80</v>
      </c>
      <c r="D1570">
        <v>62.037521362</v>
      </c>
      <c r="E1570">
        <v>50</v>
      </c>
      <c r="F1570">
        <v>49.798625946000001</v>
      </c>
      <c r="G1570">
        <v>1316.0314940999999</v>
      </c>
      <c r="H1570">
        <v>1302.1031493999999</v>
      </c>
      <c r="I1570">
        <v>1361.1419678</v>
      </c>
      <c r="J1570">
        <v>1346.1966553</v>
      </c>
      <c r="K1570">
        <v>0</v>
      </c>
      <c r="L1570">
        <v>1825</v>
      </c>
      <c r="M1570">
        <v>1825</v>
      </c>
      <c r="N1570">
        <v>0</v>
      </c>
    </row>
    <row r="1571" spans="1:14" x14ac:dyDescent="0.25">
      <c r="A1571">
        <v>1056.0010930000001</v>
      </c>
      <c r="B1571" s="1">
        <f>DATE(2013,3,22) + TIME(0,1,34)</f>
        <v>41355.001087962963</v>
      </c>
      <c r="C1571">
        <v>80</v>
      </c>
      <c r="D1571">
        <v>62.036502837999997</v>
      </c>
      <c r="E1571">
        <v>50</v>
      </c>
      <c r="F1571">
        <v>49.799270630000002</v>
      </c>
      <c r="G1571">
        <v>1311.5717772999999</v>
      </c>
      <c r="H1571">
        <v>1297.5041504000001</v>
      </c>
      <c r="I1571">
        <v>1365.3371582</v>
      </c>
      <c r="J1571">
        <v>1350.4291992000001</v>
      </c>
      <c r="K1571">
        <v>0</v>
      </c>
      <c r="L1571">
        <v>1825</v>
      </c>
      <c r="M1571">
        <v>1825</v>
      </c>
      <c r="N1571">
        <v>0</v>
      </c>
    </row>
    <row r="1572" spans="1:14" x14ac:dyDescent="0.25">
      <c r="A1572">
        <v>1056.0032799999999</v>
      </c>
      <c r="B1572" s="1">
        <f>DATE(2013,3,22) + TIME(0,4,43)</f>
        <v>41355.003275462965</v>
      </c>
      <c r="C1572">
        <v>80</v>
      </c>
      <c r="D1572">
        <v>62.034545897999998</v>
      </c>
      <c r="E1572">
        <v>50</v>
      </c>
      <c r="F1572">
        <v>49.800151825</v>
      </c>
      <c r="G1572">
        <v>1306.6639404</v>
      </c>
      <c r="H1572">
        <v>1292.4786377</v>
      </c>
      <c r="I1572">
        <v>1369.6926269999999</v>
      </c>
      <c r="J1572">
        <v>1354.7919922000001</v>
      </c>
      <c r="K1572">
        <v>0</v>
      </c>
      <c r="L1572">
        <v>1825</v>
      </c>
      <c r="M1572">
        <v>1825</v>
      </c>
      <c r="N1572">
        <v>0</v>
      </c>
    </row>
    <row r="1573" spans="1:14" x14ac:dyDescent="0.25">
      <c r="A1573">
        <v>1056.0098410000001</v>
      </c>
      <c r="B1573" s="1">
        <f>DATE(2013,3,22) + TIME(0,14,10)</f>
        <v>41355.009837962964</v>
      </c>
      <c r="C1573">
        <v>80</v>
      </c>
      <c r="D1573">
        <v>62.029857634999999</v>
      </c>
      <c r="E1573">
        <v>50</v>
      </c>
      <c r="F1573">
        <v>49.801712035999998</v>
      </c>
      <c r="G1573">
        <v>1301.453125</v>
      </c>
      <c r="H1573">
        <v>1287.1794434000001</v>
      </c>
      <c r="I1573">
        <v>1374.2120361</v>
      </c>
      <c r="J1573">
        <v>1359.2904053</v>
      </c>
      <c r="K1573">
        <v>0</v>
      </c>
      <c r="L1573">
        <v>1825</v>
      </c>
      <c r="M1573">
        <v>1825</v>
      </c>
      <c r="N1573">
        <v>0</v>
      </c>
    </row>
    <row r="1574" spans="1:14" x14ac:dyDescent="0.25">
      <c r="A1574">
        <v>1056.029524</v>
      </c>
      <c r="B1574" s="1">
        <f>DATE(2013,3,22) + TIME(0,42,30)</f>
        <v>41355.029513888891</v>
      </c>
      <c r="C1574">
        <v>80</v>
      </c>
      <c r="D1574">
        <v>62.017105102999999</v>
      </c>
      <c r="E1574">
        <v>50</v>
      </c>
      <c r="F1574">
        <v>49.805107116999999</v>
      </c>
      <c r="G1574">
        <v>1297.0581055</v>
      </c>
      <c r="H1574">
        <v>1282.7304687999999</v>
      </c>
      <c r="I1574">
        <v>1377.9890137</v>
      </c>
      <c r="J1574">
        <v>1363.0457764</v>
      </c>
      <c r="K1574">
        <v>0</v>
      </c>
      <c r="L1574">
        <v>1825</v>
      </c>
      <c r="M1574">
        <v>1825</v>
      </c>
      <c r="N1574">
        <v>0</v>
      </c>
    </row>
    <row r="1575" spans="1:14" x14ac:dyDescent="0.25">
      <c r="A1575">
        <v>1056.088573</v>
      </c>
      <c r="B1575" s="1">
        <f>DATE(2013,3,22) + TIME(2,7,32)</f>
        <v>41355.088564814818</v>
      </c>
      <c r="C1575">
        <v>80</v>
      </c>
      <c r="D1575">
        <v>61.981506348000003</v>
      </c>
      <c r="E1575">
        <v>50</v>
      </c>
      <c r="F1575">
        <v>49.813636780000003</v>
      </c>
      <c r="G1575">
        <v>1294.6624756000001</v>
      </c>
      <c r="H1575">
        <v>1280.3063964999999</v>
      </c>
      <c r="I1575">
        <v>1379.7753906</v>
      </c>
      <c r="J1575">
        <v>1364.8238524999999</v>
      </c>
      <c r="K1575">
        <v>0</v>
      </c>
      <c r="L1575">
        <v>1825</v>
      </c>
      <c r="M1575">
        <v>1825</v>
      </c>
      <c r="N1575">
        <v>0</v>
      </c>
    </row>
    <row r="1576" spans="1:14" x14ac:dyDescent="0.25">
      <c r="A1576">
        <v>1056.2657200000001</v>
      </c>
      <c r="B1576" s="1">
        <f>DATE(2013,3,22) + TIME(6,22,38)</f>
        <v>41355.265717592592</v>
      </c>
      <c r="C1576">
        <v>80</v>
      </c>
      <c r="D1576">
        <v>61.890224457000002</v>
      </c>
      <c r="E1576">
        <v>50</v>
      </c>
      <c r="F1576">
        <v>49.835052490000002</v>
      </c>
      <c r="G1576">
        <v>1293.9671631000001</v>
      </c>
      <c r="H1576">
        <v>1279.5826416</v>
      </c>
      <c r="I1576">
        <v>1380.074707</v>
      </c>
      <c r="J1576">
        <v>1365.1234131000001</v>
      </c>
      <c r="K1576">
        <v>0</v>
      </c>
      <c r="L1576">
        <v>1825</v>
      </c>
      <c r="M1576">
        <v>1825</v>
      </c>
      <c r="N1576">
        <v>0</v>
      </c>
    </row>
    <row r="1577" spans="1:14" x14ac:dyDescent="0.25">
      <c r="A1577">
        <v>1056.797161</v>
      </c>
      <c r="B1577" s="1">
        <f>DATE(2013,3,22) + TIME(19,7,54)</f>
        <v>41355.797152777777</v>
      </c>
      <c r="C1577">
        <v>80</v>
      </c>
      <c r="D1577">
        <v>61.703681946000003</v>
      </c>
      <c r="E1577">
        <v>50</v>
      </c>
      <c r="F1577">
        <v>49.877902984999999</v>
      </c>
      <c r="G1577">
        <v>1293.8464355000001</v>
      </c>
      <c r="H1577">
        <v>1279.4095459</v>
      </c>
      <c r="I1577">
        <v>1380.0708007999999</v>
      </c>
      <c r="J1577">
        <v>1365.1232910000001</v>
      </c>
      <c r="K1577">
        <v>0</v>
      </c>
      <c r="L1577">
        <v>1825</v>
      </c>
      <c r="M1577">
        <v>1825</v>
      </c>
      <c r="N1577">
        <v>0</v>
      </c>
    </row>
    <row r="1578" spans="1:14" x14ac:dyDescent="0.25">
      <c r="A1578">
        <v>1058.391484</v>
      </c>
      <c r="B1578" s="1">
        <f>DATE(2013,3,24) + TIME(9,23,44)</f>
        <v>41357.391481481478</v>
      </c>
      <c r="C1578">
        <v>80</v>
      </c>
      <c r="D1578">
        <v>61.430759430000002</v>
      </c>
      <c r="E1578">
        <v>50</v>
      </c>
      <c r="F1578">
        <v>49.929580688000001</v>
      </c>
      <c r="G1578">
        <v>1293.7615966999999</v>
      </c>
      <c r="H1578">
        <v>1279.2432861</v>
      </c>
      <c r="I1578">
        <v>1380.0593262</v>
      </c>
      <c r="J1578">
        <v>1365.1166992000001</v>
      </c>
      <c r="K1578">
        <v>0</v>
      </c>
      <c r="L1578">
        <v>1825</v>
      </c>
      <c r="M1578">
        <v>1825</v>
      </c>
      <c r="N1578">
        <v>0</v>
      </c>
    </row>
    <row r="1579" spans="1:14" x14ac:dyDescent="0.25">
      <c r="A1579">
        <v>1061.663045</v>
      </c>
      <c r="B1579" s="1">
        <f>DATE(2013,3,27) + TIME(15,54,47)</f>
        <v>41360.663043981483</v>
      </c>
      <c r="C1579">
        <v>80</v>
      </c>
      <c r="D1579">
        <v>61.055217743</v>
      </c>
      <c r="E1579">
        <v>50</v>
      </c>
      <c r="F1579">
        <v>49.955886841000002</v>
      </c>
      <c r="G1579">
        <v>1293.5697021000001</v>
      </c>
      <c r="H1579">
        <v>1278.9383545000001</v>
      </c>
      <c r="I1579">
        <v>1380.0373535000001</v>
      </c>
      <c r="J1579">
        <v>1365.0980225000001</v>
      </c>
      <c r="K1579">
        <v>0</v>
      </c>
      <c r="L1579">
        <v>1825</v>
      </c>
      <c r="M1579">
        <v>1825</v>
      </c>
      <c r="N1579">
        <v>0</v>
      </c>
    </row>
    <row r="1580" spans="1:14" x14ac:dyDescent="0.25">
      <c r="A1580">
        <v>1064.955111</v>
      </c>
      <c r="B1580" s="1">
        <f>DATE(2013,3,30) + TIME(22,55,21)</f>
        <v>41363.955104166664</v>
      </c>
      <c r="C1580">
        <v>80</v>
      </c>
      <c r="D1580">
        <v>60.454074859999999</v>
      </c>
      <c r="E1580">
        <v>50</v>
      </c>
      <c r="F1580">
        <v>49.962436676000003</v>
      </c>
      <c r="G1580">
        <v>1293.2058105000001</v>
      </c>
      <c r="H1580">
        <v>1278.4006348</v>
      </c>
      <c r="I1580">
        <v>1379.9943848</v>
      </c>
      <c r="J1580">
        <v>1365.0582274999999</v>
      </c>
      <c r="K1580">
        <v>0</v>
      </c>
      <c r="L1580">
        <v>1825</v>
      </c>
      <c r="M1580">
        <v>1825</v>
      </c>
      <c r="N1580">
        <v>0</v>
      </c>
    </row>
    <row r="1581" spans="1:14" x14ac:dyDescent="0.25">
      <c r="A1581">
        <v>1066</v>
      </c>
      <c r="B1581" s="1">
        <f>DATE(2013,4,1) + TIME(0,0,0)</f>
        <v>41365</v>
      </c>
      <c r="C1581">
        <v>80</v>
      </c>
      <c r="D1581">
        <v>60.005325317</v>
      </c>
      <c r="E1581">
        <v>50</v>
      </c>
      <c r="F1581">
        <v>49.963493346999996</v>
      </c>
      <c r="G1581">
        <v>1292.8364257999999</v>
      </c>
      <c r="H1581">
        <v>1277.8891602000001</v>
      </c>
      <c r="I1581">
        <v>1379.9519043</v>
      </c>
      <c r="J1581">
        <v>1365.0194091999999</v>
      </c>
      <c r="K1581">
        <v>0</v>
      </c>
      <c r="L1581">
        <v>1825</v>
      </c>
      <c r="M1581">
        <v>1825</v>
      </c>
      <c r="N1581">
        <v>0</v>
      </c>
    </row>
    <row r="1582" spans="1:14" x14ac:dyDescent="0.25">
      <c r="A1582">
        <v>1066.0000010000001</v>
      </c>
      <c r="B1582" s="1">
        <f>DATE(2013,4,1) + TIME(0,0,0)</f>
        <v>41365</v>
      </c>
      <c r="C1582">
        <v>80</v>
      </c>
      <c r="D1582">
        <v>60.005374908</v>
      </c>
      <c r="E1582">
        <v>50</v>
      </c>
      <c r="F1582">
        <v>49.963447571000003</v>
      </c>
      <c r="G1582">
        <v>1293.2325439000001</v>
      </c>
      <c r="H1582">
        <v>1293.2325439000001</v>
      </c>
      <c r="I1582">
        <v>1364.6788329999999</v>
      </c>
      <c r="J1582">
        <v>1364.6788329999999</v>
      </c>
      <c r="K1582">
        <v>0</v>
      </c>
      <c r="L1582">
        <v>0</v>
      </c>
      <c r="M1582">
        <v>0</v>
      </c>
      <c r="N1582">
        <v>0</v>
      </c>
    </row>
    <row r="1583" spans="1:14" x14ac:dyDescent="0.25">
      <c r="A1583">
        <v>1066.000004</v>
      </c>
      <c r="B1583" s="1">
        <f>DATE(2013,4,1) + TIME(0,0,0)</f>
        <v>41365</v>
      </c>
      <c r="C1583">
        <v>80</v>
      </c>
      <c r="D1583">
        <v>60.005508423000002</v>
      </c>
      <c r="E1583">
        <v>50</v>
      </c>
      <c r="F1583">
        <v>49.963333130000002</v>
      </c>
      <c r="G1583">
        <v>1294.2717285000001</v>
      </c>
      <c r="H1583">
        <v>1294.2717285000001</v>
      </c>
      <c r="I1583">
        <v>1363.7706298999999</v>
      </c>
      <c r="J1583">
        <v>1363.7706298999999</v>
      </c>
      <c r="K1583">
        <v>0</v>
      </c>
      <c r="L1583">
        <v>0</v>
      </c>
      <c r="M1583">
        <v>0</v>
      </c>
      <c r="N1583">
        <v>0</v>
      </c>
    </row>
    <row r="1584" spans="1:14" x14ac:dyDescent="0.25">
      <c r="A1584">
        <v>1066.0000130000001</v>
      </c>
      <c r="B1584" s="1">
        <f>DATE(2013,4,1) + TIME(0,0,1)</f>
        <v>41365.000011574077</v>
      </c>
      <c r="C1584">
        <v>80</v>
      </c>
      <c r="D1584">
        <v>60.005802154999998</v>
      </c>
      <c r="E1584">
        <v>50</v>
      </c>
      <c r="F1584">
        <v>49.963077544999997</v>
      </c>
      <c r="G1584">
        <v>1296.5250243999999</v>
      </c>
      <c r="H1584">
        <v>1296.5250243999999</v>
      </c>
      <c r="I1584">
        <v>1361.7331543</v>
      </c>
      <c r="J1584">
        <v>1361.7331543</v>
      </c>
      <c r="K1584">
        <v>0</v>
      </c>
      <c r="L1584">
        <v>0</v>
      </c>
      <c r="M1584">
        <v>0</v>
      </c>
      <c r="N1584">
        <v>0</v>
      </c>
    </row>
    <row r="1585" spans="1:14" x14ac:dyDescent="0.25">
      <c r="A1585">
        <v>1066.0000399999999</v>
      </c>
      <c r="B1585" s="1">
        <f>DATE(2013,4,1) + TIME(0,0,3)</f>
        <v>41365.000034722223</v>
      </c>
      <c r="C1585">
        <v>80</v>
      </c>
      <c r="D1585">
        <v>60.006267547999997</v>
      </c>
      <c r="E1585">
        <v>50</v>
      </c>
      <c r="F1585">
        <v>49.962646483999997</v>
      </c>
      <c r="G1585">
        <v>1300.1210937999999</v>
      </c>
      <c r="H1585">
        <v>1300.1210937999999</v>
      </c>
      <c r="I1585">
        <v>1358.3288574000001</v>
      </c>
      <c r="J1585">
        <v>1358.3288574000001</v>
      </c>
      <c r="K1585">
        <v>0</v>
      </c>
      <c r="L1585">
        <v>0</v>
      </c>
      <c r="M1585">
        <v>0</v>
      </c>
      <c r="N1585">
        <v>0</v>
      </c>
    </row>
    <row r="1586" spans="1:14" x14ac:dyDescent="0.25">
      <c r="A1586">
        <v>1066.000121</v>
      </c>
      <c r="B1586" s="1">
        <f>DATE(2013,4,1) + TIME(0,0,10)</f>
        <v>41365.000115740739</v>
      </c>
      <c r="C1586">
        <v>80</v>
      </c>
      <c r="D1586">
        <v>60.006816864000001</v>
      </c>
      <c r="E1586">
        <v>50</v>
      </c>
      <c r="F1586">
        <v>49.962120056000003</v>
      </c>
      <c r="G1586">
        <v>1304.3721923999999</v>
      </c>
      <c r="H1586">
        <v>1304.3721923999999</v>
      </c>
      <c r="I1586">
        <v>1354.1734618999999</v>
      </c>
      <c r="J1586">
        <v>1354.1734618999999</v>
      </c>
      <c r="K1586">
        <v>0</v>
      </c>
      <c r="L1586">
        <v>0</v>
      </c>
      <c r="M1586">
        <v>0</v>
      </c>
      <c r="N1586">
        <v>0</v>
      </c>
    </row>
    <row r="1587" spans="1:14" x14ac:dyDescent="0.25">
      <c r="A1587">
        <v>1066.000364</v>
      </c>
      <c r="B1587" s="1">
        <f>DATE(2013,4,1) + TIME(0,0,31)</f>
        <v>41365.000358796293</v>
      </c>
      <c r="C1587">
        <v>80</v>
      </c>
      <c r="D1587">
        <v>60.007369994999998</v>
      </c>
      <c r="E1587">
        <v>50</v>
      </c>
      <c r="F1587">
        <v>49.961574554000002</v>
      </c>
      <c r="G1587">
        <v>1308.75</v>
      </c>
      <c r="H1587">
        <v>1308.75</v>
      </c>
      <c r="I1587">
        <v>1349.8948975000001</v>
      </c>
      <c r="J1587">
        <v>1349.8948975000001</v>
      </c>
      <c r="K1587">
        <v>0</v>
      </c>
      <c r="L1587">
        <v>0</v>
      </c>
      <c r="M1587">
        <v>0</v>
      </c>
      <c r="N1587">
        <v>0</v>
      </c>
    </row>
    <row r="1588" spans="1:14" x14ac:dyDescent="0.25">
      <c r="A1588">
        <v>1066.0010930000001</v>
      </c>
      <c r="B1588" s="1">
        <f>DATE(2013,4,1) + TIME(0,1,34)</f>
        <v>41365.001087962963</v>
      </c>
      <c r="C1588">
        <v>80</v>
      </c>
      <c r="D1588">
        <v>60.007919311999999</v>
      </c>
      <c r="E1588">
        <v>50</v>
      </c>
      <c r="F1588">
        <v>49.961009979000004</v>
      </c>
      <c r="G1588">
        <v>1313.2785644999999</v>
      </c>
      <c r="H1588">
        <v>1313.2785644999999</v>
      </c>
      <c r="I1588">
        <v>1345.6138916</v>
      </c>
      <c r="J1588">
        <v>1345.6138916</v>
      </c>
      <c r="K1588">
        <v>0</v>
      </c>
      <c r="L1588">
        <v>0</v>
      </c>
      <c r="M1588">
        <v>0</v>
      </c>
      <c r="N1588">
        <v>0</v>
      </c>
    </row>
    <row r="1589" spans="1:14" x14ac:dyDescent="0.25">
      <c r="A1589">
        <v>1066.0032799999999</v>
      </c>
      <c r="B1589" s="1">
        <f>DATE(2013,4,1) + TIME(0,4,43)</f>
        <v>41365.003275462965</v>
      </c>
      <c r="C1589">
        <v>80</v>
      </c>
      <c r="D1589">
        <v>60.008445739999999</v>
      </c>
      <c r="E1589">
        <v>50</v>
      </c>
      <c r="F1589">
        <v>49.960384369000003</v>
      </c>
      <c r="G1589">
        <v>1318.1945800999999</v>
      </c>
      <c r="H1589">
        <v>1318.1945800999999</v>
      </c>
      <c r="I1589">
        <v>1341.2436522999999</v>
      </c>
      <c r="J1589">
        <v>1341.2436522999999</v>
      </c>
      <c r="K1589">
        <v>0</v>
      </c>
      <c r="L1589">
        <v>0</v>
      </c>
      <c r="M1589">
        <v>0</v>
      </c>
      <c r="N1589">
        <v>0</v>
      </c>
    </row>
    <row r="1590" spans="1:14" x14ac:dyDescent="0.25">
      <c r="A1590">
        <v>1066.0098410000001</v>
      </c>
      <c r="B1590" s="1">
        <f>DATE(2013,4,1) + TIME(0,14,10)</f>
        <v>41365.009837962964</v>
      </c>
      <c r="C1590">
        <v>80</v>
      </c>
      <c r="D1590">
        <v>60.008850098000003</v>
      </c>
      <c r="E1590">
        <v>50</v>
      </c>
      <c r="F1590">
        <v>49.959606170999997</v>
      </c>
      <c r="G1590">
        <v>1323.3701172000001</v>
      </c>
      <c r="H1590">
        <v>1323.3701172000001</v>
      </c>
      <c r="I1590">
        <v>1336.8046875</v>
      </c>
      <c r="J1590">
        <v>1336.8046875</v>
      </c>
      <c r="K1590">
        <v>0</v>
      </c>
      <c r="L1590">
        <v>0</v>
      </c>
      <c r="M1590">
        <v>0</v>
      </c>
      <c r="N1590">
        <v>0</v>
      </c>
    </row>
    <row r="1591" spans="1:14" x14ac:dyDescent="0.25">
      <c r="A1591">
        <v>1066.029524</v>
      </c>
      <c r="B1591" s="1">
        <f>DATE(2013,4,1) + TIME(0,42,30)</f>
        <v>41365.029513888891</v>
      </c>
      <c r="C1591">
        <v>80</v>
      </c>
      <c r="D1591">
        <v>60.008884430000002</v>
      </c>
      <c r="E1591">
        <v>50</v>
      </c>
      <c r="F1591">
        <v>49.958484650000003</v>
      </c>
      <c r="G1591">
        <v>1327.7218018000001</v>
      </c>
      <c r="H1591">
        <v>1327.7218018000001</v>
      </c>
      <c r="I1591">
        <v>1333.1162108999999</v>
      </c>
      <c r="J1591">
        <v>1333.1162108999999</v>
      </c>
      <c r="K1591">
        <v>0</v>
      </c>
      <c r="L1591">
        <v>0</v>
      </c>
      <c r="M1591">
        <v>0</v>
      </c>
      <c r="N1591">
        <v>0</v>
      </c>
    </row>
    <row r="1592" spans="1:14" x14ac:dyDescent="0.25">
      <c r="A1592">
        <v>1066.088573</v>
      </c>
      <c r="B1592" s="1">
        <f>DATE(2013,4,1) + TIME(2,7,32)</f>
        <v>41365.088564814818</v>
      </c>
      <c r="C1592">
        <v>80</v>
      </c>
      <c r="D1592">
        <v>60.008178710999999</v>
      </c>
      <c r="E1592">
        <v>50</v>
      </c>
      <c r="F1592">
        <v>49.956321715999998</v>
      </c>
      <c r="G1592">
        <v>1330.0965576000001</v>
      </c>
      <c r="H1592">
        <v>1330.0965576000001</v>
      </c>
      <c r="I1592">
        <v>1331.3693848</v>
      </c>
      <c r="J1592">
        <v>1331.3693848</v>
      </c>
      <c r="K1592">
        <v>0</v>
      </c>
      <c r="L1592">
        <v>0</v>
      </c>
      <c r="M1592">
        <v>0</v>
      </c>
      <c r="N1592">
        <v>0</v>
      </c>
    </row>
    <row r="1593" spans="1:14" x14ac:dyDescent="0.25">
      <c r="A1593">
        <v>1066.2657200000001</v>
      </c>
      <c r="B1593" s="1">
        <f>DATE(2013,4,1) + TIME(6,22,38)</f>
        <v>41365.265717592592</v>
      </c>
      <c r="C1593">
        <v>80</v>
      </c>
      <c r="D1593">
        <v>60.005535125999998</v>
      </c>
      <c r="E1593">
        <v>50</v>
      </c>
      <c r="F1593">
        <v>49.950454712000003</v>
      </c>
      <c r="G1593">
        <v>1330.7767334</v>
      </c>
      <c r="H1593">
        <v>1330.7767334</v>
      </c>
      <c r="I1593">
        <v>1331.0766602000001</v>
      </c>
      <c r="J1593">
        <v>1331.0766602000001</v>
      </c>
      <c r="K1593">
        <v>0</v>
      </c>
      <c r="L1593">
        <v>0</v>
      </c>
      <c r="M1593">
        <v>0</v>
      </c>
      <c r="N1593">
        <v>0</v>
      </c>
    </row>
    <row r="1594" spans="1:14" x14ac:dyDescent="0.25">
      <c r="A1594">
        <v>1066.797161</v>
      </c>
      <c r="B1594" s="1">
        <f>DATE(2013,4,1) + TIME(19,7,54)</f>
        <v>41365.797152777777</v>
      </c>
      <c r="C1594">
        <v>80</v>
      </c>
      <c r="D1594">
        <v>59.997341155999997</v>
      </c>
      <c r="E1594">
        <v>50</v>
      </c>
      <c r="F1594">
        <v>49.933013916</v>
      </c>
      <c r="G1594">
        <v>1330.8651123</v>
      </c>
      <c r="H1594">
        <v>1330.8651123</v>
      </c>
      <c r="I1594">
        <v>1331.0765381000001</v>
      </c>
      <c r="J1594">
        <v>1331.0765381000001</v>
      </c>
      <c r="K1594">
        <v>0</v>
      </c>
      <c r="L1594">
        <v>0</v>
      </c>
      <c r="M1594">
        <v>0</v>
      </c>
      <c r="N1594">
        <v>0</v>
      </c>
    </row>
    <row r="1595" spans="1:14" x14ac:dyDescent="0.25">
      <c r="A1595">
        <v>1068.391484</v>
      </c>
      <c r="B1595" s="1">
        <f>DATE(2013,4,3) + TIME(9,23,44)</f>
        <v>41367.391481481478</v>
      </c>
      <c r="C1595">
        <v>80</v>
      </c>
      <c r="D1595">
        <v>59.972599029999998</v>
      </c>
      <c r="E1595">
        <v>50</v>
      </c>
      <c r="F1595">
        <v>49.881187439000001</v>
      </c>
      <c r="G1595">
        <v>1330.8693848</v>
      </c>
      <c r="H1595">
        <v>1330.8693848</v>
      </c>
      <c r="I1595">
        <v>1331.0782471</v>
      </c>
      <c r="J1595">
        <v>1331.0782471</v>
      </c>
      <c r="K1595">
        <v>0</v>
      </c>
      <c r="L1595">
        <v>0</v>
      </c>
      <c r="M1595">
        <v>0</v>
      </c>
      <c r="N1595">
        <v>0</v>
      </c>
    </row>
    <row r="1596" spans="1:14" x14ac:dyDescent="0.25">
      <c r="A1596">
        <v>1071</v>
      </c>
      <c r="B1596" s="1">
        <f>DATE(2013,4,6) + TIME(0,0,0)</f>
        <v>41370</v>
      </c>
      <c r="C1596">
        <v>80</v>
      </c>
      <c r="D1596">
        <v>59.931846618999998</v>
      </c>
      <c r="E1596">
        <v>50</v>
      </c>
      <c r="F1596">
        <v>49.797649384000003</v>
      </c>
      <c r="G1596">
        <v>1330.8682861</v>
      </c>
      <c r="H1596">
        <v>1330.8682861</v>
      </c>
      <c r="I1596">
        <v>1331.0777588000001</v>
      </c>
      <c r="J1596">
        <v>1331.0777588000001</v>
      </c>
      <c r="K1596">
        <v>0</v>
      </c>
      <c r="L1596">
        <v>0</v>
      </c>
      <c r="M1596">
        <v>0</v>
      </c>
      <c r="N1596">
        <v>0</v>
      </c>
    </row>
    <row r="1597" spans="1:14" x14ac:dyDescent="0.25">
      <c r="A1597">
        <v>1071.0000010000001</v>
      </c>
      <c r="B1597" s="1">
        <f>DATE(2013,4,6) + TIME(0,0,0)</f>
        <v>41370</v>
      </c>
      <c r="C1597">
        <v>80</v>
      </c>
      <c r="D1597">
        <v>59.931816101000003</v>
      </c>
      <c r="E1597">
        <v>50</v>
      </c>
      <c r="F1597">
        <v>49.797679901000002</v>
      </c>
      <c r="G1597">
        <v>1330.6224365</v>
      </c>
      <c r="H1597">
        <v>1321.3701172000001</v>
      </c>
      <c r="I1597">
        <v>1341.7161865</v>
      </c>
      <c r="J1597">
        <v>1331.3142089999999</v>
      </c>
      <c r="K1597">
        <v>0</v>
      </c>
      <c r="L1597">
        <v>1215</v>
      </c>
      <c r="M1597">
        <v>1215</v>
      </c>
      <c r="N1597">
        <v>0</v>
      </c>
    </row>
    <row r="1598" spans="1:14" x14ac:dyDescent="0.25">
      <c r="A1598">
        <v>1071.000004</v>
      </c>
      <c r="B1598" s="1">
        <f>DATE(2013,4,6) + TIME(0,0,0)</f>
        <v>41370</v>
      </c>
      <c r="C1598">
        <v>80</v>
      </c>
      <c r="D1598">
        <v>59.931732177999997</v>
      </c>
      <c r="E1598">
        <v>50</v>
      </c>
      <c r="F1598">
        <v>49.797760009999998</v>
      </c>
      <c r="G1598">
        <v>1329.9804687999999</v>
      </c>
      <c r="H1598">
        <v>1320.7663574000001</v>
      </c>
      <c r="I1598">
        <v>1342.3067627</v>
      </c>
      <c r="J1598">
        <v>1331.9429932</v>
      </c>
      <c r="K1598">
        <v>0</v>
      </c>
      <c r="L1598">
        <v>1215</v>
      </c>
      <c r="M1598">
        <v>1215</v>
      </c>
      <c r="N1598">
        <v>0</v>
      </c>
    </row>
    <row r="1599" spans="1:14" x14ac:dyDescent="0.25">
      <c r="A1599">
        <v>1071.0000130000001</v>
      </c>
      <c r="B1599" s="1">
        <f>DATE(2013,4,6) + TIME(0,0,1)</f>
        <v>41370.000011574077</v>
      </c>
      <c r="C1599">
        <v>80</v>
      </c>
      <c r="D1599">
        <v>59.931545258</v>
      </c>
      <c r="E1599">
        <v>50</v>
      </c>
      <c r="F1599">
        <v>49.797935486</v>
      </c>
      <c r="G1599">
        <v>1328.5921631000001</v>
      </c>
      <c r="H1599">
        <v>1319.4039307</v>
      </c>
      <c r="I1599">
        <v>1343.6317139</v>
      </c>
      <c r="J1599">
        <v>1333.3425293</v>
      </c>
      <c r="K1599">
        <v>0</v>
      </c>
      <c r="L1599">
        <v>1215</v>
      </c>
      <c r="M1599">
        <v>1215</v>
      </c>
      <c r="N1599">
        <v>0</v>
      </c>
    </row>
    <row r="1600" spans="1:14" x14ac:dyDescent="0.25">
      <c r="A1600">
        <v>1071.0000399999999</v>
      </c>
      <c r="B1600" s="1">
        <f>DATE(2013,4,6) + TIME(0,0,3)</f>
        <v>41370.000034722223</v>
      </c>
      <c r="C1600">
        <v>80</v>
      </c>
      <c r="D1600">
        <v>59.931243895999998</v>
      </c>
      <c r="E1600">
        <v>50</v>
      </c>
      <c r="F1600">
        <v>49.798229218000003</v>
      </c>
      <c r="G1600">
        <v>1326.3488769999999</v>
      </c>
      <c r="H1600">
        <v>1317.0898437999999</v>
      </c>
      <c r="I1600">
        <v>1345.8455810999999</v>
      </c>
      <c r="J1600">
        <v>1335.6517334</v>
      </c>
      <c r="K1600">
        <v>0</v>
      </c>
      <c r="L1600">
        <v>1215</v>
      </c>
      <c r="M1600">
        <v>1215</v>
      </c>
      <c r="N1600">
        <v>0</v>
      </c>
    </row>
    <row r="1601" spans="1:14" x14ac:dyDescent="0.25">
      <c r="A1601">
        <v>1071.000121</v>
      </c>
      <c r="B1601" s="1">
        <f>DATE(2013,4,6) + TIME(0,0,10)</f>
        <v>41370.000115740739</v>
      </c>
      <c r="C1601">
        <v>80</v>
      </c>
      <c r="D1601">
        <v>59.930854797000002</v>
      </c>
      <c r="E1601">
        <v>50</v>
      </c>
      <c r="F1601">
        <v>49.798587799000003</v>
      </c>
      <c r="G1601">
        <v>1323.6072998</v>
      </c>
      <c r="H1601">
        <v>1314.1994629000001</v>
      </c>
      <c r="I1601">
        <v>1348.5473632999999</v>
      </c>
      <c r="J1601">
        <v>1338.4328613</v>
      </c>
      <c r="K1601">
        <v>0</v>
      </c>
      <c r="L1601">
        <v>1215</v>
      </c>
      <c r="M1601">
        <v>1215</v>
      </c>
      <c r="N1601">
        <v>0</v>
      </c>
    </row>
    <row r="1602" spans="1:14" x14ac:dyDescent="0.25">
      <c r="A1602">
        <v>1071.000364</v>
      </c>
      <c r="B1602" s="1">
        <f>DATE(2013,4,6) + TIME(0,0,31)</f>
        <v>41370.000358796293</v>
      </c>
      <c r="C1602">
        <v>80</v>
      </c>
      <c r="D1602">
        <v>59.930381775000001</v>
      </c>
      <c r="E1602">
        <v>50</v>
      </c>
      <c r="F1602">
        <v>49.798969268999997</v>
      </c>
      <c r="G1602">
        <v>1320.6945800999999</v>
      </c>
      <c r="H1602">
        <v>1311.1534423999999</v>
      </c>
      <c r="I1602">
        <v>1351.3289795000001</v>
      </c>
      <c r="J1602">
        <v>1341.2695312000001</v>
      </c>
      <c r="K1602">
        <v>0</v>
      </c>
      <c r="L1602">
        <v>1215</v>
      </c>
      <c r="M1602">
        <v>1215</v>
      </c>
      <c r="N1602">
        <v>0</v>
      </c>
    </row>
    <row r="1603" spans="1:14" x14ac:dyDescent="0.25">
      <c r="A1603">
        <v>1071.0010930000001</v>
      </c>
      <c r="B1603" s="1">
        <f>DATE(2013,4,6) + TIME(0,1,34)</f>
        <v>41370.001087962963</v>
      </c>
      <c r="C1603">
        <v>80</v>
      </c>
      <c r="D1603">
        <v>59.929691314999999</v>
      </c>
      <c r="E1603">
        <v>50</v>
      </c>
      <c r="F1603">
        <v>49.799392699999999</v>
      </c>
      <c r="G1603">
        <v>1317.6273193</v>
      </c>
      <c r="H1603">
        <v>1307.9801024999999</v>
      </c>
      <c r="I1603">
        <v>1354.1209716999999</v>
      </c>
      <c r="J1603">
        <v>1344.0974120999999</v>
      </c>
      <c r="K1603">
        <v>0</v>
      </c>
      <c r="L1603">
        <v>1215</v>
      </c>
      <c r="M1603">
        <v>1215</v>
      </c>
      <c r="N1603">
        <v>0</v>
      </c>
    </row>
    <row r="1604" spans="1:14" x14ac:dyDescent="0.25">
      <c r="A1604">
        <v>1071.0032799999999</v>
      </c>
      <c r="B1604" s="1">
        <f>DATE(2013,4,6) + TIME(0,4,43)</f>
        <v>41370.003275462965</v>
      </c>
      <c r="C1604">
        <v>80</v>
      </c>
      <c r="D1604">
        <v>59.928371429000002</v>
      </c>
      <c r="E1604">
        <v>50</v>
      </c>
      <c r="F1604">
        <v>49.799957274999997</v>
      </c>
      <c r="G1604">
        <v>1314.2716064000001</v>
      </c>
      <c r="H1604">
        <v>1304.5390625</v>
      </c>
      <c r="I1604">
        <v>1357.0115966999999</v>
      </c>
      <c r="J1604">
        <v>1346.9993896000001</v>
      </c>
      <c r="K1604">
        <v>0</v>
      </c>
      <c r="L1604">
        <v>1215</v>
      </c>
      <c r="M1604">
        <v>1215</v>
      </c>
      <c r="N1604">
        <v>0</v>
      </c>
    </row>
    <row r="1605" spans="1:14" x14ac:dyDescent="0.25">
      <c r="A1605">
        <v>1071.0098410000001</v>
      </c>
      <c r="B1605" s="1">
        <f>DATE(2013,4,6) + TIME(0,14,10)</f>
        <v>41370.009837962964</v>
      </c>
      <c r="C1605">
        <v>80</v>
      </c>
      <c r="D1605">
        <v>59.925209045000003</v>
      </c>
      <c r="E1605">
        <v>50</v>
      </c>
      <c r="F1605">
        <v>49.800937652999998</v>
      </c>
      <c r="G1605">
        <v>1310.7385254000001</v>
      </c>
      <c r="H1605">
        <v>1300.9445800999999</v>
      </c>
      <c r="I1605">
        <v>1359.9984131000001</v>
      </c>
      <c r="J1605">
        <v>1349.9755858999999</v>
      </c>
      <c r="K1605">
        <v>0</v>
      </c>
      <c r="L1605">
        <v>1215</v>
      </c>
      <c r="M1605">
        <v>1215</v>
      </c>
      <c r="N1605">
        <v>0</v>
      </c>
    </row>
    <row r="1606" spans="1:14" x14ac:dyDescent="0.25">
      <c r="A1606">
        <v>1071.029524</v>
      </c>
      <c r="B1606" s="1">
        <f>DATE(2013,4,6) + TIME(0,42,30)</f>
        <v>41370.029513888891</v>
      </c>
      <c r="C1606">
        <v>80</v>
      </c>
      <c r="D1606">
        <v>59.916526793999999</v>
      </c>
      <c r="E1606">
        <v>50</v>
      </c>
      <c r="F1606">
        <v>49.803035735999998</v>
      </c>
      <c r="G1606">
        <v>1307.7799072</v>
      </c>
      <c r="H1606">
        <v>1297.9500731999999</v>
      </c>
      <c r="I1606">
        <v>1362.4897461</v>
      </c>
      <c r="J1606">
        <v>1352.4538574000001</v>
      </c>
      <c r="K1606">
        <v>0</v>
      </c>
      <c r="L1606">
        <v>1215</v>
      </c>
      <c r="M1606">
        <v>1215</v>
      </c>
      <c r="N1606">
        <v>0</v>
      </c>
    </row>
    <row r="1607" spans="1:14" x14ac:dyDescent="0.25">
      <c r="A1607">
        <v>1071.088573</v>
      </c>
      <c r="B1607" s="1">
        <f>DATE(2013,4,6) + TIME(2,7,32)</f>
        <v>41370.088564814818</v>
      </c>
      <c r="C1607">
        <v>80</v>
      </c>
      <c r="D1607">
        <v>59.891769408999998</v>
      </c>
      <c r="E1607">
        <v>50</v>
      </c>
      <c r="F1607">
        <v>49.808345795000001</v>
      </c>
      <c r="G1607">
        <v>1306.1740723</v>
      </c>
      <c r="H1607">
        <v>1296.3271483999999</v>
      </c>
      <c r="I1607">
        <v>1363.6667480000001</v>
      </c>
      <c r="J1607">
        <v>1353.6254882999999</v>
      </c>
      <c r="K1607">
        <v>0</v>
      </c>
      <c r="L1607">
        <v>1215</v>
      </c>
      <c r="M1607">
        <v>1215</v>
      </c>
      <c r="N1607">
        <v>0</v>
      </c>
    </row>
    <row r="1608" spans="1:14" x14ac:dyDescent="0.25">
      <c r="A1608">
        <v>1071.2657200000001</v>
      </c>
      <c r="B1608" s="1">
        <f>DATE(2013,4,6) + TIME(6,22,38)</f>
        <v>41370.265717592592</v>
      </c>
      <c r="C1608">
        <v>80</v>
      </c>
      <c r="D1608">
        <v>59.825061798</v>
      </c>
      <c r="E1608">
        <v>50</v>
      </c>
      <c r="F1608">
        <v>49.822307586999997</v>
      </c>
      <c r="G1608">
        <v>1305.7103271000001</v>
      </c>
      <c r="H1608">
        <v>1295.8486327999999</v>
      </c>
      <c r="I1608">
        <v>1363.8630370999999</v>
      </c>
      <c r="J1608">
        <v>1353.8215332</v>
      </c>
      <c r="K1608">
        <v>0</v>
      </c>
      <c r="L1608">
        <v>1215</v>
      </c>
      <c r="M1608">
        <v>1215</v>
      </c>
      <c r="N1608">
        <v>0</v>
      </c>
    </row>
    <row r="1609" spans="1:14" x14ac:dyDescent="0.25">
      <c r="A1609">
        <v>1071.797161</v>
      </c>
      <c r="B1609" s="1">
        <f>DATE(2013,4,6) + TIME(19,7,54)</f>
        <v>41370.797152777777</v>
      </c>
      <c r="C1609">
        <v>80</v>
      </c>
      <c r="D1609">
        <v>59.673534392999997</v>
      </c>
      <c r="E1609">
        <v>50</v>
      </c>
      <c r="F1609">
        <v>49.853630066000001</v>
      </c>
      <c r="G1609">
        <v>1305.6356201000001</v>
      </c>
      <c r="H1609">
        <v>1295.7456055</v>
      </c>
      <c r="I1609">
        <v>1363.8610839999999</v>
      </c>
      <c r="J1609">
        <v>1353.8215332</v>
      </c>
      <c r="K1609">
        <v>0</v>
      </c>
      <c r="L1609">
        <v>1215</v>
      </c>
      <c r="M1609">
        <v>1215</v>
      </c>
      <c r="N1609">
        <v>0</v>
      </c>
    </row>
    <row r="1610" spans="1:14" x14ac:dyDescent="0.25">
      <c r="A1610">
        <v>1073.391484</v>
      </c>
      <c r="B1610" s="1">
        <f>DATE(2013,4,8) + TIME(9,23,44)</f>
        <v>41372.391481481478</v>
      </c>
      <c r="C1610">
        <v>80</v>
      </c>
      <c r="D1610">
        <v>59.421676636000001</v>
      </c>
      <c r="E1610">
        <v>50</v>
      </c>
      <c r="F1610">
        <v>49.900543212999999</v>
      </c>
      <c r="G1610">
        <v>1305.5925293</v>
      </c>
      <c r="H1610">
        <v>1295.652832</v>
      </c>
      <c r="I1610">
        <v>1363.8553466999999</v>
      </c>
      <c r="J1610">
        <v>1353.8188477000001</v>
      </c>
      <c r="K1610">
        <v>0</v>
      </c>
      <c r="L1610">
        <v>1215</v>
      </c>
      <c r="M1610">
        <v>1215</v>
      </c>
      <c r="N1610">
        <v>0</v>
      </c>
    </row>
    <row r="1611" spans="1:14" x14ac:dyDescent="0.25">
      <c r="A1611">
        <v>1077.976071</v>
      </c>
      <c r="B1611" s="1">
        <f>DATE(2013,4,12) + TIME(23,25,32)</f>
        <v>41376.976064814815</v>
      </c>
      <c r="C1611">
        <v>80</v>
      </c>
      <c r="D1611">
        <v>59.078010558999999</v>
      </c>
      <c r="E1611">
        <v>50</v>
      </c>
      <c r="F1611">
        <v>49.935493469000001</v>
      </c>
      <c r="G1611">
        <v>1305.4960937999999</v>
      </c>
      <c r="H1611">
        <v>1295.4868164</v>
      </c>
      <c r="I1611">
        <v>1363.8460693</v>
      </c>
      <c r="J1611">
        <v>1353.8125</v>
      </c>
      <c r="K1611">
        <v>0</v>
      </c>
      <c r="L1611">
        <v>1215</v>
      </c>
      <c r="M1611">
        <v>1215</v>
      </c>
      <c r="N1611">
        <v>0</v>
      </c>
    </row>
    <row r="1612" spans="1:14" x14ac:dyDescent="0.25">
      <c r="A1612">
        <v>1083.093046</v>
      </c>
      <c r="B1612" s="1">
        <f>DATE(2013,4,18) + TIME(2,13,59)</f>
        <v>41382.093043981484</v>
      </c>
      <c r="C1612">
        <v>80</v>
      </c>
      <c r="D1612">
        <v>58.483543396000002</v>
      </c>
      <c r="E1612">
        <v>50</v>
      </c>
      <c r="F1612">
        <v>49.944877624999997</v>
      </c>
      <c r="G1612">
        <v>1305.2614745999999</v>
      </c>
      <c r="H1612">
        <v>1295.1416016000001</v>
      </c>
      <c r="I1612">
        <v>1363.8217772999999</v>
      </c>
      <c r="J1612">
        <v>1353.7913818</v>
      </c>
      <c r="K1612">
        <v>0</v>
      </c>
      <c r="L1612">
        <v>1215</v>
      </c>
      <c r="M1612">
        <v>1215</v>
      </c>
      <c r="N1612">
        <v>0</v>
      </c>
    </row>
    <row r="1613" spans="1:14" x14ac:dyDescent="0.25">
      <c r="A1613">
        <v>1088.292625</v>
      </c>
      <c r="B1613" s="1">
        <f>DATE(2013,4,23) + TIME(7,1,22)</f>
        <v>41387.292615740742</v>
      </c>
      <c r="C1613">
        <v>80</v>
      </c>
      <c r="D1613">
        <v>57.784198760999999</v>
      </c>
      <c r="E1613">
        <v>50</v>
      </c>
      <c r="F1613">
        <v>49.947235106999997</v>
      </c>
      <c r="G1613">
        <v>1304.9897461</v>
      </c>
      <c r="H1613">
        <v>1294.7313231999999</v>
      </c>
      <c r="I1613">
        <v>1363.7950439000001</v>
      </c>
      <c r="J1613">
        <v>1353.7681885</v>
      </c>
      <c r="K1613">
        <v>0</v>
      </c>
      <c r="L1613">
        <v>1215</v>
      </c>
      <c r="M1613">
        <v>1215</v>
      </c>
      <c r="N1613">
        <v>0</v>
      </c>
    </row>
    <row r="1614" spans="1:14" x14ac:dyDescent="0.25">
      <c r="A1614">
        <v>1093.5539759999999</v>
      </c>
      <c r="B1614" s="1">
        <f>DATE(2013,4,28) + TIME(13,17,43)</f>
        <v>41392.553969907407</v>
      </c>
      <c r="C1614">
        <v>80</v>
      </c>
      <c r="D1614">
        <v>57.052722930999998</v>
      </c>
      <c r="E1614">
        <v>50</v>
      </c>
      <c r="F1614">
        <v>49.947917938000003</v>
      </c>
      <c r="G1614">
        <v>1304.7113036999999</v>
      </c>
      <c r="H1614">
        <v>1294.3041992000001</v>
      </c>
      <c r="I1614">
        <v>1363.7681885</v>
      </c>
      <c r="J1614">
        <v>1353.7448730000001</v>
      </c>
      <c r="K1614">
        <v>0</v>
      </c>
      <c r="L1614">
        <v>1215</v>
      </c>
      <c r="M1614">
        <v>1215</v>
      </c>
      <c r="N1614">
        <v>0</v>
      </c>
    </row>
    <row r="1615" spans="1:14" x14ac:dyDescent="0.25">
      <c r="A1615">
        <v>1096</v>
      </c>
      <c r="B1615" s="1">
        <f>DATE(2013,5,1) + TIME(0,0,0)</f>
        <v>41395</v>
      </c>
      <c r="C1615">
        <v>80</v>
      </c>
      <c r="D1615">
        <v>56.452522278000004</v>
      </c>
      <c r="E1615">
        <v>50</v>
      </c>
      <c r="F1615">
        <v>49.948081969999997</v>
      </c>
      <c r="G1615">
        <v>1304.4361572</v>
      </c>
      <c r="H1615">
        <v>1293.9042969</v>
      </c>
      <c r="I1615">
        <v>1363.7408447</v>
      </c>
      <c r="J1615">
        <v>1353.7210693</v>
      </c>
      <c r="K1615">
        <v>0</v>
      </c>
      <c r="L1615">
        <v>1215</v>
      </c>
      <c r="M1615">
        <v>1215</v>
      </c>
      <c r="N1615">
        <v>0</v>
      </c>
    </row>
    <row r="1616" spans="1:14" x14ac:dyDescent="0.25">
      <c r="A1616">
        <v>1096.0000010000001</v>
      </c>
      <c r="B1616" s="1">
        <f>DATE(2013,5,1) + TIME(0,0,0)</f>
        <v>41395</v>
      </c>
      <c r="C1616">
        <v>80</v>
      </c>
      <c r="D1616">
        <v>56.452621460000003</v>
      </c>
      <c r="E1616">
        <v>50</v>
      </c>
      <c r="F1616">
        <v>49.948020935000002</v>
      </c>
      <c r="G1616">
        <v>1317.6776123</v>
      </c>
      <c r="H1616">
        <v>1305.0217285000001</v>
      </c>
      <c r="I1616">
        <v>1353.2493896000001</v>
      </c>
      <c r="J1616">
        <v>1342.5792236</v>
      </c>
      <c r="K1616">
        <v>1375</v>
      </c>
      <c r="L1616">
        <v>0</v>
      </c>
      <c r="M1616">
        <v>0</v>
      </c>
      <c r="N1616">
        <v>1375</v>
      </c>
    </row>
    <row r="1617" spans="1:14" x14ac:dyDescent="0.25">
      <c r="A1617">
        <v>1096.000004</v>
      </c>
      <c r="B1617" s="1">
        <f>DATE(2013,5,1) + TIME(0,0,0)</f>
        <v>41395</v>
      </c>
      <c r="C1617">
        <v>80</v>
      </c>
      <c r="D1617">
        <v>56.452877045000001</v>
      </c>
      <c r="E1617">
        <v>50</v>
      </c>
      <c r="F1617">
        <v>49.947860718000001</v>
      </c>
      <c r="G1617">
        <v>1318.9870605000001</v>
      </c>
      <c r="H1617">
        <v>1306.5520019999999</v>
      </c>
      <c r="I1617">
        <v>1351.9910889</v>
      </c>
      <c r="J1617">
        <v>1341.3203125</v>
      </c>
      <c r="K1617">
        <v>1375</v>
      </c>
      <c r="L1617">
        <v>0</v>
      </c>
      <c r="M1617">
        <v>0</v>
      </c>
      <c r="N1617">
        <v>1375</v>
      </c>
    </row>
    <row r="1618" spans="1:14" x14ac:dyDescent="0.25">
      <c r="A1618">
        <v>1096.0000130000001</v>
      </c>
      <c r="B1618" s="1">
        <f>DATE(2013,5,1) + TIME(0,0,1)</f>
        <v>41395.000011574077</v>
      </c>
      <c r="C1618">
        <v>80</v>
      </c>
      <c r="D1618">
        <v>56.453483581999997</v>
      </c>
      <c r="E1618">
        <v>50</v>
      </c>
      <c r="F1618">
        <v>49.947505950999997</v>
      </c>
      <c r="G1618">
        <v>1321.973999</v>
      </c>
      <c r="H1618">
        <v>1309.8577881000001</v>
      </c>
      <c r="I1618">
        <v>1349.1682129000001</v>
      </c>
      <c r="J1618">
        <v>1338.4964600000001</v>
      </c>
      <c r="K1618">
        <v>1375</v>
      </c>
      <c r="L1618">
        <v>0</v>
      </c>
      <c r="M1618">
        <v>0</v>
      </c>
      <c r="N1618">
        <v>1375</v>
      </c>
    </row>
    <row r="1619" spans="1:14" x14ac:dyDescent="0.25">
      <c r="A1619">
        <v>1096.0000399999999</v>
      </c>
      <c r="B1619" s="1">
        <f>DATE(2013,5,1) + TIME(0,0,3)</f>
        <v>41395.000034722223</v>
      </c>
      <c r="C1619">
        <v>80</v>
      </c>
      <c r="D1619">
        <v>56.454700469999999</v>
      </c>
      <c r="E1619">
        <v>50</v>
      </c>
      <c r="F1619">
        <v>49.946910858000003</v>
      </c>
      <c r="G1619">
        <v>1327.1154785000001</v>
      </c>
      <c r="H1619">
        <v>1315.1601562000001</v>
      </c>
      <c r="I1619">
        <v>1344.4487305</v>
      </c>
      <c r="J1619">
        <v>1333.7781981999999</v>
      </c>
      <c r="K1619">
        <v>1375</v>
      </c>
      <c r="L1619">
        <v>0</v>
      </c>
      <c r="M1619">
        <v>0</v>
      </c>
      <c r="N1619">
        <v>1375</v>
      </c>
    </row>
    <row r="1620" spans="1:14" x14ac:dyDescent="0.25">
      <c r="A1620">
        <v>1096.000121</v>
      </c>
      <c r="B1620" s="1">
        <f>DATE(2013,5,1) + TIME(0,0,10)</f>
        <v>41395.000115740739</v>
      </c>
      <c r="C1620">
        <v>80</v>
      </c>
      <c r="D1620">
        <v>56.457126617</v>
      </c>
      <c r="E1620">
        <v>50</v>
      </c>
      <c r="F1620">
        <v>49.946174622000001</v>
      </c>
      <c r="G1620">
        <v>1333.5997314000001</v>
      </c>
      <c r="H1620">
        <v>1321.5559082</v>
      </c>
      <c r="I1620">
        <v>1338.6842041</v>
      </c>
      <c r="J1620">
        <v>1328.0194091999999</v>
      </c>
      <c r="K1620">
        <v>1375</v>
      </c>
      <c r="L1620">
        <v>0</v>
      </c>
      <c r="M1620">
        <v>0</v>
      </c>
      <c r="N1620">
        <v>1375</v>
      </c>
    </row>
    <row r="1621" spans="1:14" x14ac:dyDescent="0.25">
      <c r="A1621">
        <v>1096.000364</v>
      </c>
      <c r="B1621" s="1">
        <f>DATE(2013,5,1) + TIME(0,0,31)</f>
        <v>41395.000358796293</v>
      </c>
      <c r="C1621">
        <v>80</v>
      </c>
      <c r="D1621">
        <v>56.462844849</v>
      </c>
      <c r="E1621">
        <v>50</v>
      </c>
      <c r="F1621">
        <v>49.945396422999998</v>
      </c>
      <c r="G1621">
        <v>1340.4494629000001</v>
      </c>
      <c r="H1621">
        <v>1328.2646483999999</v>
      </c>
      <c r="I1621">
        <v>1332.7442627</v>
      </c>
      <c r="J1621">
        <v>1322.0895995999999</v>
      </c>
      <c r="K1621">
        <v>1375</v>
      </c>
      <c r="L1621">
        <v>0</v>
      </c>
      <c r="M1621">
        <v>0</v>
      </c>
      <c r="N1621">
        <v>1375</v>
      </c>
    </row>
    <row r="1622" spans="1:14" x14ac:dyDescent="0.25">
      <c r="A1622">
        <v>1096.0010930000001</v>
      </c>
      <c r="B1622" s="1">
        <f>DATE(2013,5,1) + TIME(0,1,34)</f>
        <v>41395.001087962963</v>
      </c>
      <c r="C1622">
        <v>80</v>
      </c>
      <c r="D1622">
        <v>56.478443145999996</v>
      </c>
      <c r="E1622">
        <v>50</v>
      </c>
      <c r="F1622">
        <v>49.944553374999998</v>
      </c>
      <c r="G1622">
        <v>1347.5394286999999</v>
      </c>
      <c r="H1622">
        <v>1335.2268065999999</v>
      </c>
      <c r="I1622">
        <v>1326.7862548999999</v>
      </c>
      <c r="J1622">
        <v>1316.1412353999999</v>
      </c>
      <c r="K1622">
        <v>1375</v>
      </c>
      <c r="L1622">
        <v>0</v>
      </c>
      <c r="M1622">
        <v>0</v>
      </c>
      <c r="N1622">
        <v>1375</v>
      </c>
    </row>
    <row r="1623" spans="1:14" x14ac:dyDescent="0.25">
      <c r="A1623">
        <v>1096.0032799999999</v>
      </c>
      <c r="B1623" s="1">
        <f>DATE(2013,5,1) + TIME(0,4,43)</f>
        <v>41395.003275462965</v>
      </c>
      <c r="C1623">
        <v>80</v>
      </c>
      <c r="D1623">
        <v>56.523849487</v>
      </c>
      <c r="E1623">
        <v>50</v>
      </c>
      <c r="F1623">
        <v>49.943492888999998</v>
      </c>
      <c r="G1623">
        <v>1355.1040039</v>
      </c>
      <c r="H1623">
        <v>1342.677124</v>
      </c>
      <c r="I1623">
        <v>1320.6514893000001</v>
      </c>
      <c r="J1623">
        <v>1309.9909668</v>
      </c>
      <c r="K1623">
        <v>1375</v>
      </c>
      <c r="L1623">
        <v>0</v>
      </c>
      <c r="M1623">
        <v>0</v>
      </c>
      <c r="N1623">
        <v>1375</v>
      </c>
    </row>
    <row r="1624" spans="1:14" x14ac:dyDescent="0.25">
      <c r="A1624">
        <v>1096.0098410000001</v>
      </c>
      <c r="B1624" s="1">
        <f>DATE(2013,5,1) + TIME(0,14,10)</f>
        <v>41395.009837962964</v>
      </c>
      <c r="C1624">
        <v>80</v>
      </c>
      <c r="D1624">
        <v>56.658527374000002</v>
      </c>
      <c r="E1624">
        <v>50</v>
      </c>
      <c r="F1624">
        <v>49.941825866999999</v>
      </c>
      <c r="G1624">
        <v>1362.8352050999999</v>
      </c>
      <c r="H1624">
        <v>1350.3278809000001</v>
      </c>
      <c r="I1624">
        <v>1314.3178711</v>
      </c>
      <c r="J1624">
        <v>1303.6136475000001</v>
      </c>
      <c r="K1624">
        <v>1375</v>
      </c>
      <c r="L1624">
        <v>0</v>
      </c>
      <c r="M1624">
        <v>0</v>
      </c>
      <c r="N1624">
        <v>1375</v>
      </c>
    </row>
    <row r="1625" spans="1:14" x14ac:dyDescent="0.25">
      <c r="A1625">
        <v>1096.029524</v>
      </c>
      <c r="B1625" s="1">
        <f>DATE(2013,5,1) + TIME(0,42,30)</f>
        <v>41395.029513888891</v>
      </c>
      <c r="C1625">
        <v>80</v>
      </c>
      <c r="D1625">
        <v>57.055644989000001</v>
      </c>
      <c r="E1625">
        <v>50</v>
      </c>
      <c r="F1625">
        <v>49.938560486</v>
      </c>
      <c r="G1625">
        <v>1369.1199951000001</v>
      </c>
      <c r="H1625">
        <v>1356.6235352000001</v>
      </c>
      <c r="I1625">
        <v>1308.9959716999999</v>
      </c>
      <c r="J1625">
        <v>1298.2574463000001</v>
      </c>
      <c r="K1625">
        <v>1375</v>
      </c>
      <c r="L1625">
        <v>0</v>
      </c>
      <c r="M1625">
        <v>0</v>
      </c>
      <c r="N1625">
        <v>1375</v>
      </c>
    </row>
    <row r="1626" spans="1:14" x14ac:dyDescent="0.25">
      <c r="A1626">
        <v>1096.068677</v>
      </c>
      <c r="B1626" s="1">
        <f>DATE(2013,5,1) + TIME(1,38,53)</f>
        <v>41395.068668981483</v>
      </c>
      <c r="C1626">
        <v>80</v>
      </c>
      <c r="D1626">
        <v>57.819290160999998</v>
      </c>
      <c r="E1626">
        <v>50</v>
      </c>
      <c r="F1626">
        <v>49.933181763</v>
      </c>
      <c r="G1626">
        <v>1371.9766846</v>
      </c>
      <c r="H1626">
        <v>1359.6071777</v>
      </c>
      <c r="I1626">
        <v>1306.6608887</v>
      </c>
      <c r="J1626">
        <v>1295.9104004000001</v>
      </c>
      <c r="K1626">
        <v>1375</v>
      </c>
      <c r="L1626">
        <v>0</v>
      </c>
      <c r="M1626">
        <v>0</v>
      </c>
      <c r="N1626">
        <v>1375</v>
      </c>
    </row>
    <row r="1627" spans="1:14" x14ac:dyDescent="0.25">
      <c r="A1627">
        <v>1096.1087259999999</v>
      </c>
      <c r="B1627" s="1">
        <f>DATE(2013,5,1) + TIME(2,36,33)</f>
        <v>41395.108715277776</v>
      </c>
      <c r="C1627">
        <v>80</v>
      </c>
      <c r="D1627">
        <v>58.574581146</v>
      </c>
      <c r="E1627">
        <v>50</v>
      </c>
      <c r="F1627">
        <v>49.927947998</v>
      </c>
      <c r="G1627">
        <v>1372.7202147999999</v>
      </c>
      <c r="H1627">
        <v>1360.4782714999999</v>
      </c>
      <c r="I1627">
        <v>1306.1201172000001</v>
      </c>
      <c r="J1627">
        <v>1295.3665771000001</v>
      </c>
      <c r="K1627">
        <v>1375</v>
      </c>
      <c r="L1627">
        <v>0</v>
      </c>
      <c r="M1627">
        <v>0</v>
      </c>
      <c r="N1627">
        <v>1375</v>
      </c>
    </row>
    <row r="1628" spans="1:14" x14ac:dyDescent="0.25">
      <c r="A1628">
        <v>1096.1496279999999</v>
      </c>
      <c r="B1628" s="1">
        <f>DATE(2013,5,1) + TIME(3,35,27)</f>
        <v>41395.149618055555</v>
      </c>
      <c r="C1628">
        <v>80</v>
      </c>
      <c r="D1628">
        <v>59.319812775000003</v>
      </c>
      <c r="E1628">
        <v>50</v>
      </c>
      <c r="F1628">
        <v>49.922706603999998</v>
      </c>
      <c r="G1628">
        <v>1372.8486327999999</v>
      </c>
      <c r="H1628">
        <v>1360.7337646000001</v>
      </c>
      <c r="I1628">
        <v>1306.0172118999999</v>
      </c>
      <c r="J1628">
        <v>1295.2626952999999</v>
      </c>
      <c r="K1628">
        <v>1375</v>
      </c>
      <c r="L1628">
        <v>0</v>
      </c>
      <c r="M1628">
        <v>0</v>
      </c>
      <c r="N1628">
        <v>1375</v>
      </c>
    </row>
    <row r="1629" spans="1:14" x14ac:dyDescent="0.25">
      <c r="A1629">
        <v>1096.1913830000001</v>
      </c>
      <c r="B1629" s="1">
        <f>DATE(2013,5,1) + TIME(4,35,35)</f>
        <v>41395.191377314812</v>
      </c>
      <c r="C1629">
        <v>80</v>
      </c>
      <c r="D1629">
        <v>60.054233551000003</v>
      </c>
      <c r="E1629">
        <v>50</v>
      </c>
      <c r="F1629">
        <v>49.917415619000003</v>
      </c>
      <c r="G1629">
        <v>1372.7803954999999</v>
      </c>
      <c r="H1629">
        <v>1360.7888184000001</v>
      </c>
      <c r="I1629">
        <v>1306.0131836</v>
      </c>
      <c r="J1629">
        <v>1295.2581786999999</v>
      </c>
      <c r="K1629">
        <v>1375</v>
      </c>
      <c r="L1629">
        <v>0</v>
      </c>
      <c r="M1629">
        <v>0</v>
      </c>
      <c r="N1629">
        <v>1375</v>
      </c>
    </row>
    <row r="1630" spans="1:14" x14ac:dyDescent="0.25">
      <c r="A1630">
        <v>1096.2339750000001</v>
      </c>
      <c r="B1630" s="1">
        <f>DATE(2013,5,1) + TIME(5,36,55)</f>
        <v>41395.233969907407</v>
      </c>
      <c r="C1630">
        <v>80</v>
      </c>
      <c r="D1630">
        <v>60.776466370000001</v>
      </c>
      <c r="E1630">
        <v>50</v>
      </c>
      <c r="F1630">
        <v>49.912071228000002</v>
      </c>
      <c r="G1630">
        <v>1372.6469727000001</v>
      </c>
      <c r="H1630">
        <v>1360.7736815999999</v>
      </c>
      <c r="I1630">
        <v>1306.0245361</v>
      </c>
      <c r="J1630">
        <v>1295.2692870999999</v>
      </c>
      <c r="K1630">
        <v>1375</v>
      </c>
      <c r="L1630">
        <v>0</v>
      </c>
      <c r="M1630">
        <v>0</v>
      </c>
      <c r="N1630">
        <v>1375</v>
      </c>
    </row>
    <row r="1631" spans="1:14" x14ac:dyDescent="0.25">
      <c r="A1631">
        <v>1096.2774429999999</v>
      </c>
      <c r="B1631" s="1">
        <f>DATE(2013,5,1) + TIME(6,39,31)</f>
        <v>41395.277442129627</v>
      </c>
      <c r="C1631">
        <v>80</v>
      </c>
      <c r="D1631">
        <v>61.486995696999998</v>
      </c>
      <c r="E1631">
        <v>50</v>
      </c>
      <c r="F1631">
        <v>49.906665801999999</v>
      </c>
      <c r="G1631">
        <v>1372.4929199000001</v>
      </c>
      <c r="H1631">
        <v>1360.7335204999999</v>
      </c>
      <c r="I1631">
        <v>1306.0338135</v>
      </c>
      <c r="J1631">
        <v>1295.2781981999999</v>
      </c>
      <c r="K1631">
        <v>1375</v>
      </c>
      <c r="L1631">
        <v>0</v>
      </c>
      <c r="M1631">
        <v>0</v>
      </c>
      <c r="N1631">
        <v>1375</v>
      </c>
    </row>
    <row r="1632" spans="1:14" x14ac:dyDescent="0.25">
      <c r="A1632">
        <v>1096.3218320000001</v>
      </c>
      <c r="B1632" s="1">
        <f>DATE(2013,5,1) + TIME(7,43,26)</f>
        <v>41395.321828703702</v>
      </c>
      <c r="C1632">
        <v>80</v>
      </c>
      <c r="D1632">
        <v>62.18585968</v>
      </c>
      <c r="E1632">
        <v>50</v>
      </c>
      <c r="F1632">
        <v>49.901191711000003</v>
      </c>
      <c r="G1632">
        <v>1372.3348389</v>
      </c>
      <c r="H1632">
        <v>1360.6845702999999</v>
      </c>
      <c r="I1632">
        <v>1306.0393065999999</v>
      </c>
      <c r="J1632">
        <v>1295.2834473</v>
      </c>
      <c r="K1632">
        <v>1375</v>
      </c>
      <c r="L1632">
        <v>0</v>
      </c>
      <c r="M1632">
        <v>0</v>
      </c>
      <c r="N1632">
        <v>1375</v>
      </c>
    </row>
    <row r="1633" spans="1:14" x14ac:dyDescent="0.25">
      <c r="A1633">
        <v>1096.3671870000001</v>
      </c>
      <c r="B1633" s="1">
        <f>DATE(2013,5,1) + TIME(8,48,44)</f>
        <v>41395.367175925923</v>
      </c>
      <c r="C1633">
        <v>80</v>
      </c>
      <c r="D1633">
        <v>62.873092651</v>
      </c>
      <c r="E1633">
        <v>50</v>
      </c>
      <c r="F1633">
        <v>49.895648956000002</v>
      </c>
      <c r="G1633">
        <v>1372.1788329999999</v>
      </c>
      <c r="H1633">
        <v>1360.6334228999999</v>
      </c>
      <c r="I1633">
        <v>1306.0423584</v>
      </c>
      <c r="J1633">
        <v>1295.2860106999999</v>
      </c>
      <c r="K1633">
        <v>1375</v>
      </c>
      <c r="L1633">
        <v>0</v>
      </c>
      <c r="M1633">
        <v>0</v>
      </c>
      <c r="N1633">
        <v>1375</v>
      </c>
    </row>
    <row r="1634" spans="1:14" x14ac:dyDescent="0.25">
      <c r="A1634">
        <v>1096.4135590000001</v>
      </c>
      <c r="B1634" s="1">
        <f>DATE(2013,5,1) + TIME(9,55,31)</f>
        <v>41395.413553240738</v>
      </c>
      <c r="C1634">
        <v>80</v>
      </c>
      <c r="D1634">
        <v>63.548717498999999</v>
      </c>
      <c r="E1634">
        <v>50</v>
      </c>
      <c r="F1634">
        <v>49.890037536999998</v>
      </c>
      <c r="G1634">
        <v>1372.0274658000001</v>
      </c>
      <c r="H1634">
        <v>1360.5826416</v>
      </c>
      <c r="I1634">
        <v>1306.0438231999999</v>
      </c>
      <c r="J1634">
        <v>1295.2871094</v>
      </c>
      <c r="K1634">
        <v>1375</v>
      </c>
      <c r="L1634">
        <v>0</v>
      </c>
      <c r="M1634">
        <v>0</v>
      </c>
      <c r="N1634">
        <v>1375</v>
      </c>
    </row>
    <row r="1635" spans="1:14" x14ac:dyDescent="0.25">
      <c r="A1635">
        <v>1096.4610029999999</v>
      </c>
      <c r="B1635" s="1">
        <f>DATE(2013,5,1) + TIME(11,3,50)</f>
        <v>41395.460995370369</v>
      </c>
      <c r="C1635">
        <v>80</v>
      </c>
      <c r="D1635">
        <v>64.212738036999994</v>
      </c>
      <c r="E1635">
        <v>50</v>
      </c>
      <c r="F1635">
        <v>49.884346008000001</v>
      </c>
      <c r="G1635">
        <v>1371.8814697</v>
      </c>
      <c r="H1635">
        <v>1360.5332031</v>
      </c>
      <c r="I1635">
        <v>1306.0444336</v>
      </c>
      <c r="J1635">
        <v>1295.2874756000001</v>
      </c>
      <c r="K1635">
        <v>1375</v>
      </c>
      <c r="L1635">
        <v>0</v>
      </c>
      <c r="M1635">
        <v>0</v>
      </c>
      <c r="N1635">
        <v>1375</v>
      </c>
    </row>
    <row r="1636" spans="1:14" x14ac:dyDescent="0.25">
      <c r="A1636">
        <v>1096.5095719999999</v>
      </c>
      <c r="B1636" s="1">
        <f>DATE(2013,5,1) + TIME(12,13,47)</f>
        <v>41395.509571759256</v>
      </c>
      <c r="C1636">
        <v>80</v>
      </c>
      <c r="D1636">
        <v>64.865119934000006</v>
      </c>
      <c r="E1636">
        <v>50</v>
      </c>
      <c r="F1636">
        <v>49.878570557000003</v>
      </c>
      <c r="G1636">
        <v>1371.7410889</v>
      </c>
      <c r="H1636">
        <v>1360.4855957</v>
      </c>
      <c r="I1636">
        <v>1306.0447998</v>
      </c>
      <c r="J1636">
        <v>1295.2873535000001</v>
      </c>
      <c r="K1636">
        <v>1375</v>
      </c>
      <c r="L1636">
        <v>0</v>
      </c>
      <c r="M1636">
        <v>0</v>
      </c>
      <c r="N1636">
        <v>1375</v>
      </c>
    </row>
    <row r="1637" spans="1:14" x14ac:dyDescent="0.25">
      <c r="A1637">
        <v>1096.5593220000001</v>
      </c>
      <c r="B1637" s="1">
        <f>DATE(2013,5,1) + TIME(13,25,25)</f>
        <v>41395.559317129628</v>
      </c>
      <c r="C1637">
        <v>80</v>
      </c>
      <c r="D1637">
        <v>65.505882263000004</v>
      </c>
      <c r="E1637">
        <v>50</v>
      </c>
      <c r="F1637">
        <v>49.872711182000003</v>
      </c>
      <c r="G1637">
        <v>1371.6064452999999</v>
      </c>
      <c r="H1637">
        <v>1360.4399414</v>
      </c>
      <c r="I1637">
        <v>1306.0447998</v>
      </c>
      <c r="J1637">
        <v>1295.2869873</v>
      </c>
      <c r="K1637">
        <v>1375</v>
      </c>
      <c r="L1637">
        <v>0</v>
      </c>
      <c r="M1637">
        <v>0</v>
      </c>
      <c r="N1637">
        <v>1375</v>
      </c>
    </row>
    <row r="1638" spans="1:14" x14ac:dyDescent="0.25">
      <c r="A1638">
        <v>1096.6103029999999</v>
      </c>
      <c r="B1638" s="1">
        <f>DATE(2013,5,1) + TIME(14,38,50)</f>
        <v>41395.610300925924</v>
      </c>
      <c r="C1638">
        <v>80</v>
      </c>
      <c r="D1638">
        <v>66.134735106999997</v>
      </c>
      <c r="E1638">
        <v>50</v>
      </c>
      <c r="F1638">
        <v>49.866764068999998</v>
      </c>
      <c r="G1638">
        <v>1371.4771728999999</v>
      </c>
      <c r="H1638">
        <v>1360.3961182</v>
      </c>
      <c r="I1638">
        <v>1306.0447998</v>
      </c>
      <c r="J1638">
        <v>1295.2866211</v>
      </c>
      <c r="K1638">
        <v>1375</v>
      </c>
      <c r="L1638">
        <v>0</v>
      </c>
      <c r="M1638">
        <v>0</v>
      </c>
      <c r="N1638">
        <v>1375</v>
      </c>
    </row>
    <row r="1639" spans="1:14" x14ac:dyDescent="0.25">
      <c r="A1639">
        <v>1096.662581</v>
      </c>
      <c r="B1639" s="1">
        <f>DATE(2013,5,1) + TIME(15,54,6)</f>
        <v>41395.662569444445</v>
      </c>
      <c r="C1639">
        <v>80</v>
      </c>
      <c r="D1639">
        <v>66.751571655000006</v>
      </c>
      <c r="E1639">
        <v>50</v>
      </c>
      <c r="F1639">
        <v>49.860721587999997</v>
      </c>
      <c r="G1639">
        <v>1371.3531493999999</v>
      </c>
      <c r="H1639">
        <v>1360.354126</v>
      </c>
      <c r="I1639">
        <v>1306.0446777</v>
      </c>
      <c r="J1639">
        <v>1295.2861327999999</v>
      </c>
      <c r="K1639">
        <v>1375</v>
      </c>
      <c r="L1639">
        <v>0</v>
      </c>
      <c r="M1639">
        <v>0</v>
      </c>
      <c r="N1639">
        <v>1375</v>
      </c>
    </row>
    <row r="1640" spans="1:14" x14ac:dyDescent="0.25">
      <c r="A1640">
        <v>1096.7162370000001</v>
      </c>
      <c r="B1640" s="1">
        <f>DATE(2013,5,1) + TIME(17,11,22)</f>
        <v>41395.716226851851</v>
      </c>
      <c r="C1640">
        <v>80</v>
      </c>
      <c r="D1640">
        <v>67.356422424000002</v>
      </c>
      <c r="E1640">
        <v>50</v>
      </c>
      <c r="F1640">
        <v>49.854579926</v>
      </c>
      <c r="G1640">
        <v>1371.2341309000001</v>
      </c>
      <c r="H1640">
        <v>1360.3137207</v>
      </c>
      <c r="I1640">
        <v>1306.0444336</v>
      </c>
      <c r="J1640">
        <v>1295.2855225000001</v>
      </c>
      <c r="K1640">
        <v>1375</v>
      </c>
      <c r="L1640">
        <v>0</v>
      </c>
      <c r="M1640">
        <v>0</v>
      </c>
      <c r="N1640">
        <v>1375</v>
      </c>
    </row>
    <row r="1641" spans="1:14" x14ac:dyDescent="0.25">
      <c r="A1641">
        <v>1096.771352</v>
      </c>
      <c r="B1641" s="1">
        <f>DATE(2013,5,1) + TIME(18,30,44)</f>
        <v>41395.77134259259</v>
      </c>
      <c r="C1641">
        <v>80</v>
      </c>
      <c r="D1641">
        <v>67.949226378999995</v>
      </c>
      <c r="E1641">
        <v>50</v>
      </c>
      <c r="F1641">
        <v>49.848327636999997</v>
      </c>
      <c r="G1641">
        <v>1371.119751</v>
      </c>
      <c r="H1641">
        <v>1360.2750243999999</v>
      </c>
      <c r="I1641">
        <v>1306.0441894999999</v>
      </c>
      <c r="J1641">
        <v>1295.2849120999999</v>
      </c>
      <c r="K1641">
        <v>1375</v>
      </c>
      <c r="L1641">
        <v>0</v>
      </c>
      <c r="M1641">
        <v>0</v>
      </c>
      <c r="N1641">
        <v>1375</v>
      </c>
    </row>
    <row r="1642" spans="1:14" x14ac:dyDescent="0.25">
      <c r="A1642">
        <v>1096.8280119999999</v>
      </c>
      <c r="B1642" s="1">
        <f>DATE(2013,5,1) + TIME(19,52,20)</f>
        <v>41395.828009259261</v>
      </c>
      <c r="C1642">
        <v>80</v>
      </c>
      <c r="D1642">
        <v>68.529891968000001</v>
      </c>
      <c r="E1642">
        <v>50</v>
      </c>
      <c r="F1642">
        <v>49.841960907000001</v>
      </c>
      <c r="G1642">
        <v>1371.0100098</v>
      </c>
      <c r="H1642">
        <v>1360.2376709</v>
      </c>
      <c r="I1642">
        <v>1306.0439452999999</v>
      </c>
      <c r="J1642">
        <v>1295.2841797000001</v>
      </c>
      <c r="K1642">
        <v>1375</v>
      </c>
      <c r="L1642">
        <v>0</v>
      </c>
      <c r="M1642">
        <v>0</v>
      </c>
      <c r="N1642">
        <v>1375</v>
      </c>
    </row>
    <row r="1643" spans="1:14" x14ac:dyDescent="0.25">
      <c r="A1643">
        <v>1096.886311</v>
      </c>
      <c r="B1643" s="1">
        <f>DATE(2013,5,1) + TIME(21,16,17)</f>
        <v>41395.886307870373</v>
      </c>
      <c r="C1643">
        <v>80</v>
      </c>
      <c r="D1643">
        <v>69.098335266000007</v>
      </c>
      <c r="E1643">
        <v>50</v>
      </c>
      <c r="F1643">
        <v>49.835475922000001</v>
      </c>
      <c r="G1643">
        <v>1370.9044189000001</v>
      </c>
      <c r="H1643">
        <v>1360.2017822</v>
      </c>
      <c r="I1643">
        <v>1306.0437012</v>
      </c>
      <c r="J1643">
        <v>1295.2834473</v>
      </c>
      <c r="K1643">
        <v>1375</v>
      </c>
      <c r="L1643">
        <v>0</v>
      </c>
      <c r="M1643">
        <v>0</v>
      </c>
      <c r="N1643">
        <v>1375</v>
      </c>
    </row>
    <row r="1644" spans="1:14" x14ac:dyDescent="0.25">
      <c r="A1644">
        <v>1096.946351</v>
      </c>
      <c r="B1644" s="1">
        <f>DATE(2013,5,1) + TIME(22,42,44)</f>
        <v>41395.946342592593</v>
      </c>
      <c r="C1644">
        <v>80</v>
      </c>
      <c r="D1644">
        <v>69.654441833000007</v>
      </c>
      <c r="E1644">
        <v>50</v>
      </c>
      <c r="F1644">
        <v>49.828857421999999</v>
      </c>
      <c r="G1644">
        <v>1370.8029785000001</v>
      </c>
      <c r="H1644">
        <v>1360.1671143000001</v>
      </c>
      <c r="I1644">
        <v>1306.0433350000001</v>
      </c>
      <c r="J1644">
        <v>1295.2827147999999</v>
      </c>
      <c r="K1644">
        <v>1375</v>
      </c>
      <c r="L1644">
        <v>0</v>
      </c>
      <c r="M1644">
        <v>0</v>
      </c>
      <c r="N1644">
        <v>1375</v>
      </c>
    </row>
    <row r="1645" spans="1:14" x14ac:dyDescent="0.25">
      <c r="A1645">
        <v>1097.0082399999999</v>
      </c>
      <c r="B1645" s="1">
        <f>DATE(2013,5,2) + TIME(0,11,51)</f>
        <v>41396.008229166669</v>
      </c>
      <c r="C1645">
        <v>80</v>
      </c>
      <c r="D1645">
        <v>70.197937011999997</v>
      </c>
      <c r="E1645">
        <v>50</v>
      </c>
      <c r="F1645">
        <v>49.822105407999999</v>
      </c>
      <c r="G1645">
        <v>1370.7052002</v>
      </c>
      <c r="H1645">
        <v>1360.1335449000001</v>
      </c>
      <c r="I1645">
        <v>1306.0428466999999</v>
      </c>
      <c r="J1645">
        <v>1295.2818603999999</v>
      </c>
      <c r="K1645">
        <v>1375</v>
      </c>
      <c r="L1645">
        <v>0</v>
      </c>
      <c r="M1645">
        <v>0</v>
      </c>
      <c r="N1645">
        <v>1375</v>
      </c>
    </row>
    <row r="1646" spans="1:14" x14ac:dyDescent="0.25">
      <c r="A1646">
        <v>1097.072101</v>
      </c>
      <c r="B1646" s="1">
        <f>DATE(2013,5,2) + TIME(1,43,49)</f>
        <v>41396.072094907409</v>
      </c>
      <c r="C1646">
        <v>80</v>
      </c>
      <c r="D1646">
        <v>70.728576660000002</v>
      </c>
      <c r="E1646">
        <v>50</v>
      </c>
      <c r="F1646">
        <v>49.815204620000003</v>
      </c>
      <c r="G1646">
        <v>1370.6112060999999</v>
      </c>
      <c r="H1646">
        <v>1360.1010742000001</v>
      </c>
      <c r="I1646">
        <v>1306.0424805</v>
      </c>
      <c r="J1646">
        <v>1295.2810059000001</v>
      </c>
      <c r="K1646">
        <v>1375</v>
      </c>
      <c r="L1646">
        <v>0</v>
      </c>
      <c r="M1646">
        <v>0</v>
      </c>
      <c r="N1646">
        <v>1375</v>
      </c>
    </row>
    <row r="1647" spans="1:14" x14ac:dyDescent="0.25">
      <c r="A1647">
        <v>1097.138062</v>
      </c>
      <c r="B1647" s="1">
        <f>DATE(2013,5,2) + TIME(3,18,48)</f>
        <v>41396.138055555559</v>
      </c>
      <c r="C1647">
        <v>80</v>
      </c>
      <c r="D1647">
        <v>71.246452332000004</v>
      </c>
      <c r="E1647">
        <v>50</v>
      </c>
      <c r="F1647">
        <v>49.808143616000002</v>
      </c>
      <c r="G1647">
        <v>1370.5205077999999</v>
      </c>
      <c r="H1647">
        <v>1360.0693358999999</v>
      </c>
      <c r="I1647">
        <v>1306.0419922000001</v>
      </c>
      <c r="J1647">
        <v>1295.2800293</v>
      </c>
      <c r="K1647">
        <v>1375</v>
      </c>
      <c r="L1647">
        <v>0</v>
      </c>
      <c r="M1647">
        <v>0</v>
      </c>
      <c r="N1647">
        <v>1375</v>
      </c>
    </row>
    <row r="1648" spans="1:14" x14ac:dyDescent="0.25">
      <c r="A1648">
        <v>1097.2062699999999</v>
      </c>
      <c r="B1648" s="1">
        <f>DATE(2013,5,2) + TIME(4,57,1)</f>
        <v>41396.206261574072</v>
      </c>
      <c r="C1648">
        <v>80</v>
      </c>
      <c r="D1648">
        <v>71.751419067</v>
      </c>
      <c r="E1648">
        <v>50</v>
      </c>
      <c r="F1648">
        <v>49.800918578999998</v>
      </c>
      <c r="G1648">
        <v>1370.4329834</v>
      </c>
      <c r="H1648">
        <v>1360.0385742000001</v>
      </c>
      <c r="I1648">
        <v>1306.0415039</v>
      </c>
      <c r="J1648">
        <v>1295.2791748</v>
      </c>
      <c r="K1648">
        <v>1375</v>
      </c>
      <c r="L1648">
        <v>0</v>
      </c>
      <c r="M1648">
        <v>0</v>
      </c>
      <c r="N1648">
        <v>1375</v>
      </c>
    </row>
    <row r="1649" spans="1:14" x14ac:dyDescent="0.25">
      <c r="A1649">
        <v>1097.27691</v>
      </c>
      <c r="B1649" s="1">
        <f>DATE(2013,5,2) + TIME(6,38,44)</f>
        <v>41396.276898148149</v>
      </c>
      <c r="C1649">
        <v>80</v>
      </c>
      <c r="D1649">
        <v>72.243484496999997</v>
      </c>
      <c r="E1649">
        <v>50</v>
      </c>
      <c r="F1649">
        <v>49.793510437000002</v>
      </c>
      <c r="G1649">
        <v>1370.3485106999999</v>
      </c>
      <c r="H1649">
        <v>1360.0083007999999</v>
      </c>
      <c r="I1649">
        <v>1306.0408935999999</v>
      </c>
      <c r="J1649">
        <v>1295.2780762</v>
      </c>
      <c r="K1649">
        <v>1375</v>
      </c>
      <c r="L1649">
        <v>0</v>
      </c>
      <c r="M1649">
        <v>0</v>
      </c>
      <c r="N1649">
        <v>1375</v>
      </c>
    </row>
    <row r="1650" spans="1:14" x14ac:dyDescent="0.25">
      <c r="A1650">
        <v>1097.350126</v>
      </c>
      <c r="B1650" s="1">
        <f>DATE(2013,5,2) + TIME(8,24,10)</f>
        <v>41396.350115740737</v>
      </c>
      <c r="C1650">
        <v>80</v>
      </c>
      <c r="D1650">
        <v>72.722259520999998</v>
      </c>
      <c r="E1650">
        <v>50</v>
      </c>
      <c r="F1650">
        <v>49.785907745000003</v>
      </c>
      <c r="G1650">
        <v>1370.2668457</v>
      </c>
      <c r="H1650">
        <v>1359.9787598</v>
      </c>
      <c r="I1650">
        <v>1306.0402832</v>
      </c>
      <c r="J1650">
        <v>1295.2770995999999</v>
      </c>
      <c r="K1650">
        <v>1375</v>
      </c>
      <c r="L1650">
        <v>0</v>
      </c>
      <c r="M1650">
        <v>0</v>
      </c>
      <c r="N1650">
        <v>1375</v>
      </c>
    </row>
    <row r="1651" spans="1:14" x14ac:dyDescent="0.25">
      <c r="A1651">
        <v>1097.426111</v>
      </c>
      <c r="B1651" s="1">
        <f>DATE(2013,5,2) + TIME(10,13,35)</f>
        <v>41396.426099537035</v>
      </c>
      <c r="C1651">
        <v>80</v>
      </c>
      <c r="D1651">
        <v>73.187553406000006</v>
      </c>
      <c r="E1651">
        <v>50</v>
      </c>
      <c r="F1651">
        <v>49.778095245000003</v>
      </c>
      <c r="G1651">
        <v>1370.1877440999999</v>
      </c>
      <c r="H1651">
        <v>1359.9495850000001</v>
      </c>
      <c r="I1651">
        <v>1306.0396728999999</v>
      </c>
      <c r="J1651">
        <v>1295.2758789</v>
      </c>
      <c r="K1651">
        <v>1375</v>
      </c>
      <c r="L1651">
        <v>0</v>
      </c>
      <c r="M1651">
        <v>0</v>
      </c>
      <c r="N1651">
        <v>1375</v>
      </c>
    </row>
    <row r="1652" spans="1:14" x14ac:dyDescent="0.25">
      <c r="A1652">
        <v>1097.505075</v>
      </c>
      <c r="B1652" s="1">
        <f>DATE(2013,5,2) + TIME(12,7,18)</f>
        <v>41396.505069444444</v>
      </c>
      <c r="C1652">
        <v>80</v>
      </c>
      <c r="D1652">
        <v>73.639144896999994</v>
      </c>
      <c r="E1652">
        <v>50</v>
      </c>
      <c r="F1652">
        <v>49.770065308</v>
      </c>
      <c r="G1652">
        <v>1370.1110839999999</v>
      </c>
      <c r="H1652">
        <v>1359.9208983999999</v>
      </c>
      <c r="I1652">
        <v>1306.0390625</v>
      </c>
      <c r="J1652">
        <v>1295.2747803</v>
      </c>
      <c r="K1652">
        <v>1375</v>
      </c>
      <c r="L1652">
        <v>0</v>
      </c>
      <c r="M1652">
        <v>0</v>
      </c>
      <c r="N1652">
        <v>1375</v>
      </c>
    </row>
    <row r="1653" spans="1:14" x14ac:dyDescent="0.25">
      <c r="A1653">
        <v>1097.5872529999999</v>
      </c>
      <c r="B1653" s="1">
        <f>DATE(2013,5,2) + TIME(14,5,38)</f>
        <v>41396.587245370371</v>
      </c>
      <c r="C1653">
        <v>80</v>
      </c>
      <c r="D1653">
        <v>74.076820373999993</v>
      </c>
      <c r="E1653">
        <v>50</v>
      </c>
      <c r="F1653">
        <v>49.761791229000004</v>
      </c>
      <c r="G1653">
        <v>1370.0367432</v>
      </c>
      <c r="H1653">
        <v>1359.8923339999999</v>
      </c>
      <c r="I1653">
        <v>1306.0383300999999</v>
      </c>
      <c r="J1653">
        <v>1295.2735596</v>
      </c>
      <c r="K1653">
        <v>1375</v>
      </c>
      <c r="L1653">
        <v>0</v>
      </c>
      <c r="M1653">
        <v>0</v>
      </c>
      <c r="N1653">
        <v>1375</v>
      </c>
    </row>
    <row r="1654" spans="1:14" x14ac:dyDescent="0.25">
      <c r="A1654">
        <v>1097.672908</v>
      </c>
      <c r="B1654" s="1">
        <f>DATE(2013,5,2) + TIME(16,8,59)</f>
        <v>41396.672905092593</v>
      </c>
      <c r="C1654">
        <v>80</v>
      </c>
      <c r="D1654">
        <v>74.500366210999999</v>
      </c>
      <c r="E1654">
        <v>50</v>
      </c>
      <c r="F1654">
        <v>49.753257751</v>
      </c>
      <c r="G1654">
        <v>1369.9644774999999</v>
      </c>
      <c r="H1654">
        <v>1359.8638916</v>
      </c>
      <c r="I1654">
        <v>1306.0375977000001</v>
      </c>
      <c r="J1654">
        <v>1295.2722168</v>
      </c>
      <c r="K1654">
        <v>1375</v>
      </c>
      <c r="L1654">
        <v>0</v>
      </c>
      <c r="M1654">
        <v>0</v>
      </c>
      <c r="N1654">
        <v>1375</v>
      </c>
    </row>
    <row r="1655" spans="1:14" x14ac:dyDescent="0.25">
      <c r="A1655">
        <v>1097.7623309999999</v>
      </c>
      <c r="B1655" s="1">
        <f>DATE(2013,5,2) + TIME(18,17,45)</f>
        <v>41396.762326388889</v>
      </c>
      <c r="C1655">
        <v>80</v>
      </c>
      <c r="D1655">
        <v>74.909538268999995</v>
      </c>
      <c r="E1655">
        <v>50</v>
      </c>
      <c r="F1655">
        <v>49.744445800999998</v>
      </c>
      <c r="G1655">
        <v>1369.894043</v>
      </c>
      <c r="H1655">
        <v>1359.8354492000001</v>
      </c>
      <c r="I1655">
        <v>1306.0367432</v>
      </c>
      <c r="J1655">
        <v>1295.2709961</v>
      </c>
      <c r="K1655">
        <v>1375</v>
      </c>
      <c r="L1655">
        <v>0</v>
      </c>
      <c r="M1655">
        <v>0</v>
      </c>
      <c r="N1655">
        <v>1375</v>
      </c>
    </row>
    <row r="1656" spans="1:14" x14ac:dyDescent="0.25">
      <c r="A1656">
        <v>1097.8558539999999</v>
      </c>
      <c r="B1656" s="1">
        <f>DATE(2013,5,2) + TIME(20,32,25)</f>
        <v>41396.855844907404</v>
      </c>
      <c r="C1656">
        <v>80</v>
      </c>
      <c r="D1656">
        <v>75.303871154999996</v>
      </c>
      <c r="E1656">
        <v>50</v>
      </c>
      <c r="F1656">
        <v>49.735324859999999</v>
      </c>
      <c r="G1656">
        <v>1369.8253173999999</v>
      </c>
      <c r="H1656">
        <v>1359.8068848</v>
      </c>
      <c r="I1656">
        <v>1306.0358887</v>
      </c>
      <c r="J1656">
        <v>1295.2695312000001</v>
      </c>
      <c r="K1656">
        <v>1375</v>
      </c>
      <c r="L1656">
        <v>0</v>
      </c>
      <c r="M1656">
        <v>0</v>
      </c>
      <c r="N1656">
        <v>1375</v>
      </c>
    </row>
    <row r="1657" spans="1:14" x14ac:dyDescent="0.25">
      <c r="A1657">
        <v>1097.9538480000001</v>
      </c>
      <c r="B1657" s="1">
        <f>DATE(2013,5,2) + TIME(22,53,32)</f>
        <v>41396.953842592593</v>
      </c>
      <c r="C1657">
        <v>80</v>
      </c>
      <c r="D1657">
        <v>75.683273314999994</v>
      </c>
      <c r="E1657">
        <v>50</v>
      </c>
      <c r="F1657">
        <v>49.725875854000002</v>
      </c>
      <c r="G1657">
        <v>1369.7581786999999</v>
      </c>
      <c r="H1657">
        <v>1359.7781981999999</v>
      </c>
      <c r="I1657">
        <v>1306.0350341999999</v>
      </c>
      <c r="J1657">
        <v>1295.2680664</v>
      </c>
      <c r="K1657">
        <v>1375</v>
      </c>
      <c r="L1657">
        <v>0</v>
      </c>
      <c r="M1657">
        <v>0</v>
      </c>
      <c r="N1657">
        <v>1375</v>
      </c>
    </row>
    <row r="1658" spans="1:14" x14ac:dyDescent="0.25">
      <c r="A1658">
        <v>1098.056738</v>
      </c>
      <c r="B1658" s="1">
        <f>DATE(2013,5,3) + TIME(1,21,42)</f>
        <v>41397.05673611111</v>
      </c>
      <c r="C1658">
        <v>80</v>
      </c>
      <c r="D1658">
        <v>76.047569275000001</v>
      </c>
      <c r="E1658">
        <v>50</v>
      </c>
      <c r="F1658">
        <v>49.716060638000002</v>
      </c>
      <c r="G1658">
        <v>1369.6923827999999</v>
      </c>
      <c r="H1658">
        <v>1359.7490233999999</v>
      </c>
      <c r="I1658">
        <v>1306.0340576000001</v>
      </c>
      <c r="J1658">
        <v>1295.2666016000001</v>
      </c>
      <c r="K1658">
        <v>1375</v>
      </c>
      <c r="L1658">
        <v>0</v>
      </c>
      <c r="M1658">
        <v>0</v>
      </c>
      <c r="N1658">
        <v>1375</v>
      </c>
    </row>
    <row r="1659" spans="1:14" x14ac:dyDescent="0.25">
      <c r="A1659">
        <v>1098.1650609999999</v>
      </c>
      <c r="B1659" s="1">
        <f>DATE(2013,5,3) + TIME(3,57,41)</f>
        <v>41397.16505787037</v>
      </c>
      <c r="C1659">
        <v>80</v>
      </c>
      <c r="D1659">
        <v>76.396667480000005</v>
      </c>
      <c r="E1659">
        <v>50</v>
      </c>
      <c r="F1659">
        <v>49.705848693999997</v>
      </c>
      <c r="G1659">
        <v>1369.6275635</v>
      </c>
      <c r="H1659">
        <v>1359.7193603999999</v>
      </c>
      <c r="I1659">
        <v>1306.0330810999999</v>
      </c>
      <c r="J1659">
        <v>1295.2650146000001</v>
      </c>
      <c r="K1659">
        <v>1375</v>
      </c>
      <c r="L1659">
        <v>0</v>
      </c>
      <c r="M1659">
        <v>0</v>
      </c>
      <c r="N1659">
        <v>1375</v>
      </c>
    </row>
    <row r="1660" spans="1:14" x14ac:dyDescent="0.25">
      <c r="A1660">
        <v>1098.2793549999999</v>
      </c>
      <c r="B1660" s="1">
        <f>DATE(2013,5,3) + TIME(6,42,16)</f>
        <v>41397.279351851852</v>
      </c>
      <c r="C1660">
        <v>80</v>
      </c>
      <c r="D1660">
        <v>76.730232239000003</v>
      </c>
      <c r="E1660">
        <v>50</v>
      </c>
      <c r="F1660">
        <v>49.695190429999997</v>
      </c>
      <c r="G1660">
        <v>1369.5637207</v>
      </c>
      <c r="H1660">
        <v>1359.6890868999999</v>
      </c>
      <c r="I1660">
        <v>1306.0319824000001</v>
      </c>
      <c r="J1660">
        <v>1295.2633057</v>
      </c>
      <c r="K1660">
        <v>1375</v>
      </c>
      <c r="L1660">
        <v>0</v>
      </c>
      <c r="M1660">
        <v>0</v>
      </c>
      <c r="N1660">
        <v>1375</v>
      </c>
    </row>
    <row r="1661" spans="1:14" x14ac:dyDescent="0.25">
      <c r="A1661">
        <v>1098.4002419999999</v>
      </c>
      <c r="B1661" s="1">
        <f>DATE(2013,5,3) + TIME(9,36,20)</f>
        <v>41397.400231481479</v>
      </c>
      <c r="C1661">
        <v>80</v>
      </c>
      <c r="D1661">
        <v>77.047943114999995</v>
      </c>
      <c r="E1661">
        <v>50</v>
      </c>
      <c r="F1661">
        <v>49.684051513999997</v>
      </c>
      <c r="G1661">
        <v>1369.5006103999999</v>
      </c>
      <c r="H1661">
        <v>1359.6579589999999</v>
      </c>
      <c r="I1661">
        <v>1306.0308838000001</v>
      </c>
      <c r="J1661">
        <v>1295.2614745999999</v>
      </c>
      <c r="K1661">
        <v>1375</v>
      </c>
      <c r="L1661">
        <v>0</v>
      </c>
      <c r="M1661">
        <v>0</v>
      </c>
      <c r="N1661">
        <v>1375</v>
      </c>
    </row>
    <row r="1662" spans="1:14" x14ac:dyDescent="0.25">
      <c r="A1662">
        <v>1098.528476</v>
      </c>
      <c r="B1662" s="1">
        <f>DATE(2013,5,3) + TIME(12,41,0)</f>
        <v>41397.52847222222</v>
      </c>
      <c r="C1662">
        <v>80</v>
      </c>
      <c r="D1662">
        <v>77.349555968999994</v>
      </c>
      <c r="E1662">
        <v>50</v>
      </c>
      <c r="F1662">
        <v>49.672374724999997</v>
      </c>
      <c r="G1662">
        <v>1369.4379882999999</v>
      </c>
      <c r="H1662">
        <v>1359.6258545000001</v>
      </c>
      <c r="I1662">
        <v>1306.0296631000001</v>
      </c>
      <c r="J1662">
        <v>1295.2596435999999</v>
      </c>
      <c r="K1662">
        <v>1375</v>
      </c>
      <c r="L1662">
        <v>0</v>
      </c>
      <c r="M1662">
        <v>0</v>
      </c>
      <c r="N1662">
        <v>1375</v>
      </c>
    </row>
    <row r="1663" spans="1:14" x14ac:dyDescent="0.25">
      <c r="A1663">
        <v>1098.6649379999999</v>
      </c>
      <c r="B1663" s="1">
        <f>DATE(2013,5,3) + TIME(15,57,30)</f>
        <v>41397.664930555555</v>
      </c>
      <c r="C1663">
        <v>80</v>
      </c>
      <c r="D1663">
        <v>77.634841918999996</v>
      </c>
      <c r="E1663">
        <v>50</v>
      </c>
      <c r="F1663">
        <v>49.660102844000001</v>
      </c>
      <c r="G1663">
        <v>1369.3756103999999</v>
      </c>
      <c r="H1663">
        <v>1359.5926514</v>
      </c>
      <c r="I1663">
        <v>1306.0283202999999</v>
      </c>
      <c r="J1663">
        <v>1295.2576904</v>
      </c>
      <c r="K1663">
        <v>1375</v>
      </c>
      <c r="L1663">
        <v>0</v>
      </c>
      <c r="M1663">
        <v>0</v>
      </c>
      <c r="N1663">
        <v>1375</v>
      </c>
    </row>
    <row r="1664" spans="1:14" x14ac:dyDescent="0.25">
      <c r="A1664">
        <v>1098.8106620000001</v>
      </c>
      <c r="B1664" s="1">
        <f>DATE(2013,5,3) + TIME(19,27,21)</f>
        <v>41397.810659722221</v>
      </c>
      <c r="C1664">
        <v>80</v>
      </c>
      <c r="D1664">
        <v>77.903556824000006</v>
      </c>
      <c r="E1664">
        <v>50</v>
      </c>
      <c r="F1664">
        <v>49.647159576</v>
      </c>
      <c r="G1664">
        <v>1369.3132324000001</v>
      </c>
      <c r="H1664">
        <v>1359.5581055</v>
      </c>
      <c r="I1664">
        <v>1306.0269774999999</v>
      </c>
      <c r="J1664">
        <v>1295.2556152</v>
      </c>
      <c r="K1664">
        <v>1375</v>
      </c>
      <c r="L1664">
        <v>0</v>
      </c>
      <c r="M1664">
        <v>0</v>
      </c>
      <c r="N1664">
        <v>1375</v>
      </c>
    </row>
    <row r="1665" spans="1:14" x14ac:dyDescent="0.25">
      <c r="A1665">
        <v>1098.9668859999999</v>
      </c>
      <c r="B1665" s="1">
        <f>DATE(2013,5,3) + TIME(23,12,18)</f>
        <v>41397.966874999998</v>
      </c>
      <c r="C1665">
        <v>80</v>
      </c>
      <c r="D1665">
        <v>78.155494689999998</v>
      </c>
      <c r="E1665">
        <v>50</v>
      </c>
      <c r="F1665">
        <v>49.633460999</v>
      </c>
      <c r="G1665">
        <v>1369.2506103999999</v>
      </c>
      <c r="H1665">
        <v>1359.5219727000001</v>
      </c>
      <c r="I1665">
        <v>1306.0255127</v>
      </c>
      <c r="J1665">
        <v>1295.253418</v>
      </c>
      <c r="K1665">
        <v>1375</v>
      </c>
      <c r="L1665">
        <v>0</v>
      </c>
      <c r="M1665">
        <v>0</v>
      </c>
      <c r="N1665">
        <v>1375</v>
      </c>
    </row>
    <row r="1666" spans="1:14" x14ac:dyDescent="0.25">
      <c r="A1666">
        <v>1099.135143</v>
      </c>
      <c r="B1666" s="1">
        <f>DATE(2013,5,4) + TIME(3,14,36)</f>
        <v>41398.135138888887</v>
      </c>
      <c r="C1666">
        <v>80</v>
      </c>
      <c r="D1666">
        <v>78.390487671000002</v>
      </c>
      <c r="E1666">
        <v>50</v>
      </c>
      <c r="F1666">
        <v>49.618904114000003</v>
      </c>
      <c r="G1666">
        <v>1369.1872559000001</v>
      </c>
      <c r="H1666">
        <v>1359.4841309000001</v>
      </c>
      <c r="I1666">
        <v>1306.0239257999999</v>
      </c>
      <c r="J1666">
        <v>1295.2509766000001</v>
      </c>
      <c r="K1666">
        <v>1375</v>
      </c>
      <c r="L1666">
        <v>0</v>
      </c>
      <c r="M1666">
        <v>0</v>
      </c>
      <c r="N1666">
        <v>1375</v>
      </c>
    </row>
    <row r="1667" spans="1:14" x14ac:dyDescent="0.25">
      <c r="A1667">
        <v>1099.3137819999999</v>
      </c>
      <c r="B1667" s="1">
        <f>DATE(2013,5,4) + TIME(7,31,50)</f>
        <v>41398.313773148147</v>
      </c>
      <c r="C1667">
        <v>80</v>
      </c>
      <c r="D1667">
        <v>78.604797363000003</v>
      </c>
      <c r="E1667">
        <v>50</v>
      </c>
      <c r="F1667">
        <v>49.603630066000001</v>
      </c>
      <c r="G1667">
        <v>1369.1243896000001</v>
      </c>
      <c r="H1667">
        <v>1359.4449463000001</v>
      </c>
      <c r="I1667">
        <v>1306.0222168</v>
      </c>
      <c r="J1667">
        <v>1295.2484131000001</v>
      </c>
      <c r="K1667">
        <v>1375</v>
      </c>
      <c r="L1667">
        <v>0</v>
      </c>
      <c r="M1667">
        <v>0</v>
      </c>
      <c r="N1667">
        <v>1375</v>
      </c>
    </row>
    <row r="1668" spans="1:14" x14ac:dyDescent="0.25">
      <c r="A1668">
        <v>1099.4941699999999</v>
      </c>
      <c r="B1668" s="1">
        <f>DATE(2013,5,4) + TIME(11,51,36)</f>
        <v>41398.494166666664</v>
      </c>
      <c r="C1668">
        <v>80</v>
      </c>
      <c r="D1668">
        <v>78.790428161999998</v>
      </c>
      <c r="E1668">
        <v>50</v>
      </c>
      <c r="F1668">
        <v>49.588302612</v>
      </c>
      <c r="G1668">
        <v>1369.0642089999999</v>
      </c>
      <c r="H1668">
        <v>1359.4056396000001</v>
      </c>
      <c r="I1668">
        <v>1306.0202637</v>
      </c>
      <c r="J1668">
        <v>1295.2458495999999</v>
      </c>
      <c r="K1668">
        <v>1375</v>
      </c>
      <c r="L1668">
        <v>0</v>
      </c>
      <c r="M1668">
        <v>0</v>
      </c>
      <c r="N1668">
        <v>1375</v>
      </c>
    </row>
    <row r="1669" spans="1:14" x14ac:dyDescent="0.25">
      <c r="A1669">
        <v>1099.6764700000001</v>
      </c>
      <c r="B1669" s="1">
        <f>DATE(2013,5,4) + TIME(16,14,6)</f>
        <v>41398.676458333335</v>
      </c>
      <c r="C1669">
        <v>80</v>
      </c>
      <c r="D1669">
        <v>78.951110839999998</v>
      </c>
      <c r="E1669">
        <v>50</v>
      </c>
      <c r="F1669">
        <v>49.572906494000001</v>
      </c>
      <c r="G1669">
        <v>1369.0062256000001</v>
      </c>
      <c r="H1669">
        <v>1359.3665771000001</v>
      </c>
      <c r="I1669">
        <v>1306.0184326000001</v>
      </c>
      <c r="J1669">
        <v>1295.2430420000001</v>
      </c>
      <c r="K1669">
        <v>1375</v>
      </c>
      <c r="L1669">
        <v>0</v>
      </c>
      <c r="M1669">
        <v>0</v>
      </c>
      <c r="N1669">
        <v>1375</v>
      </c>
    </row>
    <row r="1670" spans="1:14" x14ac:dyDescent="0.25">
      <c r="A1670">
        <v>1099.8610169999999</v>
      </c>
      <c r="B1670" s="1">
        <f>DATE(2013,5,4) + TIME(20,39,51)</f>
        <v>41398.861006944448</v>
      </c>
      <c r="C1670">
        <v>80</v>
      </c>
      <c r="D1670">
        <v>79.090202332000004</v>
      </c>
      <c r="E1670">
        <v>50</v>
      </c>
      <c r="F1670">
        <v>49.557415009000003</v>
      </c>
      <c r="G1670">
        <v>1368.9500731999999</v>
      </c>
      <c r="H1670">
        <v>1359.3277588000001</v>
      </c>
      <c r="I1670">
        <v>1306.0164795000001</v>
      </c>
      <c r="J1670">
        <v>1295.2403564000001</v>
      </c>
      <c r="K1670">
        <v>1375</v>
      </c>
      <c r="L1670">
        <v>0</v>
      </c>
      <c r="M1670">
        <v>0</v>
      </c>
      <c r="N1670">
        <v>1375</v>
      </c>
    </row>
    <row r="1671" spans="1:14" x14ac:dyDescent="0.25">
      <c r="A1671">
        <v>1100.0482420000001</v>
      </c>
      <c r="B1671" s="1">
        <f>DATE(2013,5,5) + TIME(1,9,28)</f>
        <v>41399.04824074074</v>
      </c>
      <c r="C1671">
        <v>80</v>
      </c>
      <c r="D1671">
        <v>79.210617064999994</v>
      </c>
      <c r="E1671">
        <v>50</v>
      </c>
      <c r="F1671">
        <v>49.541801452999998</v>
      </c>
      <c r="G1671">
        <v>1368.8953856999999</v>
      </c>
      <c r="H1671">
        <v>1359.2890625</v>
      </c>
      <c r="I1671">
        <v>1306.0144043</v>
      </c>
      <c r="J1671">
        <v>1295.2376709</v>
      </c>
      <c r="K1671">
        <v>1375</v>
      </c>
      <c r="L1671">
        <v>0</v>
      </c>
      <c r="M1671">
        <v>0</v>
      </c>
      <c r="N1671">
        <v>1375</v>
      </c>
    </row>
    <row r="1672" spans="1:14" x14ac:dyDescent="0.25">
      <c r="A1672">
        <v>1100.2385810000001</v>
      </c>
      <c r="B1672" s="1">
        <f>DATE(2013,5,5) + TIME(5,43,33)</f>
        <v>41399.238576388889</v>
      </c>
      <c r="C1672">
        <v>80</v>
      </c>
      <c r="D1672">
        <v>79.314849854000002</v>
      </c>
      <c r="E1672">
        <v>50</v>
      </c>
      <c r="F1672">
        <v>49.526023864999999</v>
      </c>
      <c r="G1672">
        <v>1368.8419189000001</v>
      </c>
      <c r="H1672">
        <v>1359.2503661999999</v>
      </c>
      <c r="I1672">
        <v>1306.0124512</v>
      </c>
      <c r="J1672">
        <v>1295.2348632999999</v>
      </c>
      <c r="K1672">
        <v>1375</v>
      </c>
      <c r="L1672">
        <v>0</v>
      </c>
      <c r="M1672">
        <v>0</v>
      </c>
      <c r="N1672">
        <v>1375</v>
      </c>
    </row>
    <row r="1673" spans="1:14" x14ac:dyDescent="0.25">
      <c r="A1673">
        <v>1100.432466</v>
      </c>
      <c r="B1673" s="1">
        <f>DATE(2013,5,5) + TIME(10,22,45)</f>
        <v>41399.43246527778</v>
      </c>
      <c r="C1673">
        <v>80</v>
      </c>
      <c r="D1673">
        <v>79.405021667</v>
      </c>
      <c r="E1673">
        <v>50</v>
      </c>
      <c r="F1673">
        <v>49.510055542000003</v>
      </c>
      <c r="G1673">
        <v>1368.7894286999999</v>
      </c>
      <c r="H1673">
        <v>1359.2117920000001</v>
      </c>
      <c r="I1673">
        <v>1306.010376</v>
      </c>
      <c r="J1673">
        <v>1295.2319336</v>
      </c>
      <c r="K1673">
        <v>1375</v>
      </c>
      <c r="L1673">
        <v>0</v>
      </c>
      <c r="M1673">
        <v>0</v>
      </c>
      <c r="N1673">
        <v>1375</v>
      </c>
    </row>
    <row r="1674" spans="1:14" x14ac:dyDescent="0.25">
      <c r="A1674">
        <v>1100.629459</v>
      </c>
      <c r="B1674" s="1">
        <f>DATE(2013,5,5) + TIME(15,6,25)</f>
        <v>41399.62945601852</v>
      </c>
      <c r="C1674">
        <v>80</v>
      </c>
      <c r="D1674">
        <v>79.482658385999997</v>
      </c>
      <c r="E1674">
        <v>50</v>
      </c>
      <c r="F1674">
        <v>49.493930816999999</v>
      </c>
      <c r="G1674">
        <v>1368.7379149999999</v>
      </c>
      <c r="H1674">
        <v>1359.1733397999999</v>
      </c>
      <c r="I1674">
        <v>1306.0083007999999</v>
      </c>
      <c r="J1674">
        <v>1295.229126</v>
      </c>
      <c r="K1674">
        <v>1375</v>
      </c>
      <c r="L1674">
        <v>0</v>
      </c>
      <c r="M1674">
        <v>0</v>
      </c>
      <c r="N1674">
        <v>1375</v>
      </c>
    </row>
    <row r="1675" spans="1:14" x14ac:dyDescent="0.25">
      <c r="A1675">
        <v>1100.829988</v>
      </c>
      <c r="B1675" s="1">
        <f>DATE(2013,5,5) + TIME(19,55,10)</f>
        <v>41399.829976851855</v>
      </c>
      <c r="C1675">
        <v>80</v>
      </c>
      <c r="D1675">
        <v>79.549476623999993</v>
      </c>
      <c r="E1675">
        <v>50</v>
      </c>
      <c r="F1675">
        <v>49.477615356000001</v>
      </c>
      <c r="G1675">
        <v>1368.6872559000001</v>
      </c>
      <c r="H1675">
        <v>1359.1350098</v>
      </c>
      <c r="I1675">
        <v>1306.0061035000001</v>
      </c>
      <c r="J1675">
        <v>1295.2260742000001</v>
      </c>
      <c r="K1675">
        <v>1375</v>
      </c>
      <c r="L1675">
        <v>0</v>
      </c>
      <c r="M1675">
        <v>0</v>
      </c>
      <c r="N1675">
        <v>1375</v>
      </c>
    </row>
    <row r="1676" spans="1:14" x14ac:dyDescent="0.25">
      <c r="A1676">
        <v>1101.034474</v>
      </c>
      <c r="B1676" s="1">
        <f>DATE(2013,5,6) + TIME(0,49,38)</f>
        <v>41400.034467592595</v>
      </c>
      <c r="C1676">
        <v>80</v>
      </c>
      <c r="D1676">
        <v>79.606925963999998</v>
      </c>
      <c r="E1676">
        <v>50</v>
      </c>
      <c r="F1676">
        <v>49.461082458</v>
      </c>
      <c r="G1676">
        <v>1368.6373291</v>
      </c>
      <c r="H1676">
        <v>1359.0966797000001</v>
      </c>
      <c r="I1676">
        <v>1306.0039062000001</v>
      </c>
      <c r="J1676">
        <v>1295.2231445</v>
      </c>
      <c r="K1676">
        <v>1375</v>
      </c>
      <c r="L1676">
        <v>0</v>
      </c>
      <c r="M1676">
        <v>0</v>
      </c>
      <c r="N1676">
        <v>1375</v>
      </c>
    </row>
    <row r="1677" spans="1:14" x14ac:dyDescent="0.25">
      <c r="A1677">
        <v>1101.243416</v>
      </c>
      <c r="B1677" s="1">
        <f>DATE(2013,5,6) + TIME(5,50,31)</f>
        <v>41400.243414351855</v>
      </c>
      <c r="C1677">
        <v>80</v>
      </c>
      <c r="D1677">
        <v>79.656280518000003</v>
      </c>
      <c r="E1677">
        <v>50</v>
      </c>
      <c r="F1677">
        <v>49.444293975999997</v>
      </c>
      <c r="G1677">
        <v>1368.5878906</v>
      </c>
      <c r="H1677">
        <v>1359.0584716999999</v>
      </c>
      <c r="I1677">
        <v>1306.0017089999999</v>
      </c>
      <c r="J1677">
        <v>1295.2200928</v>
      </c>
      <c r="K1677">
        <v>1375</v>
      </c>
      <c r="L1677">
        <v>0</v>
      </c>
      <c r="M1677">
        <v>0</v>
      </c>
      <c r="N1677">
        <v>1375</v>
      </c>
    </row>
    <row r="1678" spans="1:14" x14ac:dyDescent="0.25">
      <c r="A1678">
        <v>1101.457195</v>
      </c>
      <c r="B1678" s="1">
        <f>DATE(2013,5,6) + TIME(10,58,21)</f>
        <v>41400.457187499997</v>
      </c>
      <c r="C1678">
        <v>80</v>
      </c>
      <c r="D1678">
        <v>79.698600768999995</v>
      </c>
      <c r="E1678">
        <v>50</v>
      </c>
      <c r="F1678">
        <v>49.427230835000003</v>
      </c>
      <c r="G1678">
        <v>1368.5389404</v>
      </c>
      <c r="H1678">
        <v>1359.0202637</v>
      </c>
      <c r="I1678">
        <v>1305.9993896000001</v>
      </c>
      <c r="J1678">
        <v>1295.2169189000001</v>
      </c>
      <c r="K1678">
        <v>1375</v>
      </c>
      <c r="L1678">
        <v>0</v>
      </c>
      <c r="M1678">
        <v>0</v>
      </c>
      <c r="N1678">
        <v>1375</v>
      </c>
    </row>
    <row r="1679" spans="1:14" x14ac:dyDescent="0.25">
      <c r="A1679">
        <v>1101.6763020000001</v>
      </c>
      <c r="B1679" s="1">
        <f>DATE(2013,5,6) + TIME(16,13,52)</f>
        <v>41400.676296296297</v>
      </c>
      <c r="C1679">
        <v>80</v>
      </c>
      <c r="D1679">
        <v>79.734832764000004</v>
      </c>
      <c r="E1679">
        <v>50</v>
      </c>
      <c r="F1679">
        <v>49.409854889000002</v>
      </c>
      <c r="G1679">
        <v>1368.4903564000001</v>
      </c>
      <c r="H1679">
        <v>1358.9820557</v>
      </c>
      <c r="I1679">
        <v>1305.9970702999999</v>
      </c>
      <c r="J1679">
        <v>1295.2137451000001</v>
      </c>
      <c r="K1679">
        <v>1375</v>
      </c>
      <c r="L1679">
        <v>0</v>
      </c>
      <c r="M1679">
        <v>0</v>
      </c>
      <c r="N1679">
        <v>1375</v>
      </c>
    </row>
    <row r="1680" spans="1:14" x14ac:dyDescent="0.25">
      <c r="A1680">
        <v>1101.9012660000001</v>
      </c>
      <c r="B1680" s="1">
        <f>DATE(2013,5,6) + TIME(21,37,49)</f>
        <v>41400.901261574072</v>
      </c>
      <c r="C1680">
        <v>80</v>
      </c>
      <c r="D1680">
        <v>79.765792847</v>
      </c>
      <c r="E1680">
        <v>50</v>
      </c>
      <c r="F1680">
        <v>49.392131804999998</v>
      </c>
      <c r="G1680">
        <v>1368.4420166</v>
      </c>
      <c r="H1680">
        <v>1358.9437256000001</v>
      </c>
      <c r="I1680">
        <v>1305.9946289</v>
      </c>
      <c r="J1680">
        <v>1295.2104492000001</v>
      </c>
      <c r="K1680">
        <v>1375</v>
      </c>
      <c r="L1680">
        <v>0</v>
      </c>
      <c r="M1680">
        <v>0</v>
      </c>
      <c r="N1680">
        <v>1375</v>
      </c>
    </row>
    <row r="1681" spans="1:14" x14ac:dyDescent="0.25">
      <c r="A1681">
        <v>1102.13266</v>
      </c>
      <c r="B1681" s="1">
        <f>DATE(2013,5,7) + TIME(3,11,1)</f>
        <v>41401.132650462961</v>
      </c>
      <c r="C1681">
        <v>80</v>
      </c>
      <c r="D1681">
        <v>79.792190551999994</v>
      </c>
      <c r="E1681">
        <v>50</v>
      </c>
      <c r="F1681">
        <v>49.374023438000002</v>
      </c>
      <c r="G1681">
        <v>1368.3937988</v>
      </c>
      <c r="H1681">
        <v>1358.9053954999999</v>
      </c>
      <c r="I1681">
        <v>1305.9921875</v>
      </c>
      <c r="J1681">
        <v>1295.2070312000001</v>
      </c>
      <c r="K1681">
        <v>1375</v>
      </c>
      <c r="L1681">
        <v>0</v>
      </c>
      <c r="M1681">
        <v>0</v>
      </c>
      <c r="N1681">
        <v>1375</v>
      </c>
    </row>
    <row r="1682" spans="1:14" x14ac:dyDescent="0.25">
      <c r="A1682">
        <v>1102.3711129999999</v>
      </c>
      <c r="B1682" s="1">
        <f>DATE(2013,5,7) + TIME(8,54,24)</f>
        <v>41401.371111111112</v>
      </c>
      <c r="C1682">
        <v>80</v>
      </c>
      <c r="D1682">
        <v>79.814643860000004</v>
      </c>
      <c r="E1682">
        <v>50</v>
      </c>
      <c r="F1682">
        <v>49.355495453000003</v>
      </c>
      <c r="G1682">
        <v>1368.3455810999999</v>
      </c>
      <c r="H1682">
        <v>1358.8668213000001</v>
      </c>
      <c r="I1682">
        <v>1305.9895019999999</v>
      </c>
      <c r="J1682">
        <v>1295.2036132999999</v>
      </c>
      <c r="K1682">
        <v>1375</v>
      </c>
      <c r="L1682">
        <v>0</v>
      </c>
      <c r="M1682">
        <v>0</v>
      </c>
      <c r="N1682">
        <v>1375</v>
      </c>
    </row>
    <row r="1683" spans="1:14" x14ac:dyDescent="0.25">
      <c r="A1683">
        <v>1102.617319</v>
      </c>
      <c r="B1683" s="1">
        <f>DATE(2013,5,7) + TIME(14,48,56)</f>
        <v>41401.617314814815</v>
      </c>
      <c r="C1683">
        <v>80</v>
      </c>
      <c r="D1683">
        <v>79.833694457999997</v>
      </c>
      <c r="E1683">
        <v>50</v>
      </c>
      <c r="F1683">
        <v>49.336498259999999</v>
      </c>
      <c r="G1683">
        <v>1368.2972411999999</v>
      </c>
      <c r="H1683">
        <v>1358.828125</v>
      </c>
      <c r="I1683">
        <v>1305.9869385</v>
      </c>
      <c r="J1683">
        <v>1295.1999512</v>
      </c>
      <c r="K1683">
        <v>1375</v>
      </c>
      <c r="L1683">
        <v>0</v>
      </c>
      <c r="M1683">
        <v>0</v>
      </c>
      <c r="N1683">
        <v>1375</v>
      </c>
    </row>
    <row r="1684" spans="1:14" x14ac:dyDescent="0.25">
      <c r="A1684">
        <v>1102.8720470000001</v>
      </c>
      <c r="B1684" s="1">
        <f>DATE(2013,5,7) + TIME(20,55,44)</f>
        <v>41401.872037037036</v>
      </c>
      <c r="C1684">
        <v>80</v>
      </c>
      <c r="D1684">
        <v>79.849822997999993</v>
      </c>
      <c r="E1684">
        <v>50</v>
      </c>
      <c r="F1684">
        <v>49.316989898999999</v>
      </c>
      <c r="G1684">
        <v>1368.2487793</v>
      </c>
      <c r="H1684">
        <v>1358.7891846</v>
      </c>
      <c r="I1684">
        <v>1305.9841309000001</v>
      </c>
      <c r="J1684">
        <v>1295.1962891000001</v>
      </c>
      <c r="K1684">
        <v>1375</v>
      </c>
      <c r="L1684">
        <v>0</v>
      </c>
      <c r="M1684">
        <v>0</v>
      </c>
      <c r="N1684">
        <v>1375</v>
      </c>
    </row>
    <row r="1685" spans="1:14" x14ac:dyDescent="0.25">
      <c r="A1685">
        <v>1103.136158</v>
      </c>
      <c r="B1685" s="1">
        <f>DATE(2013,5,8) + TIME(3,16,4)</f>
        <v>41402.136157407411</v>
      </c>
      <c r="C1685">
        <v>80</v>
      </c>
      <c r="D1685">
        <v>79.863426208000007</v>
      </c>
      <c r="E1685">
        <v>50</v>
      </c>
      <c r="F1685">
        <v>49.296913146999998</v>
      </c>
      <c r="G1685">
        <v>1368.2001952999999</v>
      </c>
      <c r="H1685">
        <v>1358.75</v>
      </c>
      <c r="I1685">
        <v>1305.9813231999999</v>
      </c>
      <c r="J1685">
        <v>1295.1925048999999</v>
      </c>
      <c r="K1685">
        <v>1375</v>
      </c>
      <c r="L1685">
        <v>0</v>
      </c>
      <c r="M1685">
        <v>0</v>
      </c>
      <c r="N1685">
        <v>1375</v>
      </c>
    </row>
    <row r="1686" spans="1:14" x14ac:dyDescent="0.25">
      <c r="A1686">
        <v>1103.4106200000001</v>
      </c>
      <c r="B1686" s="1">
        <f>DATE(2013,5,8) + TIME(9,51,17)</f>
        <v>41402.410613425927</v>
      </c>
      <c r="C1686">
        <v>80</v>
      </c>
      <c r="D1686">
        <v>79.874870299999998</v>
      </c>
      <c r="E1686">
        <v>50</v>
      </c>
      <c r="F1686">
        <v>49.276206969999997</v>
      </c>
      <c r="G1686">
        <v>1368.1511230000001</v>
      </c>
      <c r="H1686">
        <v>1358.7104492000001</v>
      </c>
      <c r="I1686">
        <v>1305.9783935999999</v>
      </c>
      <c r="J1686">
        <v>1295.1884766000001</v>
      </c>
      <c r="K1686">
        <v>1375</v>
      </c>
      <c r="L1686">
        <v>0</v>
      </c>
      <c r="M1686">
        <v>0</v>
      </c>
      <c r="N1686">
        <v>1375</v>
      </c>
    </row>
    <row r="1687" spans="1:14" x14ac:dyDescent="0.25">
      <c r="A1687">
        <v>1103.6958059999999</v>
      </c>
      <c r="B1687" s="1">
        <f>DATE(2013,5,8) + TIME(16,41,57)</f>
        <v>41402.695798611108</v>
      </c>
      <c r="C1687">
        <v>80</v>
      </c>
      <c r="D1687">
        <v>79.884445189999994</v>
      </c>
      <c r="E1687">
        <v>50</v>
      </c>
      <c r="F1687">
        <v>49.254856109999999</v>
      </c>
      <c r="G1687">
        <v>1368.1015625</v>
      </c>
      <c r="H1687">
        <v>1358.6704102000001</v>
      </c>
      <c r="I1687">
        <v>1305.9752197</v>
      </c>
      <c r="J1687">
        <v>1295.1843262</v>
      </c>
      <c r="K1687">
        <v>1375</v>
      </c>
      <c r="L1687">
        <v>0</v>
      </c>
      <c r="M1687">
        <v>0</v>
      </c>
      <c r="N1687">
        <v>1375</v>
      </c>
    </row>
    <row r="1688" spans="1:14" x14ac:dyDescent="0.25">
      <c r="A1688">
        <v>1103.9918729999999</v>
      </c>
      <c r="B1688" s="1">
        <f>DATE(2013,5,8) + TIME(23,48,17)</f>
        <v>41402.991863425923</v>
      </c>
      <c r="C1688">
        <v>80</v>
      </c>
      <c r="D1688">
        <v>79.892410278</v>
      </c>
      <c r="E1688">
        <v>50</v>
      </c>
      <c r="F1688">
        <v>49.232856750000003</v>
      </c>
      <c r="G1688">
        <v>1368.0516356999999</v>
      </c>
      <c r="H1688">
        <v>1358.6301269999999</v>
      </c>
      <c r="I1688">
        <v>1305.9720459</v>
      </c>
      <c r="J1688">
        <v>1295.1800536999999</v>
      </c>
      <c r="K1688">
        <v>1375</v>
      </c>
      <c r="L1688">
        <v>0</v>
      </c>
      <c r="M1688">
        <v>0</v>
      </c>
      <c r="N1688">
        <v>1375</v>
      </c>
    </row>
    <row r="1689" spans="1:14" x14ac:dyDescent="0.25">
      <c r="A1689">
        <v>1104.299972</v>
      </c>
      <c r="B1689" s="1">
        <f>DATE(2013,5,9) + TIME(7,11,57)</f>
        <v>41403.29996527778</v>
      </c>
      <c r="C1689">
        <v>80</v>
      </c>
      <c r="D1689">
        <v>79.899017334000007</v>
      </c>
      <c r="E1689">
        <v>50</v>
      </c>
      <c r="F1689">
        <v>49.210136413999997</v>
      </c>
      <c r="G1689">
        <v>1368.0013428</v>
      </c>
      <c r="H1689">
        <v>1358.5893555</v>
      </c>
      <c r="I1689">
        <v>1305.96875</v>
      </c>
      <c r="J1689">
        <v>1295.1756591999999</v>
      </c>
      <c r="K1689">
        <v>1375</v>
      </c>
      <c r="L1689">
        <v>0</v>
      </c>
      <c r="M1689">
        <v>0</v>
      </c>
      <c r="N1689">
        <v>1375</v>
      </c>
    </row>
    <row r="1690" spans="1:14" x14ac:dyDescent="0.25">
      <c r="A1690">
        <v>1104.621529</v>
      </c>
      <c r="B1690" s="1">
        <f>DATE(2013,5,9) + TIME(14,55,0)</f>
        <v>41403.621527777781</v>
      </c>
      <c r="C1690">
        <v>80</v>
      </c>
      <c r="D1690">
        <v>79.904487610000004</v>
      </c>
      <c r="E1690">
        <v>50</v>
      </c>
      <c r="F1690">
        <v>49.186614990000002</v>
      </c>
      <c r="G1690">
        <v>1367.9504394999999</v>
      </c>
      <c r="H1690">
        <v>1358.5482178</v>
      </c>
      <c r="I1690">
        <v>1305.9652100000001</v>
      </c>
      <c r="J1690">
        <v>1295.1710204999999</v>
      </c>
      <c r="K1690">
        <v>1375</v>
      </c>
      <c r="L1690">
        <v>0</v>
      </c>
      <c r="M1690">
        <v>0</v>
      </c>
      <c r="N1690">
        <v>1375</v>
      </c>
    </row>
    <row r="1691" spans="1:14" x14ac:dyDescent="0.25">
      <c r="A1691">
        <v>1104.956126</v>
      </c>
      <c r="B1691" s="1">
        <f>DATE(2013,5,9) + TIME(22,56,49)</f>
        <v>41403.956122685187</v>
      </c>
      <c r="C1691">
        <v>80</v>
      </c>
      <c r="D1691">
        <v>79.908988953000005</v>
      </c>
      <c r="E1691">
        <v>50</v>
      </c>
      <c r="F1691">
        <v>49.162326813</v>
      </c>
      <c r="G1691">
        <v>1367.8989257999999</v>
      </c>
      <c r="H1691">
        <v>1358.5065918</v>
      </c>
      <c r="I1691">
        <v>1305.9615478999999</v>
      </c>
      <c r="J1691">
        <v>1295.1661377</v>
      </c>
      <c r="K1691">
        <v>1375</v>
      </c>
      <c r="L1691">
        <v>0</v>
      </c>
      <c r="M1691">
        <v>0</v>
      </c>
      <c r="N1691">
        <v>1375</v>
      </c>
    </row>
    <row r="1692" spans="1:14" x14ac:dyDescent="0.25">
      <c r="A1692">
        <v>1105.3045460000001</v>
      </c>
      <c r="B1692" s="1">
        <f>DATE(2013,5,10) + TIME(7,18,32)</f>
        <v>41404.304537037038</v>
      </c>
      <c r="C1692">
        <v>80</v>
      </c>
      <c r="D1692">
        <v>79.912673949999999</v>
      </c>
      <c r="E1692">
        <v>50</v>
      </c>
      <c r="F1692">
        <v>49.137222289999997</v>
      </c>
      <c r="G1692">
        <v>1367.8469238</v>
      </c>
      <c r="H1692">
        <v>1358.4645995999999</v>
      </c>
      <c r="I1692">
        <v>1305.9577637</v>
      </c>
      <c r="J1692">
        <v>1295.1611327999999</v>
      </c>
      <c r="K1692">
        <v>1375</v>
      </c>
      <c r="L1692">
        <v>0</v>
      </c>
      <c r="M1692">
        <v>0</v>
      </c>
      <c r="N1692">
        <v>1375</v>
      </c>
    </row>
    <row r="1693" spans="1:14" x14ac:dyDescent="0.25">
      <c r="A1693">
        <v>1105.667099</v>
      </c>
      <c r="B1693" s="1">
        <f>DATE(2013,5,10) + TIME(16,0,37)</f>
        <v>41404.667094907411</v>
      </c>
      <c r="C1693">
        <v>80</v>
      </c>
      <c r="D1693">
        <v>79.915687560999999</v>
      </c>
      <c r="E1693">
        <v>50</v>
      </c>
      <c r="F1693">
        <v>49.111301421999997</v>
      </c>
      <c r="G1693">
        <v>1367.7943115</v>
      </c>
      <c r="H1693">
        <v>1358.4221190999999</v>
      </c>
      <c r="I1693">
        <v>1305.9537353999999</v>
      </c>
      <c r="J1693">
        <v>1295.1558838000001</v>
      </c>
      <c r="K1693">
        <v>1375</v>
      </c>
      <c r="L1693">
        <v>0</v>
      </c>
      <c r="M1693">
        <v>0</v>
      </c>
      <c r="N1693">
        <v>1375</v>
      </c>
    </row>
    <row r="1694" spans="1:14" x14ac:dyDescent="0.25">
      <c r="A1694">
        <v>1106.0373059999999</v>
      </c>
      <c r="B1694" s="1">
        <f>DATE(2013,5,11) + TIME(0,53,43)</f>
        <v>41405.037303240744</v>
      </c>
      <c r="C1694">
        <v>80</v>
      </c>
      <c r="D1694">
        <v>79.918098450000002</v>
      </c>
      <c r="E1694">
        <v>50</v>
      </c>
      <c r="F1694">
        <v>49.084926605</v>
      </c>
      <c r="G1694">
        <v>1367.7413329999999</v>
      </c>
      <c r="H1694">
        <v>1358.3793945</v>
      </c>
      <c r="I1694">
        <v>1305.9495850000001</v>
      </c>
      <c r="J1694">
        <v>1295.1503906</v>
      </c>
      <c r="K1694">
        <v>1375</v>
      </c>
      <c r="L1694">
        <v>0</v>
      </c>
      <c r="M1694">
        <v>0</v>
      </c>
      <c r="N1694">
        <v>1375</v>
      </c>
    </row>
    <row r="1695" spans="1:14" x14ac:dyDescent="0.25">
      <c r="A1695">
        <v>1106.410519</v>
      </c>
      <c r="B1695" s="1">
        <f>DATE(2013,5,11) + TIME(9,51,8)</f>
        <v>41405.410509259258</v>
      </c>
      <c r="C1695">
        <v>80</v>
      </c>
      <c r="D1695">
        <v>79.920021057</v>
      </c>
      <c r="E1695">
        <v>50</v>
      </c>
      <c r="F1695">
        <v>49.058391571000001</v>
      </c>
      <c r="G1695">
        <v>1367.6887207</v>
      </c>
      <c r="H1695">
        <v>1358.3370361</v>
      </c>
      <c r="I1695">
        <v>1305.9453125</v>
      </c>
      <c r="J1695">
        <v>1295.1448975000001</v>
      </c>
      <c r="K1695">
        <v>1375</v>
      </c>
      <c r="L1695">
        <v>0</v>
      </c>
      <c r="M1695">
        <v>0</v>
      </c>
      <c r="N1695">
        <v>1375</v>
      </c>
    </row>
    <row r="1696" spans="1:14" x14ac:dyDescent="0.25">
      <c r="A1696">
        <v>1106.787744</v>
      </c>
      <c r="B1696" s="1">
        <f>DATE(2013,5,11) + TIME(18,54,21)</f>
        <v>41405.787743055553</v>
      </c>
      <c r="C1696">
        <v>80</v>
      </c>
      <c r="D1696">
        <v>79.921562195000007</v>
      </c>
      <c r="E1696">
        <v>50</v>
      </c>
      <c r="F1696">
        <v>49.031661987</v>
      </c>
      <c r="G1696">
        <v>1367.6373291</v>
      </c>
      <c r="H1696">
        <v>1358.2957764</v>
      </c>
      <c r="I1696">
        <v>1305.940918</v>
      </c>
      <c r="J1696">
        <v>1295.1392822</v>
      </c>
      <c r="K1696">
        <v>1375</v>
      </c>
      <c r="L1696">
        <v>0</v>
      </c>
      <c r="M1696">
        <v>0</v>
      </c>
      <c r="N1696">
        <v>1375</v>
      </c>
    </row>
    <row r="1697" spans="1:14" x14ac:dyDescent="0.25">
      <c r="A1697">
        <v>1107.169842</v>
      </c>
      <c r="B1697" s="1">
        <f>DATE(2013,5,12) + TIME(4,4,34)</f>
        <v>41406.16983796296</v>
      </c>
      <c r="C1697">
        <v>80</v>
      </c>
      <c r="D1697">
        <v>79.922798157000003</v>
      </c>
      <c r="E1697">
        <v>50</v>
      </c>
      <c r="F1697">
        <v>49.004707336000003</v>
      </c>
      <c r="G1697">
        <v>1367.5867920000001</v>
      </c>
      <c r="H1697">
        <v>1358.2551269999999</v>
      </c>
      <c r="I1697">
        <v>1305.9366454999999</v>
      </c>
      <c r="J1697">
        <v>1295.1335449000001</v>
      </c>
      <c r="K1697">
        <v>1375</v>
      </c>
      <c r="L1697">
        <v>0</v>
      </c>
      <c r="M1697">
        <v>0</v>
      </c>
      <c r="N1697">
        <v>1375</v>
      </c>
    </row>
    <row r="1698" spans="1:14" x14ac:dyDescent="0.25">
      <c r="A1698">
        <v>1107.556861</v>
      </c>
      <c r="B1698" s="1">
        <f>DATE(2013,5,12) + TIME(13,21,52)</f>
        <v>41406.556851851848</v>
      </c>
      <c r="C1698">
        <v>80</v>
      </c>
      <c r="D1698">
        <v>79.923805236999996</v>
      </c>
      <c r="E1698">
        <v>50</v>
      </c>
      <c r="F1698">
        <v>48.977539061999998</v>
      </c>
      <c r="G1698">
        <v>1367.5369873</v>
      </c>
      <c r="H1698">
        <v>1358.215332</v>
      </c>
      <c r="I1698">
        <v>1305.9321289</v>
      </c>
      <c r="J1698">
        <v>1295.1278076000001</v>
      </c>
      <c r="K1698">
        <v>1375</v>
      </c>
      <c r="L1698">
        <v>0</v>
      </c>
      <c r="M1698">
        <v>0</v>
      </c>
      <c r="N1698">
        <v>1375</v>
      </c>
    </row>
    <row r="1699" spans="1:14" x14ac:dyDescent="0.25">
      <c r="A1699">
        <v>1107.947887</v>
      </c>
      <c r="B1699" s="1">
        <f>DATE(2013,5,12) + TIME(22,44,57)</f>
        <v>41406.947881944441</v>
      </c>
      <c r="C1699">
        <v>80</v>
      </c>
      <c r="D1699">
        <v>79.924621582</v>
      </c>
      <c r="E1699">
        <v>50</v>
      </c>
      <c r="F1699">
        <v>48.950225830000001</v>
      </c>
      <c r="G1699">
        <v>1367.4880370999999</v>
      </c>
      <c r="H1699">
        <v>1358.1760254000001</v>
      </c>
      <c r="I1699">
        <v>1305.9276123</v>
      </c>
      <c r="J1699">
        <v>1295.1219481999999</v>
      </c>
      <c r="K1699">
        <v>1375</v>
      </c>
      <c r="L1699">
        <v>0</v>
      </c>
      <c r="M1699">
        <v>0</v>
      </c>
      <c r="N1699">
        <v>1375</v>
      </c>
    </row>
    <row r="1700" spans="1:14" x14ac:dyDescent="0.25">
      <c r="A1700">
        <v>1108.3439699999999</v>
      </c>
      <c r="B1700" s="1">
        <f>DATE(2013,5,13) + TIME(8,15,19)</f>
        <v>41407.343969907408</v>
      </c>
      <c r="C1700">
        <v>80</v>
      </c>
      <c r="D1700">
        <v>79.925292968999997</v>
      </c>
      <c r="E1700">
        <v>50</v>
      </c>
      <c r="F1700">
        <v>48.922718048</v>
      </c>
      <c r="G1700">
        <v>1367.4398193</v>
      </c>
      <c r="H1700">
        <v>1358.1375731999999</v>
      </c>
      <c r="I1700">
        <v>1305.9230957</v>
      </c>
      <c r="J1700">
        <v>1295.1159668</v>
      </c>
      <c r="K1700">
        <v>1375</v>
      </c>
      <c r="L1700">
        <v>0</v>
      </c>
      <c r="M1700">
        <v>0</v>
      </c>
      <c r="N1700">
        <v>1375</v>
      </c>
    </row>
    <row r="1701" spans="1:14" x14ac:dyDescent="0.25">
      <c r="A1701">
        <v>1108.745823</v>
      </c>
      <c r="B1701" s="1">
        <f>DATE(2013,5,13) + TIME(17,53,59)</f>
        <v>41407.745821759258</v>
      </c>
      <c r="C1701">
        <v>80</v>
      </c>
      <c r="D1701">
        <v>79.925842285000002</v>
      </c>
      <c r="E1701">
        <v>50</v>
      </c>
      <c r="F1701">
        <v>48.894985198999997</v>
      </c>
      <c r="G1701">
        <v>1367.3922118999999</v>
      </c>
      <c r="H1701">
        <v>1358.0996094</v>
      </c>
      <c r="I1701">
        <v>1305.918457</v>
      </c>
      <c r="J1701">
        <v>1295.1099853999999</v>
      </c>
      <c r="K1701">
        <v>1375</v>
      </c>
      <c r="L1701">
        <v>0</v>
      </c>
      <c r="M1701">
        <v>0</v>
      </c>
      <c r="N1701">
        <v>1375</v>
      </c>
    </row>
    <row r="1702" spans="1:14" x14ac:dyDescent="0.25">
      <c r="A1702">
        <v>1109.154346</v>
      </c>
      <c r="B1702" s="1">
        <f>DATE(2013,5,14) + TIME(3,42,15)</f>
        <v>41408.154340277775</v>
      </c>
      <c r="C1702">
        <v>80</v>
      </c>
      <c r="D1702">
        <v>79.926300049000005</v>
      </c>
      <c r="E1702">
        <v>50</v>
      </c>
      <c r="F1702">
        <v>48.866989136000001</v>
      </c>
      <c r="G1702">
        <v>1367.3452147999999</v>
      </c>
      <c r="H1702">
        <v>1358.0621338000001</v>
      </c>
      <c r="I1702">
        <v>1305.9138184000001</v>
      </c>
      <c r="J1702">
        <v>1295.1038818</v>
      </c>
      <c r="K1702">
        <v>1375</v>
      </c>
      <c r="L1702">
        <v>0</v>
      </c>
      <c r="M1702">
        <v>0</v>
      </c>
      <c r="N1702">
        <v>1375</v>
      </c>
    </row>
    <row r="1703" spans="1:14" x14ac:dyDescent="0.25">
      <c r="A1703">
        <v>1109.570479</v>
      </c>
      <c r="B1703" s="1">
        <f>DATE(2013,5,14) + TIME(13,41,29)</f>
        <v>41408.570474537039</v>
      </c>
      <c r="C1703">
        <v>80</v>
      </c>
      <c r="D1703">
        <v>79.926673889</v>
      </c>
      <c r="E1703">
        <v>50</v>
      </c>
      <c r="F1703">
        <v>48.838684082</v>
      </c>
      <c r="G1703">
        <v>1367.2985839999999</v>
      </c>
      <c r="H1703">
        <v>1358.0251464999999</v>
      </c>
      <c r="I1703">
        <v>1305.9089355000001</v>
      </c>
      <c r="J1703">
        <v>1295.0976562000001</v>
      </c>
      <c r="K1703">
        <v>1375</v>
      </c>
      <c r="L1703">
        <v>0</v>
      </c>
      <c r="M1703">
        <v>0</v>
      </c>
      <c r="N1703">
        <v>1375</v>
      </c>
    </row>
    <row r="1704" spans="1:14" x14ac:dyDescent="0.25">
      <c r="A1704">
        <v>1109.9952149999999</v>
      </c>
      <c r="B1704" s="1">
        <f>DATE(2013,5,14) + TIME(23,53,6)</f>
        <v>41408.995208333334</v>
      </c>
      <c r="C1704">
        <v>80</v>
      </c>
      <c r="D1704">
        <v>79.926986693999993</v>
      </c>
      <c r="E1704">
        <v>50</v>
      </c>
      <c r="F1704">
        <v>48.810020446999999</v>
      </c>
      <c r="G1704">
        <v>1367.2523193</v>
      </c>
      <c r="H1704">
        <v>1357.9884033000001</v>
      </c>
      <c r="I1704">
        <v>1305.9040527</v>
      </c>
      <c r="J1704">
        <v>1295.0913086</v>
      </c>
      <c r="K1704">
        <v>1375</v>
      </c>
      <c r="L1704">
        <v>0</v>
      </c>
      <c r="M1704">
        <v>0</v>
      </c>
      <c r="N1704">
        <v>1375</v>
      </c>
    </row>
    <row r="1705" spans="1:14" x14ac:dyDescent="0.25">
      <c r="A1705">
        <v>1110.429617</v>
      </c>
      <c r="B1705" s="1">
        <f>DATE(2013,5,15) + TIME(10,18,38)</f>
        <v>41409.429606481484</v>
      </c>
      <c r="C1705">
        <v>80</v>
      </c>
      <c r="D1705">
        <v>79.927253723000007</v>
      </c>
      <c r="E1705">
        <v>50</v>
      </c>
      <c r="F1705">
        <v>48.780941009999999</v>
      </c>
      <c r="G1705">
        <v>1367.2061768000001</v>
      </c>
      <c r="H1705">
        <v>1357.9517822</v>
      </c>
      <c r="I1705">
        <v>1305.8991699000001</v>
      </c>
      <c r="J1705">
        <v>1295.0848389</v>
      </c>
      <c r="K1705">
        <v>1375</v>
      </c>
      <c r="L1705">
        <v>0</v>
      </c>
      <c r="M1705">
        <v>0</v>
      </c>
      <c r="N1705">
        <v>1375</v>
      </c>
    </row>
    <row r="1706" spans="1:14" x14ac:dyDescent="0.25">
      <c r="A1706">
        <v>1110.874834</v>
      </c>
      <c r="B1706" s="1">
        <f>DATE(2013,5,15) + TIME(20,59,45)</f>
        <v>41409.874826388892</v>
      </c>
      <c r="C1706">
        <v>80</v>
      </c>
      <c r="D1706">
        <v>79.927474975999999</v>
      </c>
      <c r="E1706">
        <v>50</v>
      </c>
      <c r="F1706">
        <v>48.751396178999997</v>
      </c>
      <c r="G1706">
        <v>1367.1602783000001</v>
      </c>
      <c r="H1706">
        <v>1357.9154053</v>
      </c>
      <c r="I1706">
        <v>1305.894043</v>
      </c>
      <c r="J1706">
        <v>1295.0782471</v>
      </c>
      <c r="K1706">
        <v>1375</v>
      </c>
      <c r="L1706">
        <v>0</v>
      </c>
      <c r="M1706">
        <v>0</v>
      </c>
      <c r="N1706">
        <v>1375</v>
      </c>
    </row>
    <row r="1707" spans="1:14" x14ac:dyDescent="0.25">
      <c r="A1707">
        <v>1111.3321209999999</v>
      </c>
      <c r="B1707" s="1">
        <f>DATE(2013,5,16) + TIME(7,58,15)</f>
        <v>41410.332118055558</v>
      </c>
      <c r="C1707">
        <v>80</v>
      </c>
      <c r="D1707">
        <v>79.927658081000004</v>
      </c>
      <c r="E1707">
        <v>50</v>
      </c>
      <c r="F1707">
        <v>48.721313477000002</v>
      </c>
      <c r="G1707">
        <v>1367.1142577999999</v>
      </c>
      <c r="H1707">
        <v>1357.8791504000001</v>
      </c>
      <c r="I1707">
        <v>1305.8887939000001</v>
      </c>
      <c r="J1707">
        <v>1295.0714111</v>
      </c>
      <c r="K1707">
        <v>1375</v>
      </c>
      <c r="L1707">
        <v>0</v>
      </c>
      <c r="M1707">
        <v>0</v>
      </c>
      <c r="N1707">
        <v>1375</v>
      </c>
    </row>
    <row r="1708" spans="1:14" x14ac:dyDescent="0.25">
      <c r="A1708">
        <v>1111.802862</v>
      </c>
      <c r="B1708" s="1">
        <f>DATE(2013,5,16) + TIME(19,16,7)</f>
        <v>41410.802858796298</v>
      </c>
      <c r="C1708">
        <v>80</v>
      </c>
      <c r="D1708">
        <v>79.927810668999996</v>
      </c>
      <c r="E1708">
        <v>50</v>
      </c>
      <c r="F1708">
        <v>48.690628052000001</v>
      </c>
      <c r="G1708">
        <v>1367.0681152</v>
      </c>
      <c r="H1708">
        <v>1357.8427733999999</v>
      </c>
      <c r="I1708">
        <v>1305.8833007999999</v>
      </c>
      <c r="J1708">
        <v>1295.0644531</v>
      </c>
      <c r="K1708">
        <v>1375</v>
      </c>
      <c r="L1708">
        <v>0</v>
      </c>
      <c r="M1708">
        <v>0</v>
      </c>
      <c r="N1708">
        <v>1375</v>
      </c>
    </row>
    <row r="1709" spans="1:14" x14ac:dyDescent="0.25">
      <c r="A1709">
        <v>1112.2885920000001</v>
      </c>
      <c r="B1709" s="1">
        <f>DATE(2013,5,17) + TIME(6,55,34)</f>
        <v>41411.288587962961</v>
      </c>
      <c r="C1709">
        <v>80</v>
      </c>
      <c r="D1709">
        <v>79.927940368999998</v>
      </c>
      <c r="E1709">
        <v>50</v>
      </c>
      <c r="F1709">
        <v>48.659263611</v>
      </c>
      <c r="G1709">
        <v>1367.0218506000001</v>
      </c>
      <c r="H1709">
        <v>1357.8062743999999</v>
      </c>
      <c r="I1709">
        <v>1305.8778076000001</v>
      </c>
      <c r="J1709">
        <v>1295.057251</v>
      </c>
      <c r="K1709">
        <v>1375</v>
      </c>
      <c r="L1709">
        <v>0</v>
      </c>
      <c r="M1709">
        <v>0</v>
      </c>
      <c r="N1709">
        <v>1375</v>
      </c>
    </row>
    <row r="1710" spans="1:14" x14ac:dyDescent="0.25">
      <c r="A1710">
        <v>1112.7912940000001</v>
      </c>
      <c r="B1710" s="1">
        <f>DATE(2013,5,17) + TIME(18,59,27)</f>
        <v>41411.791284722225</v>
      </c>
      <c r="C1710">
        <v>80</v>
      </c>
      <c r="D1710">
        <v>79.928047179999993</v>
      </c>
      <c r="E1710">
        <v>50</v>
      </c>
      <c r="F1710">
        <v>48.627120972</v>
      </c>
      <c r="G1710">
        <v>1366.9752197</v>
      </c>
      <c r="H1710">
        <v>1357.7695312000001</v>
      </c>
      <c r="I1710">
        <v>1305.8719481999999</v>
      </c>
      <c r="J1710">
        <v>1295.0498047000001</v>
      </c>
      <c r="K1710">
        <v>1375</v>
      </c>
      <c r="L1710">
        <v>0</v>
      </c>
      <c r="M1710">
        <v>0</v>
      </c>
      <c r="N1710">
        <v>1375</v>
      </c>
    </row>
    <row r="1711" spans="1:14" x14ac:dyDescent="0.25">
      <c r="A1711">
        <v>1113.308248</v>
      </c>
      <c r="B1711" s="1">
        <f>DATE(2013,5,18) + TIME(7,23,52)</f>
        <v>41412.308240740742</v>
      </c>
      <c r="C1711">
        <v>80</v>
      </c>
      <c r="D1711">
        <v>79.928131104000002</v>
      </c>
      <c r="E1711">
        <v>50</v>
      </c>
      <c r="F1711">
        <v>48.594333648999999</v>
      </c>
      <c r="G1711">
        <v>1366.9282227000001</v>
      </c>
      <c r="H1711">
        <v>1357.7325439000001</v>
      </c>
      <c r="I1711">
        <v>1305.8659668</v>
      </c>
      <c r="J1711">
        <v>1295.0419922000001</v>
      </c>
      <c r="K1711">
        <v>1375</v>
      </c>
      <c r="L1711">
        <v>0</v>
      </c>
      <c r="M1711">
        <v>0</v>
      </c>
      <c r="N1711">
        <v>1375</v>
      </c>
    </row>
    <row r="1712" spans="1:14" x14ac:dyDescent="0.25">
      <c r="A1712">
        <v>1113.839802</v>
      </c>
      <c r="B1712" s="1">
        <f>DATE(2013,5,18) + TIME(20,9,18)</f>
        <v>41412.839791666665</v>
      </c>
      <c r="C1712">
        <v>80</v>
      </c>
      <c r="D1712">
        <v>79.928199767999999</v>
      </c>
      <c r="E1712">
        <v>50</v>
      </c>
      <c r="F1712">
        <v>48.560882567999997</v>
      </c>
      <c r="G1712">
        <v>1366.8808594</v>
      </c>
      <c r="H1712">
        <v>1357.6954346</v>
      </c>
      <c r="I1712">
        <v>1305.8598632999999</v>
      </c>
      <c r="J1712">
        <v>1295.0340576000001</v>
      </c>
      <c r="K1712">
        <v>1375</v>
      </c>
      <c r="L1712">
        <v>0</v>
      </c>
      <c r="M1712">
        <v>0</v>
      </c>
      <c r="N1712">
        <v>1375</v>
      </c>
    </row>
    <row r="1713" spans="1:14" x14ac:dyDescent="0.25">
      <c r="A1713">
        <v>1114.3861850000001</v>
      </c>
      <c r="B1713" s="1">
        <f>DATE(2013,5,19) + TIME(9,16,6)</f>
        <v>41413.386180555557</v>
      </c>
      <c r="C1713">
        <v>80</v>
      </c>
      <c r="D1713">
        <v>79.928253174000005</v>
      </c>
      <c r="E1713">
        <v>50</v>
      </c>
      <c r="F1713">
        <v>48.526775360000002</v>
      </c>
      <c r="G1713">
        <v>1366.8334961</v>
      </c>
      <c r="H1713">
        <v>1357.6582031</v>
      </c>
      <c r="I1713">
        <v>1305.8533935999999</v>
      </c>
      <c r="J1713">
        <v>1295.0258789</v>
      </c>
      <c r="K1713">
        <v>1375</v>
      </c>
      <c r="L1713">
        <v>0</v>
      </c>
      <c r="M1713">
        <v>0</v>
      </c>
      <c r="N1713">
        <v>1375</v>
      </c>
    </row>
    <row r="1714" spans="1:14" x14ac:dyDescent="0.25">
      <c r="A1714">
        <v>1114.949036</v>
      </c>
      <c r="B1714" s="1">
        <f>DATE(2013,5,19) + TIME(22,46,36)</f>
        <v>41413.94902777778</v>
      </c>
      <c r="C1714">
        <v>80</v>
      </c>
      <c r="D1714">
        <v>79.928291321000003</v>
      </c>
      <c r="E1714">
        <v>50</v>
      </c>
      <c r="F1714">
        <v>48.491939545000001</v>
      </c>
      <c r="G1714">
        <v>1366.7858887</v>
      </c>
      <c r="H1714">
        <v>1357.6209716999999</v>
      </c>
      <c r="I1714">
        <v>1305.8468018000001</v>
      </c>
      <c r="J1714">
        <v>1295.0174560999999</v>
      </c>
      <c r="K1714">
        <v>1375</v>
      </c>
      <c r="L1714">
        <v>0</v>
      </c>
      <c r="M1714">
        <v>0</v>
      </c>
      <c r="N1714">
        <v>1375</v>
      </c>
    </row>
    <row r="1715" spans="1:14" x14ac:dyDescent="0.25">
      <c r="A1715">
        <v>1115.529861</v>
      </c>
      <c r="B1715" s="1">
        <f>DATE(2013,5,20) + TIME(12,42,59)</f>
        <v>41414.529849537037</v>
      </c>
      <c r="C1715">
        <v>80</v>
      </c>
      <c r="D1715">
        <v>79.928321838000002</v>
      </c>
      <c r="E1715">
        <v>50</v>
      </c>
      <c r="F1715">
        <v>48.456321715999998</v>
      </c>
      <c r="G1715">
        <v>1366.7381591999999</v>
      </c>
      <c r="H1715">
        <v>1357.5836182</v>
      </c>
      <c r="I1715">
        <v>1305.8400879000001</v>
      </c>
      <c r="J1715">
        <v>1295.0087891000001</v>
      </c>
      <c r="K1715">
        <v>1375</v>
      </c>
      <c r="L1715">
        <v>0</v>
      </c>
      <c r="M1715">
        <v>0</v>
      </c>
      <c r="N1715">
        <v>1375</v>
      </c>
    </row>
    <row r="1716" spans="1:14" x14ac:dyDescent="0.25">
      <c r="A1716">
        <v>1116.1160339999999</v>
      </c>
      <c r="B1716" s="1">
        <f>DATE(2013,5,21) + TIME(2,47,5)</f>
        <v>41415.116030092591</v>
      </c>
      <c r="C1716">
        <v>80</v>
      </c>
      <c r="D1716">
        <v>79.928337096999996</v>
      </c>
      <c r="E1716">
        <v>50</v>
      </c>
      <c r="F1716">
        <v>48.420478821000003</v>
      </c>
      <c r="G1716">
        <v>1366.6899414</v>
      </c>
      <c r="H1716">
        <v>1357.5460204999999</v>
      </c>
      <c r="I1716">
        <v>1305.8330077999999</v>
      </c>
      <c r="J1716">
        <v>1294.9997559000001</v>
      </c>
      <c r="K1716">
        <v>1375</v>
      </c>
      <c r="L1716">
        <v>0</v>
      </c>
      <c r="M1716">
        <v>0</v>
      </c>
      <c r="N1716">
        <v>1375</v>
      </c>
    </row>
    <row r="1717" spans="1:14" x14ac:dyDescent="0.25">
      <c r="A1717">
        <v>1116.7091150000001</v>
      </c>
      <c r="B1717" s="1">
        <f>DATE(2013,5,21) + TIME(17,1,7)</f>
        <v>41415.709108796298</v>
      </c>
      <c r="C1717">
        <v>80</v>
      </c>
      <c r="D1717">
        <v>79.928344726999995</v>
      </c>
      <c r="E1717">
        <v>50</v>
      </c>
      <c r="F1717">
        <v>48.384387969999999</v>
      </c>
      <c r="G1717">
        <v>1366.6424560999999</v>
      </c>
      <c r="H1717">
        <v>1357.5089111</v>
      </c>
      <c r="I1717">
        <v>1305.8258057</v>
      </c>
      <c r="J1717">
        <v>1294.9906006000001</v>
      </c>
      <c r="K1717">
        <v>1375</v>
      </c>
      <c r="L1717">
        <v>0</v>
      </c>
      <c r="M1717">
        <v>0</v>
      </c>
      <c r="N1717">
        <v>1375</v>
      </c>
    </row>
    <row r="1718" spans="1:14" x14ac:dyDescent="0.25">
      <c r="A1718">
        <v>1117.305654</v>
      </c>
      <c r="B1718" s="1">
        <f>DATE(2013,5,22) + TIME(7,20,8)</f>
        <v>41416.305648148147</v>
      </c>
      <c r="C1718">
        <v>80</v>
      </c>
      <c r="D1718">
        <v>79.928344726999995</v>
      </c>
      <c r="E1718">
        <v>50</v>
      </c>
      <c r="F1718">
        <v>48.348243713000002</v>
      </c>
      <c r="G1718">
        <v>1366.5955810999999</v>
      </c>
      <c r="H1718">
        <v>1357.4724120999999</v>
      </c>
      <c r="I1718">
        <v>1305.8184814000001</v>
      </c>
      <c r="J1718">
        <v>1294.9813231999999</v>
      </c>
      <c r="K1718">
        <v>1375</v>
      </c>
      <c r="L1718">
        <v>0</v>
      </c>
      <c r="M1718">
        <v>0</v>
      </c>
      <c r="N1718">
        <v>1375</v>
      </c>
    </row>
    <row r="1719" spans="1:14" x14ac:dyDescent="0.25">
      <c r="A1719">
        <v>1117.9072900000001</v>
      </c>
      <c r="B1719" s="1">
        <f>DATE(2013,5,22) + TIME(21,46,29)</f>
        <v>41416.907280092593</v>
      </c>
      <c r="C1719">
        <v>80</v>
      </c>
      <c r="D1719">
        <v>79.928337096999996</v>
      </c>
      <c r="E1719">
        <v>50</v>
      </c>
      <c r="F1719">
        <v>48.312011718999997</v>
      </c>
      <c r="G1719">
        <v>1366.5494385</v>
      </c>
      <c r="H1719">
        <v>1357.4365233999999</v>
      </c>
      <c r="I1719">
        <v>1305.8111572</v>
      </c>
      <c r="J1719">
        <v>1294.9720459</v>
      </c>
      <c r="K1719">
        <v>1375</v>
      </c>
      <c r="L1719">
        <v>0</v>
      </c>
      <c r="M1719">
        <v>0</v>
      </c>
      <c r="N1719">
        <v>1375</v>
      </c>
    </row>
    <row r="1720" spans="1:14" x14ac:dyDescent="0.25">
      <c r="A1720">
        <v>1118.5153</v>
      </c>
      <c r="B1720" s="1">
        <f>DATE(2013,5,23) + TIME(12,22,1)</f>
        <v>41417.515289351853</v>
      </c>
      <c r="C1720">
        <v>80</v>
      </c>
      <c r="D1720">
        <v>79.928329468000001</v>
      </c>
      <c r="E1720">
        <v>50</v>
      </c>
      <c r="F1720">
        <v>48.275661468999999</v>
      </c>
      <c r="G1720">
        <v>1366.5040283000001</v>
      </c>
      <c r="H1720">
        <v>1357.4011230000001</v>
      </c>
      <c r="I1720">
        <v>1305.8037108999999</v>
      </c>
      <c r="J1720">
        <v>1294.9625243999999</v>
      </c>
      <c r="K1720">
        <v>1375</v>
      </c>
      <c r="L1720">
        <v>0</v>
      </c>
      <c r="M1720">
        <v>0</v>
      </c>
      <c r="N1720">
        <v>1375</v>
      </c>
    </row>
    <row r="1721" spans="1:14" x14ac:dyDescent="0.25">
      <c r="A1721">
        <v>1119.1310430000001</v>
      </c>
      <c r="B1721" s="1">
        <f>DATE(2013,5,24) + TIME(3,8,42)</f>
        <v>41418.131041666667</v>
      </c>
      <c r="C1721">
        <v>80</v>
      </c>
      <c r="D1721">
        <v>79.928314209000007</v>
      </c>
      <c r="E1721">
        <v>50</v>
      </c>
      <c r="F1721">
        <v>48.239139557000001</v>
      </c>
      <c r="G1721">
        <v>1366.4591064000001</v>
      </c>
      <c r="H1721">
        <v>1357.3662108999999</v>
      </c>
      <c r="I1721">
        <v>1305.7961425999999</v>
      </c>
      <c r="J1721">
        <v>1294.9530029</v>
      </c>
      <c r="K1721">
        <v>1375</v>
      </c>
      <c r="L1721">
        <v>0</v>
      </c>
      <c r="M1721">
        <v>0</v>
      </c>
      <c r="N1721">
        <v>1375</v>
      </c>
    </row>
    <row r="1722" spans="1:14" x14ac:dyDescent="0.25">
      <c r="A1722">
        <v>1119.7559719999999</v>
      </c>
      <c r="B1722" s="1">
        <f>DATE(2013,5,24) + TIME(18,8,36)</f>
        <v>41418.755972222221</v>
      </c>
      <c r="C1722">
        <v>80</v>
      </c>
      <c r="D1722">
        <v>79.928291321000003</v>
      </c>
      <c r="E1722">
        <v>50</v>
      </c>
      <c r="F1722">
        <v>48.202396393000001</v>
      </c>
      <c r="G1722">
        <v>1366.4145507999999</v>
      </c>
      <c r="H1722">
        <v>1357.3316649999999</v>
      </c>
      <c r="I1722">
        <v>1305.7885742000001</v>
      </c>
      <c r="J1722">
        <v>1294.9432373</v>
      </c>
      <c r="K1722">
        <v>1375</v>
      </c>
      <c r="L1722">
        <v>0</v>
      </c>
      <c r="M1722">
        <v>0</v>
      </c>
      <c r="N1722">
        <v>1375</v>
      </c>
    </row>
    <row r="1723" spans="1:14" x14ac:dyDescent="0.25">
      <c r="A1723">
        <v>1120.3915999999999</v>
      </c>
      <c r="B1723" s="1">
        <f>DATE(2013,5,25) + TIME(9,23,54)</f>
        <v>41419.391597222224</v>
      </c>
      <c r="C1723">
        <v>80</v>
      </c>
      <c r="D1723">
        <v>79.928276061999995</v>
      </c>
      <c r="E1723">
        <v>50</v>
      </c>
      <c r="F1723">
        <v>48.165363311999997</v>
      </c>
      <c r="G1723">
        <v>1366.3703613</v>
      </c>
      <c r="H1723">
        <v>1357.2973632999999</v>
      </c>
      <c r="I1723">
        <v>1305.7807617000001</v>
      </c>
      <c r="J1723">
        <v>1294.9332274999999</v>
      </c>
      <c r="K1723">
        <v>1375</v>
      </c>
      <c r="L1723">
        <v>0</v>
      </c>
      <c r="M1723">
        <v>0</v>
      </c>
      <c r="N1723">
        <v>1375</v>
      </c>
    </row>
    <row r="1724" spans="1:14" x14ac:dyDescent="0.25">
      <c r="A1724">
        <v>1121.03953</v>
      </c>
      <c r="B1724" s="1">
        <f>DATE(2013,5,26) + TIME(0,56,55)</f>
        <v>41420.039525462962</v>
      </c>
      <c r="C1724">
        <v>80</v>
      </c>
      <c r="D1724">
        <v>79.928253174000005</v>
      </c>
      <c r="E1724">
        <v>50</v>
      </c>
      <c r="F1724">
        <v>48.127971649000003</v>
      </c>
      <c r="G1724">
        <v>1366.3264160000001</v>
      </c>
      <c r="H1724">
        <v>1357.2633057</v>
      </c>
      <c r="I1724">
        <v>1305.7727050999999</v>
      </c>
      <c r="J1724">
        <v>1294.9230957</v>
      </c>
      <c r="K1724">
        <v>1375</v>
      </c>
      <c r="L1724">
        <v>0</v>
      </c>
      <c r="M1724">
        <v>0</v>
      </c>
      <c r="N1724">
        <v>1375</v>
      </c>
    </row>
    <row r="1725" spans="1:14" x14ac:dyDescent="0.25">
      <c r="A1725">
        <v>1121.701472</v>
      </c>
      <c r="B1725" s="1">
        <f>DATE(2013,5,26) + TIME(16,50,7)</f>
        <v>41420.701469907406</v>
      </c>
      <c r="C1725">
        <v>80</v>
      </c>
      <c r="D1725">
        <v>79.928222656000003</v>
      </c>
      <c r="E1725">
        <v>50</v>
      </c>
      <c r="F1725">
        <v>48.090145110999998</v>
      </c>
      <c r="G1725">
        <v>1366.2824707</v>
      </c>
      <c r="H1725">
        <v>1357.2292480000001</v>
      </c>
      <c r="I1725">
        <v>1305.7645264</v>
      </c>
      <c r="J1725">
        <v>1294.9127197</v>
      </c>
      <c r="K1725">
        <v>1375</v>
      </c>
      <c r="L1725">
        <v>0</v>
      </c>
      <c r="M1725">
        <v>0</v>
      </c>
      <c r="N1725">
        <v>1375</v>
      </c>
    </row>
    <row r="1726" spans="1:14" x14ac:dyDescent="0.25">
      <c r="A1726">
        <v>1122.379279</v>
      </c>
      <c r="B1726" s="1">
        <f>DATE(2013,5,27) + TIME(9,6,9)</f>
        <v>41421.379270833335</v>
      </c>
      <c r="C1726">
        <v>80</v>
      </c>
      <c r="D1726">
        <v>79.928199767999999</v>
      </c>
      <c r="E1726">
        <v>50</v>
      </c>
      <c r="F1726">
        <v>48.051795959000003</v>
      </c>
      <c r="G1726">
        <v>1366.2385254000001</v>
      </c>
      <c r="H1726">
        <v>1357.1953125</v>
      </c>
      <c r="I1726">
        <v>1305.7562256000001</v>
      </c>
      <c r="J1726">
        <v>1294.9019774999999</v>
      </c>
      <c r="K1726">
        <v>1375</v>
      </c>
      <c r="L1726">
        <v>0</v>
      </c>
      <c r="M1726">
        <v>0</v>
      </c>
      <c r="N1726">
        <v>1375</v>
      </c>
    </row>
    <row r="1727" spans="1:14" x14ac:dyDescent="0.25">
      <c r="A1727">
        <v>1123.073875</v>
      </c>
      <c r="B1727" s="1">
        <f>DATE(2013,5,28) + TIME(1,46,22)</f>
        <v>41422.073865740742</v>
      </c>
      <c r="C1727">
        <v>80</v>
      </c>
      <c r="D1727">
        <v>79.928169249999996</v>
      </c>
      <c r="E1727">
        <v>50</v>
      </c>
      <c r="F1727">
        <v>48.012874603</v>
      </c>
      <c r="G1727">
        <v>1366.1944579999999</v>
      </c>
      <c r="H1727">
        <v>1357.1612548999999</v>
      </c>
      <c r="I1727">
        <v>1305.7475586</v>
      </c>
      <c r="J1727">
        <v>1294.8911132999999</v>
      </c>
      <c r="K1727">
        <v>1375</v>
      </c>
      <c r="L1727">
        <v>0</v>
      </c>
      <c r="M1727">
        <v>0</v>
      </c>
      <c r="N1727">
        <v>1375</v>
      </c>
    </row>
    <row r="1728" spans="1:14" x14ac:dyDescent="0.25">
      <c r="A1728">
        <v>1123.786253</v>
      </c>
      <c r="B1728" s="1">
        <f>DATE(2013,5,28) + TIME(18,52,12)</f>
        <v>41422.786249999997</v>
      </c>
      <c r="C1728">
        <v>80</v>
      </c>
      <c r="D1728">
        <v>79.928138732999997</v>
      </c>
      <c r="E1728">
        <v>50</v>
      </c>
      <c r="F1728">
        <v>47.973342895999998</v>
      </c>
      <c r="G1728">
        <v>1366.1502685999999</v>
      </c>
      <c r="H1728">
        <v>1357.1270752</v>
      </c>
      <c r="I1728">
        <v>1305.7386475000001</v>
      </c>
      <c r="J1728">
        <v>1294.8797606999999</v>
      </c>
      <c r="K1728">
        <v>1375</v>
      </c>
      <c r="L1728">
        <v>0</v>
      </c>
      <c r="M1728">
        <v>0</v>
      </c>
      <c r="N1728">
        <v>1375</v>
      </c>
    </row>
    <row r="1729" spans="1:14" x14ac:dyDescent="0.25">
      <c r="A1729">
        <v>1124.5185879999999</v>
      </c>
      <c r="B1729" s="1">
        <f>DATE(2013,5,29) + TIME(12,26,46)</f>
        <v>41423.518587962964</v>
      </c>
      <c r="C1729">
        <v>80</v>
      </c>
      <c r="D1729">
        <v>79.928108214999995</v>
      </c>
      <c r="E1729">
        <v>50</v>
      </c>
      <c r="F1729">
        <v>47.933101653999998</v>
      </c>
      <c r="G1729">
        <v>1366.1058350000001</v>
      </c>
      <c r="H1729">
        <v>1357.0927733999999</v>
      </c>
      <c r="I1729">
        <v>1305.7294922000001</v>
      </c>
      <c r="J1729">
        <v>1294.8680420000001</v>
      </c>
      <c r="K1729">
        <v>1375</v>
      </c>
      <c r="L1729">
        <v>0</v>
      </c>
      <c r="M1729">
        <v>0</v>
      </c>
      <c r="N1729">
        <v>1375</v>
      </c>
    </row>
    <row r="1730" spans="1:14" x14ac:dyDescent="0.25">
      <c r="A1730">
        <v>1125.273267</v>
      </c>
      <c r="B1730" s="1">
        <f>DATE(2013,5,30) + TIME(6,33,30)</f>
        <v>41424.273263888892</v>
      </c>
      <c r="C1730">
        <v>80</v>
      </c>
      <c r="D1730">
        <v>79.928077697999996</v>
      </c>
      <c r="E1730">
        <v>50</v>
      </c>
      <c r="F1730">
        <v>47.892055511000002</v>
      </c>
      <c r="G1730">
        <v>1366.0611572</v>
      </c>
      <c r="H1730">
        <v>1357.0582274999999</v>
      </c>
      <c r="I1730">
        <v>1305.7199707</v>
      </c>
      <c r="J1730">
        <v>1294.8560791</v>
      </c>
      <c r="K1730">
        <v>1375</v>
      </c>
      <c r="L1730">
        <v>0</v>
      </c>
      <c r="M1730">
        <v>0</v>
      </c>
      <c r="N1730">
        <v>1375</v>
      </c>
    </row>
    <row r="1731" spans="1:14" x14ac:dyDescent="0.25">
      <c r="A1731">
        <v>1126.0530839999999</v>
      </c>
      <c r="B1731" s="1">
        <f>DATE(2013,5,31) + TIME(1,16,26)</f>
        <v>41425.053078703706</v>
      </c>
      <c r="C1731">
        <v>80</v>
      </c>
      <c r="D1731">
        <v>79.928047179999993</v>
      </c>
      <c r="E1731">
        <v>50</v>
      </c>
      <c r="F1731">
        <v>47.850090027</v>
      </c>
      <c r="G1731">
        <v>1366.0159911999999</v>
      </c>
      <c r="H1731">
        <v>1357.0234375</v>
      </c>
      <c r="I1731">
        <v>1305.7102050999999</v>
      </c>
      <c r="J1731">
        <v>1294.8435059000001</v>
      </c>
      <c r="K1731">
        <v>1375</v>
      </c>
      <c r="L1731">
        <v>0</v>
      </c>
      <c r="M1731">
        <v>0</v>
      </c>
      <c r="N1731">
        <v>1375</v>
      </c>
    </row>
    <row r="1732" spans="1:14" x14ac:dyDescent="0.25">
      <c r="A1732">
        <v>1126.838804</v>
      </c>
      <c r="B1732" s="1">
        <f>DATE(2013,5,31) + TIME(20,7,52)</f>
        <v>41425.838796296295</v>
      </c>
      <c r="C1732">
        <v>80</v>
      </c>
      <c r="D1732">
        <v>79.928016662999994</v>
      </c>
      <c r="E1732">
        <v>50</v>
      </c>
      <c r="F1732">
        <v>47.807865143000001</v>
      </c>
      <c r="G1732">
        <v>1365.9703368999999</v>
      </c>
      <c r="H1732">
        <v>1356.9881591999999</v>
      </c>
      <c r="I1732">
        <v>1305.6998291</v>
      </c>
      <c r="J1732">
        <v>1294.8305664</v>
      </c>
      <c r="K1732">
        <v>1375</v>
      </c>
      <c r="L1732">
        <v>0</v>
      </c>
      <c r="M1732">
        <v>0</v>
      </c>
      <c r="N1732">
        <v>1375</v>
      </c>
    </row>
    <row r="1733" spans="1:14" x14ac:dyDescent="0.25">
      <c r="A1733">
        <v>1127.6305420000001</v>
      </c>
      <c r="B1733" s="1">
        <f>DATE(2013,6,1) + TIME(15,7,58)</f>
        <v>41426.630532407406</v>
      </c>
      <c r="C1733">
        <v>80</v>
      </c>
      <c r="D1733">
        <v>79.927986145000006</v>
      </c>
      <c r="E1733">
        <v>50</v>
      </c>
      <c r="F1733">
        <v>47.765468597000002</v>
      </c>
      <c r="G1733">
        <v>1365.9251709</v>
      </c>
      <c r="H1733">
        <v>1356.9533690999999</v>
      </c>
      <c r="I1733">
        <v>1305.6894531</v>
      </c>
      <c r="J1733">
        <v>1294.8173827999999</v>
      </c>
      <c r="K1733">
        <v>1375</v>
      </c>
      <c r="L1733">
        <v>0</v>
      </c>
      <c r="M1733">
        <v>0</v>
      </c>
      <c r="N1733">
        <v>1375</v>
      </c>
    </row>
    <row r="1734" spans="1:14" x14ac:dyDescent="0.25">
      <c r="A1734">
        <v>1128.430278</v>
      </c>
      <c r="B1734" s="1">
        <f>DATE(2013,6,2) + TIME(10,19,35)</f>
        <v>41427.430266203701</v>
      </c>
      <c r="C1734">
        <v>80</v>
      </c>
      <c r="D1734">
        <v>79.927955627000003</v>
      </c>
      <c r="E1734">
        <v>50</v>
      </c>
      <c r="F1734">
        <v>47.722892760999997</v>
      </c>
      <c r="G1734">
        <v>1365.8806152</v>
      </c>
      <c r="H1734">
        <v>1356.9190673999999</v>
      </c>
      <c r="I1734">
        <v>1305.6788329999999</v>
      </c>
      <c r="J1734">
        <v>1294.8039550999999</v>
      </c>
      <c r="K1734">
        <v>1375</v>
      </c>
      <c r="L1734">
        <v>0</v>
      </c>
      <c r="M1734">
        <v>0</v>
      </c>
      <c r="N1734">
        <v>1375</v>
      </c>
    </row>
    <row r="1735" spans="1:14" x14ac:dyDescent="0.25">
      <c r="A1735">
        <v>1129.2400070000001</v>
      </c>
      <c r="B1735" s="1">
        <f>DATE(2013,6,3) + TIME(5,45,36)</f>
        <v>41428.239999999998</v>
      </c>
      <c r="C1735">
        <v>80</v>
      </c>
      <c r="D1735">
        <v>79.927925110000004</v>
      </c>
      <c r="E1735">
        <v>50</v>
      </c>
      <c r="F1735">
        <v>47.680107116999999</v>
      </c>
      <c r="G1735">
        <v>1365.8365478999999</v>
      </c>
      <c r="H1735">
        <v>1356.8851318</v>
      </c>
      <c r="I1735">
        <v>1305.6680908000001</v>
      </c>
      <c r="J1735">
        <v>1294.7902832</v>
      </c>
      <c r="K1735">
        <v>1375</v>
      </c>
      <c r="L1735">
        <v>0</v>
      </c>
      <c r="M1735">
        <v>0</v>
      </c>
      <c r="N1735">
        <v>1375</v>
      </c>
    </row>
    <row r="1736" spans="1:14" x14ac:dyDescent="0.25">
      <c r="A1736">
        <v>1130.055668</v>
      </c>
      <c r="B1736" s="1">
        <f>DATE(2013,6,4) + TIME(1,20,9)</f>
        <v>41429.055659722224</v>
      </c>
      <c r="C1736">
        <v>80</v>
      </c>
      <c r="D1736">
        <v>79.927894592000001</v>
      </c>
      <c r="E1736">
        <v>50</v>
      </c>
      <c r="F1736">
        <v>47.637252808</v>
      </c>
      <c r="G1736">
        <v>1365.7928466999999</v>
      </c>
      <c r="H1736">
        <v>1356.8515625</v>
      </c>
      <c r="I1736">
        <v>1305.6571045000001</v>
      </c>
      <c r="J1736">
        <v>1294.7763672000001</v>
      </c>
      <c r="K1736">
        <v>1375</v>
      </c>
      <c r="L1736">
        <v>0</v>
      </c>
      <c r="M1736">
        <v>0</v>
      </c>
      <c r="N1736">
        <v>1375</v>
      </c>
    </row>
    <row r="1737" spans="1:14" x14ac:dyDescent="0.25">
      <c r="A1737">
        <v>1130.877708</v>
      </c>
      <c r="B1737" s="1">
        <f>DATE(2013,6,4) + TIME(21,3,53)</f>
        <v>41429.877696759257</v>
      </c>
      <c r="C1737">
        <v>80</v>
      </c>
      <c r="D1737">
        <v>79.927864075000002</v>
      </c>
      <c r="E1737">
        <v>50</v>
      </c>
      <c r="F1737">
        <v>47.594345093000001</v>
      </c>
      <c r="G1737">
        <v>1365.7496338000001</v>
      </c>
      <c r="H1737">
        <v>1356.8182373</v>
      </c>
      <c r="I1737">
        <v>1305.6459961</v>
      </c>
      <c r="J1737">
        <v>1294.7623291</v>
      </c>
      <c r="K1737">
        <v>1375</v>
      </c>
      <c r="L1737">
        <v>0</v>
      </c>
      <c r="M1737">
        <v>0</v>
      </c>
      <c r="N1737">
        <v>1375</v>
      </c>
    </row>
    <row r="1738" spans="1:14" x14ac:dyDescent="0.25">
      <c r="A1738">
        <v>1131.707981</v>
      </c>
      <c r="B1738" s="1">
        <f>DATE(2013,6,5) + TIME(16,59,29)</f>
        <v>41430.707974537036</v>
      </c>
      <c r="C1738">
        <v>80</v>
      </c>
      <c r="D1738">
        <v>79.927833557</v>
      </c>
      <c r="E1738">
        <v>50</v>
      </c>
      <c r="F1738">
        <v>47.551330565999997</v>
      </c>
      <c r="G1738">
        <v>1365.7069091999999</v>
      </c>
      <c r="H1738">
        <v>1356.7854004000001</v>
      </c>
      <c r="I1738">
        <v>1305.6347656</v>
      </c>
      <c r="J1738">
        <v>1294.7479248</v>
      </c>
      <c r="K1738">
        <v>1375</v>
      </c>
      <c r="L1738">
        <v>0</v>
      </c>
      <c r="M1738">
        <v>0</v>
      </c>
      <c r="N1738">
        <v>1375</v>
      </c>
    </row>
    <row r="1739" spans="1:14" x14ac:dyDescent="0.25">
      <c r="A1739">
        <v>1132.548213</v>
      </c>
      <c r="B1739" s="1">
        <f>DATE(2013,6,6) + TIME(13,9,25)</f>
        <v>41431.548206018517</v>
      </c>
      <c r="C1739">
        <v>80</v>
      </c>
      <c r="D1739">
        <v>79.927810668999996</v>
      </c>
      <c r="E1739">
        <v>50</v>
      </c>
      <c r="F1739">
        <v>47.508159636999999</v>
      </c>
      <c r="G1739">
        <v>1365.6645507999999</v>
      </c>
      <c r="H1739">
        <v>1356.7528076000001</v>
      </c>
      <c r="I1739">
        <v>1305.6231689000001</v>
      </c>
      <c r="J1739">
        <v>1294.7332764</v>
      </c>
      <c r="K1739">
        <v>1375</v>
      </c>
      <c r="L1739">
        <v>0</v>
      </c>
      <c r="M1739">
        <v>0</v>
      </c>
      <c r="N1739">
        <v>1375</v>
      </c>
    </row>
    <row r="1740" spans="1:14" x14ac:dyDescent="0.25">
      <c r="A1740">
        <v>1133.400349</v>
      </c>
      <c r="B1740" s="1">
        <f>DATE(2013,6,7) + TIME(9,36,30)</f>
        <v>41432.400347222225</v>
      </c>
      <c r="C1740">
        <v>80</v>
      </c>
      <c r="D1740">
        <v>79.927780150999993</v>
      </c>
      <c r="E1740">
        <v>50</v>
      </c>
      <c r="F1740">
        <v>47.464748383</v>
      </c>
      <c r="G1740">
        <v>1365.6225586</v>
      </c>
      <c r="H1740">
        <v>1356.7205810999999</v>
      </c>
      <c r="I1740">
        <v>1305.6114502</v>
      </c>
      <c r="J1740">
        <v>1294.7182617000001</v>
      </c>
      <c r="K1740">
        <v>1375</v>
      </c>
      <c r="L1740">
        <v>0</v>
      </c>
      <c r="M1740">
        <v>0</v>
      </c>
      <c r="N1740">
        <v>1375</v>
      </c>
    </row>
    <row r="1741" spans="1:14" x14ac:dyDescent="0.25">
      <c r="A1741">
        <v>1134.2664299999999</v>
      </c>
      <c r="B1741" s="1">
        <f>DATE(2013,6,8) + TIME(6,23,39)</f>
        <v>41433.266423611109</v>
      </c>
      <c r="C1741">
        <v>80</v>
      </c>
      <c r="D1741">
        <v>79.927757263000004</v>
      </c>
      <c r="E1741">
        <v>50</v>
      </c>
      <c r="F1741">
        <v>47.421016692999999</v>
      </c>
      <c r="G1741">
        <v>1365.5806885</v>
      </c>
      <c r="H1741">
        <v>1356.6883545000001</v>
      </c>
      <c r="I1741">
        <v>1305.5994873</v>
      </c>
      <c r="J1741">
        <v>1294.7030029</v>
      </c>
      <c r="K1741">
        <v>1375</v>
      </c>
      <c r="L1741">
        <v>0</v>
      </c>
      <c r="M1741">
        <v>0</v>
      </c>
      <c r="N1741">
        <v>1375</v>
      </c>
    </row>
    <row r="1742" spans="1:14" x14ac:dyDescent="0.25">
      <c r="A1742">
        <v>1135.148596</v>
      </c>
      <c r="B1742" s="1">
        <f>DATE(2013,6,9) + TIME(3,33,58)</f>
        <v>41434.148587962962</v>
      </c>
      <c r="C1742">
        <v>80</v>
      </c>
      <c r="D1742">
        <v>79.927726746000005</v>
      </c>
      <c r="E1742">
        <v>50</v>
      </c>
      <c r="F1742">
        <v>47.376869202000002</v>
      </c>
      <c r="G1742">
        <v>1365.5389404</v>
      </c>
      <c r="H1742">
        <v>1356.65625</v>
      </c>
      <c r="I1742">
        <v>1305.5871582</v>
      </c>
      <c r="J1742">
        <v>1294.6872559000001</v>
      </c>
      <c r="K1742">
        <v>1375</v>
      </c>
      <c r="L1742">
        <v>0</v>
      </c>
      <c r="M1742">
        <v>0</v>
      </c>
      <c r="N1742">
        <v>1375</v>
      </c>
    </row>
    <row r="1743" spans="1:14" x14ac:dyDescent="0.25">
      <c r="A1743">
        <v>1136.0491509999999</v>
      </c>
      <c r="B1743" s="1">
        <f>DATE(2013,6,10) + TIME(1,10,46)</f>
        <v>41435.049143518518</v>
      </c>
      <c r="C1743">
        <v>80</v>
      </c>
      <c r="D1743">
        <v>79.927703856999997</v>
      </c>
      <c r="E1743">
        <v>50</v>
      </c>
      <c r="F1743">
        <v>47.332210541000002</v>
      </c>
      <c r="G1743">
        <v>1365.4970702999999</v>
      </c>
      <c r="H1743">
        <v>1356.6241454999999</v>
      </c>
      <c r="I1743">
        <v>1305.5745850000001</v>
      </c>
      <c r="J1743">
        <v>1294.6711425999999</v>
      </c>
      <c r="K1743">
        <v>1375</v>
      </c>
      <c r="L1743">
        <v>0</v>
      </c>
      <c r="M1743">
        <v>0</v>
      </c>
      <c r="N1743">
        <v>1375</v>
      </c>
    </row>
    <row r="1744" spans="1:14" x14ac:dyDescent="0.25">
      <c r="A1744">
        <v>1136.970599</v>
      </c>
      <c r="B1744" s="1">
        <f>DATE(2013,6,10) + TIME(23,17,39)</f>
        <v>41435.970590277779</v>
      </c>
      <c r="C1744">
        <v>80</v>
      </c>
      <c r="D1744">
        <v>79.927680968999994</v>
      </c>
      <c r="E1744">
        <v>50</v>
      </c>
      <c r="F1744">
        <v>47.286930083999998</v>
      </c>
      <c r="G1744">
        <v>1365.4552002</v>
      </c>
      <c r="H1744">
        <v>1356.5920410000001</v>
      </c>
      <c r="I1744">
        <v>1305.5615233999999</v>
      </c>
      <c r="J1744">
        <v>1294.6544189000001</v>
      </c>
      <c r="K1744">
        <v>1375</v>
      </c>
      <c r="L1744">
        <v>0</v>
      </c>
      <c r="M1744">
        <v>0</v>
      </c>
      <c r="N1744">
        <v>1375</v>
      </c>
    </row>
    <row r="1745" spans="1:14" x14ac:dyDescent="0.25">
      <c r="A1745">
        <v>1137.915655</v>
      </c>
      <c r="B1745" s="1">
        <f>DATE(2013,6,11) + TIME(21,58,32)</f>
        <v>41436.915648148148</v>
      </c>
      <c r="C1745">
        <v>80</v>
      </c>
      <c r="D1745">
        <v>79.927658081000004</v>
      </c>
      <c r="E1745">
        <v>50</v>
      </c>
      <c r="F1745">
        <v>47.240917205999999</v>
      </c>
      <c r="G1745">
        <v>1365.4132079999999</v>
      </c>
      <c r="H1745">
        <v>1356.5596923999999</v>
      </c>
      <c r="I1745">
        <v>1305.5480957</v>
      </c>
      <c r="J1745">
        <v>1294.637207</v>
      </c>
      <c r="K1745">
        <v>1375</v>
      </c>
      <c r="L1745">
        <v>0</v>
      </c>
      <c r="M1745">
        <v>0</v>
      </c>
      <c r="N1745">
        <v>1375</v>
      </c>
    </row>
    <row r="1746" spans="1:14" x14ac:dyDescent="0.25">
      <c r="A1746">
        <v>1138.887338</v>
      </c>
      <c r="B1746" s="1">
        <f>DATE(2013,6,12) + TIME(21,17,45)</f>
        <v>41437.887326388889</v>
      </c>
      <c r="C1746">
        <v>80</v>
      </c>
      <c r="D1746">
        <v>79.927635193</v>
      </c>
      <c r="E1746">
        <v>50</v>
      </c>
      <c r="F1746">
        <v>47.194038390999999</v>
      </c>
      <c r="G1746">
        <v>1365.3707274999999</v>
      </c>
      <c r="H1746">
        <v>1356.5270995999999</v>
      </c>
      <c r="I1746">
        <v>1305.5341797000001</v>
      </c>
      <c r="J1746">
        <v>1294.6193848</v>
      </c>
      <c r="K1746">
        <v>1375</v>
      </c>
      <c r="L1746">
        <v>0</v>
      </c>
      <c r="M1746">
        <v>0</v>
      </c>
      <c r="N1746">
        <v>1375</v>
      </c>
    </row>
    <row r="1747" spans="1:14" x14ac:dyDescent="0.25">
      <c r="A1747">
        <v>1139.8892619999999</v>
      </c>
      <c r="B1747" s="1">
        <f>DATE(2013,6,13) + TIME(21,20,32)</f>
        <v>41438.88925925926</v>
      </c>
      <c r="C1747">
        <v>80</v>
      </c>
      <c r="D1747">
        <v>79.927612304999997</v>
      </c>
      <c r="E1747">
        <v>50</v>
      </c>
      <c r="F1747">
        <v>47.146156310999999</v>
      </c>
      <c r="G1747">
        <v>1365.3280029</v>
      </c>
      <c r="H1747">
        <v>1356.4942627</v>
      </c>
      <c r="I1747">
        <v>1305.5196533000001</v>
      </c>
      <c r="J1747">
        <v>1294.6008300999999</v>
      </c>
      <c r="K1747">
        <v>1375</v>
      </c>
      <c r="L1747">
        <v>0</v>
      </c>
      <c r="M1747">
        <v>0</v>
      </c>
      <c r="N1747">
        <v>1375</v>
      </c>
    </row>
    <row r="1748" spans="1:14" x14ac:dyDescent="0.25">
      <c r="A1748">
        <v>1140.8992820000001</v>
      </c>
      <c r="B1748" s="1">
        <f>DATE(2013,6,14) + TIME(21,34,57)</f>
        <v>41439.899270833332</v>
      </c>
      <c r="C1748">
        <v>80</v>
      </c>
      <c r="D1748">
        <v>79.927597046000002</v>
      </c>
      <c r="E1748">
        <v>50</v>
      </c>
      <c r="F1748">
        <v>47.097850800000003</v>
      </c>
      <c r="G1748">
        <v>1365.284668</v>
      </c>
      <c r="H1748">
        <v>1356.4610596</v>
      </c>
      <c r="I1748">
        <v>1305.5046387</v>
      </c>
      <c r="J1748">
        <v>1294.5814209</v>
      </c>
      <c r="K1748">
        <v>1375</v>
      </c>
      <c r="L1748">
        <v>0</v>
      </c>
      <c r="M1748">
        <v>0</v>
      </c>
      <c r="N1748">
        <v>1375</v>
      </c>
    </row>
    <row r="1749" spans="1:14" x14ac:dyDescent="0.25">
      <c r="A1749">
        <v>1141.918514</v>
      </c>
      <c r="B1749" s="1">
        <f>DATE(2013,6,15) + TIME(22,2,39)</f>
        <v>41440.918506944443</v>
      </c>
      <c r="C1749">
        <v>80</v>
      </c>
      <c r="D1749">
        <v>79.927574157999999</v>
      </c>
      <c r="E1749">
        <v>50</v>
      </c>
      <c r="F1749">
        <v>47.049228667999998</v>
      </c>
      <c r="G1749">
        <v>1365.2416992000001</v>
      </c>
      <c r="H1749">
        <v>1356.4281006000001</v>
      </c>
      <c r="I1749">
        <v>1305.4892577999999</v>
      </c>
      <c r="J1749">
        <v>1294.5616454999999</v>
      </c>
      <c r="K1749">
        <v>1375</v>
      </c>
      <c r="L1749">
        <v>0</v>
      </c>
      <c r="M1749">
        <v>0</v>
      </c>
      <c r="N1749">
        <v>1375</v>
      </c>
    </row>
    <row r="1750" spans="1:14" x14ac:dyDescent="0.25">
      <c r="A1750">
        <v>1142.949537</v>
      </c>
      <c r="B1750" s="1">
        <f>DATE(2013,6,16) + TIME(22,47,19)</f>
        <v>41441.949525462966</v>
      </c>
      <c r="C1750">
        <v>80</v>
      </c>
      <c r="D1750">
        <v>79.927558899000005</v>
      </c>
      <c r="E1750">
        <v>50</v>
      </c>
      <c r="F1750">
        <v>47.000278473000002</v>
      </c>
      <c r="G1750">
        <v>1365.1992187999999</v>
      </c>
      <c r="H1750">
        <v>1356.3953856999999</v>
      </c>
      <c r="I1750">
        <v>1305.4735106999999</v>
      </c>
      <c r="J1750">
        <v>1294.5415039</v>
      </c>
      <c r="K1750">
        <v>1375</v>
      </c>
      <c r="L1750">
        <v>0</v>
      </c>
      <c r="M1750">
        <v>0</v>
      </c>
      <c r="N1750">
        <v>1375</v>
      </c>
    </row>
    <row r="1751" spans="1:14" x14ac:dyDescent="0.25">
      <c r="A1751">
        <v>1143.9949770000001</v>
      </c>
      <c r="B1751" s="1">
        <f>DATE(2013,6,17) + TIME(23,52,45)</f>
        <v>41442.99496527778</v>
      </c>
      <c r="C1751">
        <v>80</v>
      </c>
      <c r="D1751">
        <v>79.927536011000001</v>
      </c>
      <c r="E1751">
        <v>50</v>
      </c>
      <c r="F1751">
        <v>46.950950622999997</v>
      </c>
      <c r="G1751">
        <v>1365.1569824000001</v>
      </c>
      <c r="H1751">
        <v>1356.3629149999999</v>
      </c>
      <c r="I1751">
        <v>1305.4573975000001</v>
      </c>
      <c r="J1751">
        <v>1294.5207519999999</v>
      </c>
      <c r="K1751">
        <v>1375</v>
      </c>
      <c r="L1751">
        <v>0</v>
      </c>
      <c r="M1751">
        <v>0</v>
      </c>
      <c r="N1751">
        <v>1375</v>
      </c>
    </row>
    <row r="1752" spans="1:14" x14ac:dyDescent="0.25">
      <c r="A1752">
        <v>1145.046603</v>
      </c>
      <c r="B1752" s="1">
        <f>DATE(2013,6,19) + TIME(1,7,6)</f>
        <v>41444.046597222223</v>
      </c>
      <c r="C1752">
        <v>80</v>
      </c>
      <c r="D1752">
        <v>79.927520752000007</v>
      </c>
      <c r="E1752">
        <v>50</v>
      </c>
      <c r="F1752">
        <v>46.901462555000002</v>
      </c>
      <c r="G1752">
        <v>1365.1148682</v>
      </c>
      <c r="H1752">
        <v>1356.3305664</v>
      </c>
      <c r="I1752">
        <v>1305.440918</v>
      </c>
      <c r="J1752">
        <v>1294.4993896000001</v>
      </c>
      <c r="K1752">
        <v>1375</v>
      </c>
      <c r="L1752">
        <v>0</v>
      </c>
      <c r="M1752">
        <v>0</v>
      </c>
      <c r="N1752">
        <v>1375</v>
      </c>
    </row>
    <row r="1753" spans="1:14" x14ac:dyDescent="0.25">
      <c r="A1753">
        <v>1146.1071870000001</v>
      </c>
      <c r="B1753" s="1">
        <f>DATE(2013,6,20) + TIME(2,34,20)</f>
        <v>41445.107175925928</v>
      </c>
      <c r="C1753">
        <v>80</v>
      </c>
      <c r="D1753">
        <v>79.927505492999998</v>
      </c>
      <c r="E1753">
        <v>50</v>
      </c>
      <c r="F1753">
        <v>46.851791382000002</v>
      </c>
      <c r="G1753">
        <v>1365.0732422000001</v>
      </c>
      <c r="H1753">
        <v>1356.2985839999999</v>
      </c>
      <c r="I1753">
        <v>1305.4241943</v>
      </c>
      <c r="J1753">
        <v>1294.4776611</v>
      </c>
      <c r="K1753">
        <v>1375</v>
      </c>
      <c r="L1753">
        <v>0</v>
      </c>
      <c r="M1753">
        <v>0</v>
      </c>
      <c r="N1753">
        <v>1375</v>
      </c>
    </row>
    <row r="1754" spans="1:14" x14ac:dyDescent="0.25">
      <c r="A1754">
        <v>1147.1788160000001</v>
      </c>
      <c r="B1754" s="1">
        <f>DATE(2013,6,21) + TIME(4,17,29)</f>
        <v>41446.178807870368</v>
      </c>
      <c r="C1754">
        <v>80</v>
      </c>
      <c r="D1754">
        <v>79.927490234000004</v>
      </c>
      <c r="E1754">
        <v>50</v>
      </c>
      <c r="F1754">
        <v>46.801887512</v>
      </c>
      <c r="G1754">
        <v>1365.0321045000001</v>
      </c>
      <c r="H1754">
        <v>1356.2669678</v>
      </c>
      <c r="I1754">
        <v>1305.4071045000001</v>
      </c>
      <c r="J1754">
        <v>1294.4554443</v>
      </c>
      <c r="K1754">
        <v>1375</v>
      </c>
      <c r="L1754">
        <v>0</v>
      </c>
      <c r="M1754">
        <v>0</v>
      </c>
      <c r="N1754">
        <v>1375</v>
      </c>
    </row>
    <row r="1755" spans="1:14" x14ac:dyDescent="0.25">
      <c r="A1755">
        <v>1148.264021</v>
      </c>
      <c r="B1755" s="1">
        <f>DATE(2013,6,22) + TIME(6,20,11)</f>
        <v>41447.264016203706</v>
      </c>
      <c r="C1755">
        <v>80</v>
      </c>
      <c r="D1755">
        <v>79.927474975999999</v>
      </c>
      <c r="E1755">
        <v>50</v>
      </c>
      <c r="F1755">
        <v>46.751670836999999</v>
      </c>
      <c r="G1755">
        <v>1364.9910889</v>
      </c>
      <c r="H1755">
        <v>1356.2354736</v>
      </c>
      <c r="I1755">
        <v>1305.3895264</v>
      </c>
      <c r="J1755">
        <v>1294.4326172000001</v>
      </c>
      <c r="K1755">
        <v>1375</v>
      </c>
      <c r="L1755">
        <v>0</v>
      </c>
      <c r="M1755">
        <v>0</v>
      </c>
      <c r="N1755">
        <v>1375</v>
      </c>
    </row>
    <row r="1756" spans="1:14" x14ac:dyDescent="0.25">
      <c r="A1756">
        <v>1149.3654409999999</v>
      </c>
      <c r="B1756" s="1">
        <f>DATE(2013,6,23) + TIME(8,46,14)</f>
        <v>41448.365439814814</v>
      </c>
      <c r="C1756">
        <v>80</v>
      </c>
      <c r="D1756">
        <v>79.927467346</v>
      </c>
      <c r="E1756">
        <v>50</v>
      </c>
      <c r="F1756">
        <v>46.701030731000003</v>
      </c>
      <c r="G1756">
        <v>1364.9503173999999</v>
      </c>
      <c r="H1756">
        <v>1356.2041016000001</v>
      </c>
      <c r="I1756">
        <v>1305.371582</v>
      </c>
      <c r="J1756">
        <v>1294.4091797000001</v>
      </c>
      <c r="K1756">
        <v>1375</v>
      </c>
      <c r="L1756">
        <v>0</v>
      </c>
      <c r="M1756">
        <v>0</v>
      </c>
      <c r="N1756">
        <v>1375</v>
      </c>
    </row>
    <row r="1757" spans="1:14" x14ac:dyDescent="0.25">
      <c r="A1757">
        <v>1150.4858369999999</v>
      </c>
      <c r="B1757" s="1">
        <f>DATE(2013,6,24) + TIME(11,39,36)</f>
        <v>41449.485833333332</v>
      </c>
      <c r="C1757">
        <v>80</v>
      </c>
      <c r="D1757">
        <v>79.927452087000006</v>
      </c>
      <c r="E1757">
        <v>50</v>
      </c>
      <c r="F1757">
        <v>46.649860382</v>
      </c>
      <c r="G1757">
        <v>1364.9095459</v>
      </c>
      <c r="H1757">
        <v>1356.1727295000001</v>
      </c>
      <c r="I1757">
        <v>1305.3531493999999</v>
      </c>
      <c r="J1757">
        <v>1294.3850098</v>
      </c>
      <c r="K1757">
        <v>1375</v>
      </c>
      <c r="L1757">
        <v>0</v>
      </c>
      <c r="M1757">
        <v>0</v>
      </c>
      <c r="N1757">
        <v>1375</v>
      </c>
    </row>
    <row r="1758" spans="1:14" x14ac:dyDescent="0.25">
      <c r="A1758">
        <v>1151.628168</v>
      </c>
      <c r="B1758" s="1">
        <f>DATE(2013,6,25) + TIME(15,4,33)</f>
        <v>41450.628159722219</v>
      </c>
      <c r="C1758">
        <v>80</v>
      </c>
      <c r="D1758">
        <v>79.927444457999997</v>
      </c>
      <c r="E1758">
        <v>50</v>
      </c>
      <c r="F1758">
        <v>46.598030090000002</v>
      </c>
      <c r="G1758">
        <v>1364.8687743999999</v>
      </c>
      <c r="H1758">
        <v>1356.1413574000001</v>
      </c>
      <c r="I1758">
        <v>1305.3342285000001</v>
      </c>
      <c r="J1758">
        <v>1294.3601074000001</v>
      </c>
      <c r="K1758">
        <v>1375</v>
      </c>
      <c r="L1758">
        <v>0</v>
      </c>
      <c r="M1758">
        <v>0</v>
      </c>
      <c r="N1758">
        <v>1375</v>
      </c>
    </row>
    <row r="1759" spans="1:14" x14ac:dyDescent="0.25">
      <c r="A1759">
        <v>1152.7956260000001</v>
      </c>
      <c r="B1759" s="1">
        <f>DATE(2013,6,26) + TIME(19,5,42)</f>
        <v>41451.795624999999</v>
      </c>
      <c r="C1759">
        <v>80</v>
      </c>
      <c r="D1759">
        <v>79.927436829000001</v>
      </c>
      <c r="E1759">
        <v>50</v>
      </c>
      <c r="F1759">
        <v>46.545410156000003</v>
      </c>
      <c r="G1759">
        <v>1364.8280029</v>
      </c>
      <c r="H1759">
        <v>1356.1099853999999</v>
      </c>
      <c r="I1759">
        <v>1305.3145752</v>
      </c>
      <c r="J1759">
        <v>1294.3343506000001</v>
      </c>
      <c r="K1759">
        <v>1375</v>
      </c>
      <c r="L1759">
        <v>0</v>
      </c>
      <c r="M1759">
        <v>0</v>
      </c>
      <c r="N1759">
        <v>1375</v>
      </c>
    </row>
    <row r="1760" spans="1:14" x14ac:dyDescent="0.25">
      <c r="A1760">
        <v>1153.991667</v>
      </c>
      <c r="B1760" s="1">
        <f>DATE(2013,6,27) + TIME(23,48,0)</f>
        <v>41452.991666666669</v>
      </c>
      <c r="C1760">
        <v>80</v>
      </c>
      <c r="D1760">
        <v>79.927429199000002</v>
      </c>
      <c r="E1760">
        <v>50</v>
      </c>
      <c r="F1760">
        <v>46.491844176999997</v>
      </c>
      <c r="G1760">
        <v>1364.7868652</v>
      </c>
      <c r="H1760">
        <v>1356.0783690999999</v>
      </c>
      <c r="I1760">
        <v>1305.2943115</v>
      </c>
      <c r="J1760">
        <v>1294.3076172000001</v>
      </c>
      <c r="K1760">
        <v>1375</v>
      </c>
      <c r="L1760">
        <v>0</v>
      </c>
      <c r="M1760">
        <v>0</v>
      </c>
      <c r="N1760">
        <v>1375</v>
      </c>
    </row>
    <row r="1761" spans="1:14" x14ac:dyDescent="0.25">
      <c r="A1761">
        <v>1155.220082</v>
      </c>
      <c r="B1761" s="1">
        <f>DATE(2013,6,29) + TIME(5,16,55)</f>
        <v>41454.220081018517</v>
      </c>
      <c r="C1761">
        <v>80</v>
      </c>
      <c r="D1761">
        <v>79.927421570000007</v>
      </c>
      <c r="E1761">
        <v>50</v>
      </c>
      <c r="F1761">
        <v>46.437175750999998</v>
      </c>
      <c r="G1761">
        <v>1364.7454834</v>
      </c>
      <c r="H1761">
        <v>1356.0465088000001</v>
      </c>
      <c r="I1761">
        <v>1305.2731934000001</v>
      </c>
      <c r="J1761">
        <v>1294.2796631000001</v>
      </c>
      <c r="K1761">
        <v>1375</v>
      </c>
      <c r="L1761">
        <v>0</v>
      </c>
      <c r="M1761">
        <v>0</v>
      </c>
      <c r="N1761">
        <v>1375</v>
      </c>
    </row>
    <row r="1762" spans="1:14" x14ac:dyDescent="0.25">
      <c r="A1762">
        <v>1156.4738379999999</v>
      </c>
      <c r="B1762" s="1">
        <f>DATE(2013,6,30) + TIME(11,22,19)</f>
        <v>41455.47383101852</v>
      </c>
      <c r="C1762">
        <v>80</v>
      </c>
      <c r="D1762">
        <v>79.927413939999994</v>
      </c>
      <c r="E1762">
        <v>50</v>
      </c>
      <c r="F1762">
        <v>46.381507874</v>
      </c>
      <c r="G1762">
        <v>1364.7036132999999</v>
      </c>
      <c r="H1762">
        <v>1356.0142822</v>
      </c>
      <c r="I1762">
        <v>1305.2512207</v>
      </c>
      <c r="J1762">
        <v>1294.2506103999999</v>
      </c>
      <c r="K1762">
        <v>1375</v>
      </c>
      <c r="L1762">
        <v>0</v>
      </c>
      <c r="M1762">
        <v>0</v>
      </c>
      <c r="N1762">
        <v>1375</v>
      </c>
    </row>
    <row r="1763" spans="1:14" x14ac:dyDescent="0.25">
      <c r="A1763">
        <v>1157</v>
      </c>
      <c r="B1763" s="1">
        <f>DATE(2013,7,1) + TIME(0,0,0)</f>
        <v>41456</v>
      </c>
      <c r="C1763">
        <v>80</v>
      </c>
      <c r="D1763">
        <v>79.927391052000004</v>
      </c>
      <c r="E1763">
        <v>50</v>
      </c>
      <c r="F1763">
        <v>46.349758147999999</v>
      </c>
      <c r="G1763">
        <v>1364.661499</v>
      </c>
      <c r="H1763">
        <v>1355.9816894999999</v>
      </c>
      <c r="I1763">
        <v>1305.2277832</v>
      </c>
      <c r="J1763">
        <v>1294.2232666</v>
      </c>
      <c r="K1763">
        <v>1375</v>
      </c>
      <c r="L1763">
        <v>0</v>
      </c>
      <c r="M1763">
        <v>0</v>
      </c>
      <c r="N1763">
        <v>1375</v>
      </c>
    </row>
    <row r="1764" spans="1:14" x14ac:dyDescent="0.25">
      <c r="A1764">
        <v>1157.0000010000001</v>
      </c>
      <c r="B1764" s="1">
        <f>DATE(2013,7,1) + TIME(0,0,0)</f>
        <v>41456</v>
      </c>
      <c r="C1764">
        <v>80</v>
      </c>
      <c r="D1764">
        <v>79.927421570000007</v>
      </c>
      <c r="E1764">
        <v>50</v>
      </c>
      <c r="F1764">
        <v>46.349739075000002</v>
      </c>
      <c r="G1764">
        <v>1370.2541504000001</v>
      </c>
      <c r="H1764">
        <v>1356.1678466999999</v>
      </c>
      <c r="I1764">
        <v>1305.0479736</v>
      </c>
      <c r="J1764">
        <v>1285.6791992000001</v>
      </c>
      <c r="K1764">
        <v>2400</v>
      </c>
      <c r="L1764">
        <v>0</v>
      </c>
      <c r="M1764">
        <v>0</v>
      </c>
      <c r="N1764">
        <v>2400</v>
      </c>
    </row>
    <row r="1765" spans="1:14" x14ac:dyDescent="0.25">
      <c r="A1765">
        <v>1157.000004</v>
      </c>
      <c r="B1765" s="1">
        <f>DATE(2013,7,1) + TIME(0,0,0)</f>
        <v>41456</v>
      </c>
      <c r="C1765">
        <v>80</v>
      </c>
      <c r="D1765">
        <v>79.927490234000004</v>
      </c>
      <c r="E1765">
        <v>50</v>
      </c>
      <c r="F1765">
        <v>46.349678040000001</v>
      </c>
      <c r="G1765">
        <v>1370.7246094</v>
      </c>
      <c r="H1765">
        <v>1356.6381836</v>
      </c>
      <c r="I1765">
        <v>1304.5639647999999</v>
      </c>
      <c r="J1765">
        <v>1285.1793213000001</v>
      </c>
      <c r="K1765">
        <v>2400</v>
      </c>
      <c r="L1765">
        <v>0</v>
      </c>
      <c r="M1765">
        <v>0</v>
      </c>
      <c r="N1765">
        <v>2400</v>
      </c>
    </row>
    <row r="1766" spans="1:14" x14ac:dyDescent="0.25">
      <c r="A1766">
        <v>1157.0000130000001</v>
      </c>
      <c r="B1766" s="1">
        <f>DATE(2013,7,1) + TIME(0,0,1)</f>
        <v>41456.000011574077</v>
      </c>
      <c r="C1766">
        <v>80</v>
      </c>
      <c r="D1766">
        <v>79.927619934000006</v>
      </c>
      <c r="E1766">
        <v>50</v>
      </c>
      <c r="F1766">
        <v>46.349540709999999</v>
      </c>
      <c r="G1766">
        <v>1371.6741943</v>
      </c>
      <c r="H1766">
        <v>1357.5876464999999</v>
      </c>
      <c r="I1766">
        <v>1303.4593506000001</v>
      </c>
      <c r="J1766">
        <v>1284.0528564000001</v>
      </c>
      <c r="K1766">
        <v>2400</v>
      </c>
      <c r="L1766">
        <v>0</v>
      </c>
      <c r="M1766">
        <v>0</v>
      </c>
      <c r="N1766">
        <v>2400</v>
      </c>
    </row>
    <row r="1767" spans="1:14" x14ac:dyDescent="0.25">
      <c r="A1767">
        <v>1157.0000399999999</v>
      </c>
      <c r="B1767" s="1">
        <f>DATE(2013,7,1) + TIME(0,0,3)</f>
        <v>41456.000034722223</v>
      </c>
      <c r="C1767">
        <v>80</v>
      </c>
      <c r="D1767">
        <v>79.927818298000005</v>
      </c>
      <c r="E1767">
        <v>50</v>
      </c>
      <c r="F1767">
        <v>46.349304199000002</v>
      </c>
      <c r="G1767">
        <v>1373.0609131000001</v>
      </c>
      <c r="H1767">
        <v>1358.9746094</v>
      </c>
      <c r="I1767">
        <v>1301.5731201000001</v>
      </c>
      <c r="J1767">
        <v>1282.1582031</v>
      </c>
      <c r="K1767">
        <v>2400</v>
      </c>
      <c r="L1767">
        <v>0</v>
      </c>
      <c r="M1767">
        <v>0</v>
      </c>
      <c r="N1767">
        <v>2400</v>
      </c>
    </row>
    <row r="1768" spans="1:14" x14ac:dyDescent="0.25">
      <c r="A1768">
        <v>1157.000121</v>
      </c>
      <c r="B1768" s="1">
        <f>DATE(2013,7,1) + TIME(0,0,10)</f>
        <v>41456.000115740739</v>
      </c>
      <c r="C1768">
        <v>80</v>
      </c>
      <c r="D1768">
        <v>79.928047179999993</v>
      </c>
      <c r="E1768">
        <v>50</v>
      </c>
      <c r="F1768">
        <v>46.349002837999997</v>
      </c>
      <c r="G1768">
        <v>1374.6074219</v>
      </c>
      <c r="H1768">
        <v>1360.5202637</v>
      </c>
      <c r="I1768">
        <v>1299.2359618999999</v>
      </c>
      <c r="J1768">
        <v>1279.8317870999999</v>
      </c>
      <c r="K1768">
        <v>2400</v>
      </c>
      <c r="L1768">
        <v>0</v>
      </c>
      <c r="M1768">
        <v>0</v>
      </c>
      <c r="N1768">
        <v>2400</v>
      </c>
    </row>
    <row r="1769" spans="1:14" x14ac:dyDescent="0.25">
      <c r="A1769">
        <v>1157.000364</v>
      </c>
      <c r="B1769" s="1">
        <f>DATE(2013,7,1) + TIME(0,0,31)</f>
        <v>41456.000358796293</v>
      </c>
      <c r="C1769">
        <v>80</v>
      </c>
      <c r="D1769">
        <v>79.928276061999995</v>
      </c>
      <c r="E1769">
        <v>50</v>
      </c>
      <c r="F1769">
        <v>46.348674774000003</v>
      </c>
      <c r="G1769">
        <v>1376.2039795000001</v>
      </c>
      <c r="H1769">
        <v>1362.1025391000001</v>
      </c>
      <c r="I1769">
        <v>1296.8143310999999</v>
      </c>
      <c r="J1769">
        <v>1277.4241943</v>
      </c>
      <c r="K1769">
        <v>2400</v>
      </c>
      <c r="L1769">
        <v>0</v>
      </c>
      <c r="M1769">
        <v>0</v>
      </c>
      <c r="N1769">
        <v>2400</v>
      </c>
    </row>
    <row r="1770" spans="1:14" x14ac:dyDescent="0.25">
      <c r="A1770">
        <v>1157.0010930000001</v>
      </c>
      <c r="B1770" s="1">
        <f>DATE(2013,7,1) + TIME(0,1,34)</f>
        <v>41456.001087962963</v>
      </c>
      <c r="C1770">
        <v>80</v>
      </c>
      <c r="D1770">
        <v>79.928550720000004</v>
      </c>
      <c r="E1770">
        <v>50</v>
      </c>
      <c r="F1770">
        <v>46.348285675</v>
      </c>
      <c r="G1770">
        <v>1377.9909668</v>
      </c>
      <c r="H1770">
        <v>1363.8406981999999</v>
      </c>
      <c r="I1770">
        <v>1294.3618164</v>
      </c>
      <c r="J1770">
        <v>1274.9781493999999</v>
      </c>
      <c r="K1770">
        <v>2400</v>
      </c>
      <c r="L1770">
        <v>0</v>
      </c>
      <c r="M1770">
        <v>0</v>
      </c>
      <c r="N1770">
        <v>2400</v>
      </c>
    </row>
    <row r="1771" spans="1:14" x14ac:dyDescent="0.25">
      <c r="A1771">
        <v>1157.0032799999999</v>
      </c>
      <c r="B1771" s="1">
        <f>DATE(2013,7,1) + TIME(0,4,43)</f>
        <v>41456.003275462965</v>
      </c>
      <c r="C1771">
        <v>80</v>
      </c>
      <c r="D1771">
        <v>79.928932189999998</v>
      </c>
      <c r="E1771">
        <v>50</v>
      </c>
      <c r="F1771">
        <v>46.347705841</v>
      </c>
      <c r="G1771">
        <v>1380.1912841999999</v>
      </c>
      <c r="H1771">
        <v>1365.9677733999999</v>
      </c>
      <c r="I1771">
        <v>1291.7830810999999</v>
      </c>
      <c r="J1771">
        <v>1272.3905029</v>
      </c>
      <c r="K1771">
        <v>2400</v>
      </c>
      <c r="L1771">
        <v>0</v>
      </c>
      <c r="M1771">
        <v>0</v>
      </c>
      <c r="N1771">
        <v>2400</v>
      </c>
    </row>
    <row r="1772" spans="1:14" x14ac:dyDescent="0.25">
      <c r="A1772">
        <v>1157.0098410000001</v>
      </c>
      <c r="B1772" s="1">
        <f>DATE(2013,7,1) + TIME(0,14,10)</f>
        <v>41456.009837962964</v>
      </c>
      <c r="C1772">
        <v>80</v>
      </c>
      <c r="D1772">
        <v>79.929527282999999</v>
      </c>
      <c r="E1772">
        <v>50</v>
      </c>
      <c r="F1772">
        <v>46.346595764</v>
      </c>
      <c r="G1772">
        <v>1382.7391356999999</v>
      </c>
      <c r="H1772">
        <v>1368.4544678</v>
      </c>
      <c r="I1772">
        <v>1289.1048584</v>
      </c>
      <c r="J1772">
        <v>1269.6928711</v>
      </c>
      <c r="K1772">
        <v>2400</v>
      </c>
      <c r="L1772">
        <v>0</v>
      </c>
      <c r="M1772">
        <v>0</v>
      </c>
      <c r="N1772">
        <v>2400</v>
      </c>
    </row>
    <row r="1773" spans="1:14" x14ac:dyDescent="0.25">
      <c r="A1773">
        <v>1157.029524</v>
      </c>
      <c r="B1773" s="1">
        <f>DATE(2013,7,1) + TIME(0,42,30)</f>
        <v>41456.029513888891</v>
      </c>
      <c r="C1773">
        <v>80</v>
      </c>
      <c r="D1773">
        <v>79.930541992000002</v>
      </c>
      <c r="E1773">
        <v>50</v>
      </c>
      <c r="F1773">
        <v>46.344020843999999</v>
      </c>
      <c r="G1773">
        <v>1384.9888916</v>
      </c>
      <c r="H1773">
        <v>1370.6722411999999</v>
      </c>
      <c r="I1773">
        <v>1286.8955077999999</v>
      </c>
      <c r="J1773">
        <v>1267.4678954999999</v>
      </c>
      <c r="K1773">
        <v>2400</v>
      </c>
      <c r="L1773">
        <v>0</v>
      </c>
      <c r="M1773">
        <v>0</v>
      </c>
      <c r="N1773">
        <v>2400</v>
      </c>
    </row>
    <row r="1774" spans="1:14" x14ac:dyDescent="0.25">
      <c r="A1774">
        <v>1157.088573</v>
      </c>
      <c r="B1774" s="1">
        <f>DATE(2013,7,1) + TIME(2,7,32)</f>
        <v>41456.088564814818</v>
      </c>
      <c r="C1774">
        <v>80</v>
      </c>
      <c r="D1774">
        <v>79.932632446</v>
      </c>
      <c r="E1774">
        <v>50</v>
      </c>
      <c r="F1774">
        <v>46.337337494000003</v>
      </c>
      <c r="G1774">
        <v>1386.2347411999999</v>
      </c>
      <c r="H1774">
        <v>1371.9075928</v>
      </c>
      <c r="I1774">
        <v>1285.862793</v>
      </c>
      <c r="J1774">
        <v>1266.4274902</v>
      </c>
      <c r="K1774">
        <v>2400</v>
      </c>
      <c r="L1774">
        <v>0</v>
      </c>
      <c r="M1774">
        <v>0</v>
      </c>
      <c r="N1774">
        <v>2400</v>
      </c>
    </row>
    <row r="1775" spans="1:14" x14ac:dyDescent="0.25">
      <c r="A1775">
        <v>1157.2657200000001</v>
      </c>
      <c r="B1775" s="1">
        <f>DATE(2013,7,1) + TIME(6,22,38)</f>
        <v>41456.265717592592</v>
      </c>
      <c r="C1775">
        <v>80</v>
      </c>
      <c r="D1775">
        <v>79.937294006000002</v>
      </c>
      <c r="E1775">
        <v>50</v>
      </c>
      <c r="F1775">
        <v>46.320262909</v>
      </c>
      <c r="G1775">
        <v>1386.5850829999999</v>
      </c>
      <c r="H1775">
        <v>1372.2570800999999</v>
      </c>
      <c r="I1775">
        <v>1285.6849365</v>
      </c>
      <c r="J1775">
        <v>1266.2440185999999</v>
      </c>
      <c r="K1775">
        <v>2400</v>
      </c>
      <c r="L1775">
        <v>0</v>
      </c>
      <c r="M1775">
        <v>0</v>
      </c>
      <c r="N1775">
        <v>2400</v>
      </c>
    </row>
    <row r="1776" spans="1:14" x14ac:dyDescent="0.25">
      <c r="A1776">
        <v>1157.797161</v>
      </c>
      <c r="B1776" s="1">
        <f>DATE(2013,7,1) + TIME(19,7,54)</f>
        <v>41456.797152777777</v>
      </c>
      <c r="C1776">
        <v>80</v>
      </c>
      <c r="D1776">
        <v>79.945236206000004</v>
      </c>
      <c r="E1776">
        <v>50</v>
      </c>
      <c r="F1776">
        <v>46.283847809000001</v>
      </c>
      <c r="G1776">
        <v>1386.6130370999999</v>
      </c>
      <c r="H1776">
        <v>1372.2883300999999</v>
      </c>
      <c r="I1776">
        <v>1285.6755370999999</v>
      </c>
      <c r="J1776">
        <v>1266.2249756000001</v>
      </c>
      <c r="K1776">
        <v>2400</v>
      </c>
      <c r="L1776">
        <v>0</v>
      </c>
      <c r="M1776">
        <v>0</v>
      </c>
      <c r="N1776">
        <v>2400</v>
      </c>
    </row>
    <row r="1777" spans="1:14" x14ac:dyDescent="0.25">
      <c r="A1777">
        <v>1158.4630179999999</v>
      </c>
      <c r="B1777" s="1">
        <f>DATE(2013,7,2) + TIME(11,6,44)</f>
        <v>41457.463009259256</v>
      </c>
      <c r="C1777">
        <v>80</v>
      </c>
      <c r="D1777">
        <v>79.950401306000003</v>
      </c>
      <c r="E1777">
        <v>50</v>
      </c>
      <c r="F1777">
        <v>46.242416382000002</v>
      </c>
      <c r="G1777">
        <v>1386.5615233999999</v>
      </c>
      <c r="H1777">
        <v>1372.2462158000001</v>
      </c>
      <c r="I1777">
        <v>1285.6499022999999</v>
      </c>
      <c r="J1777">
        <v>1266.1884766000001</v>
      </c>
      <c r="K1777">
        <v>2400</v>
      </c>
      <c r="L1777">
        <v>0</v>
      </c>
      <c r="M1777">
        <v>0</v>
      </c>
      <c r="N1777">
        <v>2400</v>
      </c>
    </row>
    <row r="1778" spans="1:14" x14ac:dyDescent="0.25">
      <c r="A1778">
        <v>1159.1391550000001</v>
      </c>
      <c r="B1778" s="1">
        <f>DATE(2013,7,3) + TIME(3,20,23)</f>
        <v>41458.139155092591</v>
      </c>
      <c r="C1778">
        <v>80</v>
      </c>
      <c r="D1778">
        <v>79.953102111999996</v>
      </c>
      <c r="E1778">
        <v>50</v>
      </c>
      <c r="F1778">
        <v>46.199077606000003</v>
      </c>
      <c r="G1778">
        <v>1386.4945068</v>
      </c>
      <c r="H1778">
        <v>1372.1907959</v>
      </c>
      <c r="I1778">
        <v>1285.6160889</v>
      </c>
      <c r="J1778">
        <v>1266.1429443</v>
      </c>
      <c r="K1778">
        <v>2400</v>
      </c>
      <c r="L1778">
        <v>0</v>
      </c>
      <c r="M1778">
        <v>0</v>
      </c>
      <c r="N1778">
        <v>2400</v>
      </c>
    </row>
    <row r="1779" spans="1:14" x14ac:dyDescent="0.25">
      <c r="A1779">
        <v>1159.8256940000001</v>
      </c>
      <c r="B1779" s="1">
        <f>DATE(2013,7,3) + TIME(19,48,59)</f>
        <v>41458.825682870367</v>
      </c>
      <c r="C1779">
        <v>80</v>
      </c>
      <c r="D1779">
        <v>79.954505920000003</v>
      </c>
      <c r="E1779">
        <v>50</v>
      </c>
      <c r="F1779">
        <v>46.154304504000002</v>
      </c>
      <c r="G1779">
        <v>1386.4274902</v>
      </c>
      <c r="H1779">
        <v>1372.1352539</v>
      </c>
      <c r="I1779">
        <v>1285.5809326000001</v>
      </c>
      <c r="J1779">
        <v>1266.0955810999999</v>
      </c>
      <c r="K1779">
        <v>2400</v>
      </c>
      <c r="L1779">
        <v>0</v>
      </c>
      <c r="M1779">
        <v>0</v>
      </c>
      <c r="N1779">
        <v>2400</v>
      </c>
    </row>
    <row r="1780" spans="1:14" x14ac:dyDescent="0.25">
      <c r="A1780">
        <v>1160.5165710000001</v>
      </c>
      <c r="B1780" s="1">
        <f>DATE(2013,7,4) + TIME(12,23,51)</f>
        <v>41459.516562500001</v>
      </c>
      <c r="C1780">
        <v>80</v>
      </c>
      <c r="D1780">
        <v>79.955230713000006</v>
      </c>
      <c r="E1780">
        <v>50</v>
      </c>
      <c r="F1780">
        <v>46.108604431000003</v>
      </c>
      <c r="G1780">
        <v>1386.3604736</v>
      </c>
      <c r="H1780">
        <v>1372.0798339999999</v>
      </c>
      <c r="I1780">
        <v>1285.5447998</v>
      </c>
      <c r="J1780">
        <v>1266.0465088000001</v>
      </c>
      <c r="K1780">
        <v>2400</v>
      </c>
      <c r="L1780">
        <v>0</v>
      </c>
      <c r="M1780">
        <v>0</v>
      </c>
      <c r="N1780">
        <v>2400</v>
      </c>
    </row>
    <row r="1781" spans="1:14" x14ac:dyDescent="0.25">
      <c r="A1781">
        <v>1161.2116619999999</v>
      </c>
      <c r="B1781" s="1">
        <f>DATE(2013,7,5) + TIME(5,4,47)</f>
        <v>41460.211655092593</v>
      </c>
      <c r="C1781">
        <v>80</v>
      </c>
      <c r="D1781">
        <v>79.955596924000005</v>
      </c>
      <c r="E1781">
        <v>50</v>
      </c>
      <c r="F1781">
        <v>46.062213898000003</v>
      </c>
      <c r="G1781">
        <v>1386.2941894999999</v>
      </c>
      <c r="H1781">
        <v>1372.0249022999999</v>
      </c>
      <c r="I1781">
        <v>1285.5079346</v>
      </c>
      <c r="J1781">
        <v>1265.9962158000001</v>
      </c>
      <c r="K1781">
        <v>2400</v>
      </c>
      <c r="L1781">
        <v>0</v>
      </c>
      <c r="M1781">
        <v>0</v>
      </c>
      <c r="N1781">
        <v>2400</v>
      </c>
    </row>
    <row r="1782" spans="1:14" x14ac:dyDescent="0.25">
      <c r="A1782">
        <v>1161.9127149999999</v>
      </c>
      <c r="B1782" s="1">
        <f>DATE(2013,7,5) + TIME(21,54,18)</f>
        <v>41460.912708333337</v>
      </c>
      <c r="C1782">
        <v>80</v>
      </c>
      <c r="D1782">
        <v>79.955787658999995</v>
      </c>
      <c r="E1782">
        <v>50</v>
      </c>
      <c r="F1782">
        <v>46.015197753999999</v>
      </c>
      <c r="G1782">
        <v>1386.2285156</v>
      </c>
      <c r="H1782">
        <v>1371.9704589999999</v>
      </c>
      <c r="I1782">
        <v>1285.4703368999999</v>
      </c>
      <c r="J1782">
        <v>1265.9447021000001</v>
      </c>
      <c r="K1782">
        <v>2400</v>
      </c>
      <c r="L1782">
        <v>0</v>
      </c>
      <c r="M1782">
        <v>0</v>
      </c>
      <c r="N1782">
        <v>2400</v>
      </c>
    </row>
    <row r="1783" spans="1:14" x14ac:dyDescent="0.25">
      <c r="A1783">
        <v>1162.6209779999999</v>
      </c>
      <c r="B1783" s="1">
        <f>DATE(2013,7,6) + TIME(14,54,12)</f>
        <v>41461.620972222219</v>
      </c>
      <c r="C1783">
        <v>80</v>
      </c>
      <c r="D1783">
        <v>79.955879210999996</v>
      </c>
      <c r="E1783">
        <v>50</v>
      </c>
      <c r="F1783">
        <v>45.967548370000003</v>
      </c>
      <c r="G1783">
        <v>1386.1632079999999</v>
      </c>
      <c r="H1783">
        <v>1371.9163818</v>
      </c>
      <c r="I1783">
        <v>1285.4317627</v>
      </c>
      <c r="J1783">
        <v>1265.8917236</v>
      </c>
      <c r="K1783">
        <v>2400</v>
      </c>
      <c r="L1783">
        <v>0</v>
      </c>
      <c r="M1783">
        <v>0</v>
      </c>
      <c r="N1783">
        <v>2400</v>
      </c>
    </row>
    <row r="1784" spans="1:14" x14ac:dyDescent="0.25">
      <c r="A1784">
        <v>1163.338</v>
      </c>
      <c r="B1784" s="1">
        <f>DATE(2013,7,7) + TIME(8,6,43)</f>
        <v>41462.337997685187</v>
      </c>
      <c r="C1784">
        <v>80</v>
      </c>
      <c r="D1784">
        <v>79.955924988000007</v>
      </c>
      <c r="E1784">
        <v>50</v>
      </c>
      <c r="F1784">
        <v>45.919212340999998</v>
      </c>
      <c r="G1784">
        <v>1386.0982666</v>
      </c>
      <c r="H1784">
        <v>1371.8624268000001</v>
      </c>
      <c r="I1784">
        <v>1285.3923339999999</v>
      </c>
      <c r="J1784">
        <v>1265.8374022999999</v>
      </c>
      <c r="K1784">
        <v>2400</v>
      </c>
      <c r="L1784">
        <v>0</v>
      </c>
      <c r="M1784">
        <v>0</v>
      </c>
      <c r="N1784">
        <v>2400</v>
      </c>
    </row>
    <row r="1785" spans="1:14" x14ac:dyDescent="0.25">
      <c r="A1785">
        <v>1164.0653950000001</v>
      </c>
      <c r="B1785" s="1">
        <f>DATE(2013,7,8) + TIME(1,34,10)</f>
        <v>41463.065393518518</v>
      </c>
      <c r="C1785">
        <v>80</v>
      </c>
      <c r="D1785">
        <v>79.955940247000001</v>
      </c>
      <c r="E1785">
        <v>50</v>
      </c>
      <c r="F1785">
        <v>45.870098114000001</v>
      </c>
      <c r="G1785">
        <v>1386.0335693</v>
      </c>
      <c r="H1785">
        <v>1371.8087158000001</v>
      </c>
      <c r="I1785">
        <v>1285.3519286999999</v>
      </c>
      <c r="J1785">
        <v>1265.7814940999999</v>
      </c>
      <c r="K1785">
        <v>2400</v>
      </c>
      <c r="L1785">
        <v>0</v>
      </c>
      <c r="M1785">
        <v>0</v>
      </c>
      <c r="N1785">
        <v>2400</v>
      </c>
    </row>
    <row r="1786" spans="1:14" x14ac:dyDescent="0.25">
      <c r="A1786">
        <v>1164.804862</v>
      </c>
      <c r="B1786" s="1">
        <f>DATE(2013,7,8) + TIME(19,19,0)</f>
        <v>41463.804861111108</v>
      </c>
      <c r="C1786">
        <v>80</v>
      </c>
      <c r="D1786">
        <v>79.955947875999996</v>
      </c>
      <c r="E1786">
        <v>50</v>
      </c>
      <c r="F1786">
        <v>45.820091247999997</v>
      </c>
      <c r="G1786">
        <v>1385.96875</v>
      </c>
      <c r="H1786">
        <v>1371.7550048999999</v>
      </c>
      <c r="I1786">
        <v>1285.3103027</v>
      </c>
      <c r="J1786">
        <v>1265.7237548999999</v>
      </c>
      <c r="K1786">
        <v>2400</v>
      </c>
      <c r="L1786">
        <v>0</v>
      </c>
      <c r="M1786">
        <v>0</v>
      </c>
      <c r="N1786">
        <v>2400</v>
      </c>
    </row>
    <row r="1787" spans="1:14" x14ac:dyDescent="0.25">
      <c r="A1787">
        <v>1165.5582119999999</v>
      </c>
      <c r="B1787" s="1">
        <f>DATE(2013,7,9) + TIME(13,23,49)</f>
        <v>41464.558206018519</v>
      </c>
      <c r="C1787">
        <v>80</v>
      </c>
      <c r="D1787">
        <v>79.955947875999996</v>
      </c>
      <c r="E1787">
        <v>50</v>
      </c>
      <c r="F1787">
        <v>45.769065857000001</v>
      </c>
      <c r="G1787">
        <v>1385.9039307</v>
      </c>
      <c r="H1787">
        <v>1371.7011719</v>
      </c>
      <c r="I1787">
        <v>1285.2673339999999</v>
      </c>
      <c r="J1787">
        <v>1265.6640625</v>
      </c>
      <c r="K1787">
        <v>2400</v>
      </c>
      <c r="L1787">
        <v>0</v>
      </c>
      <c r="M1787">
        <v>0</v>
      </c>
      <c r="N1787">
        <v>2400</v>
      </c>
    </row>
    <row r="1788" spans="1:14" x14ac:dyDescent="0.25">
      <c r="A1788">
        <v>1166.3273919999999</v>
      </c>
      <c r="B1788" s="1">
        <f>DATE(2013,7,10) + TIME(7,51,26)</f>
        <v>41465.327384259261</v>
      </c>
      <c r="C1788">
        <v>80</v>
      </c>
      <c r="D1788">
        <v>79.955947875999996</v>
      </c>
      <c r="E1788">
        <v>50</v>
      </c>
      <c r="F1788">
        <v>45.716880797999998</v>
      </c>
      <c r="G1788">
        <v>1385.8387451000001</v>
      </c>
      <c r="H1788">
        <v>1371.6470947</v>
      </c>
      <c r="I1788">
        <v>1285.2230225000001</v>
      </c>
      <c r="J1788">
        <v>1265.6022949000001</v>
      </c>
      <c r="K1788">
        <v>2400</v>
      </c>
      <c r="L1788">
        <v>0</v>
      </c>
      <c r="M1788">
        <v>0</v>
      </c>
      <c r="N1788">
        <v>2400</v>
      </c>
    </row>
    <row r="1789" spans="1:14" x14ac:dyDescent="0.25">
      <c r="A1789">
        <v>1167.114517</v>
      </c>
      <c r="B1789" s="1">
        <f>DATE(2013,7,11) + TIME(2,44,54)</f>
        <v>41466.11451388889</v>
      </c>
      <c r="C1789">
        <v>80</v>
      </c>
      <c r="D1789">
        <v>79.955940247000001</v>
      </c>
      <c r="E1789">
        <v>50</v>
      </c>
      <c r="F1789">
        <v>45.663375854000002</v>
      </c>
      <c r="G1789">
        <v>1385.7733154</v>
      </c>
      <c r="H1789">
        <v>1371.5926514</v>
      </c>
      <c r="I1789">
        <v>1285.177124</v>
      </c>
      <c r="J1789">
        <v>1265.5380858999999</v>
      </c>
      <c r="K1789">
        <v>2400</v>
      </c>
      <c r="L1789">
        <v>0</v>
      </c>
      <c r="M1789">
        <v>0</v>
      </c>
      <c r="N1789">
        <v>2400</v>
      </c>
    </row>
    <row r="1790" spans="1:14" x14ac:dyDescent="0.25">
      <c r="A1790">
        <v>1167.921922</v>
      </c>
      <c r="B1790" s="1">
        <f>DATE(2013,7,11) + TIME(22,7,34)</f>
        <v>41466.9219212963</v>
      </c>
      <c r="C1790">
        <v>80</v>
      </c>
      <c r="D1790">
        <v>79.955940247000001</v>
      </c>
      <c r="E1790">
        <v>50</v>
      </c>
      <c r="F1790">
        <v>45.608371734999999</v>
      </c>
      <c r="G1790">
        <v>1385.7072754000001</v>
      </c>
      <c r="H1790">
        <v>1371.5377197</v>
      </c>
      <c r="I1790">
        <v>1285.1295166</v>
      </c>
      <c r="J1790">
        <v>1265.4713135</v>
      </c>
      <c r="K1790">
        <v>2400</v>
      </c>
      <c r="L1790">
        <v>0</v>
      </c>
      <c r="M1790">
        <v>0</v>
      </c>
      <c r="N1790">
        <v>2400</v>
      </c>
    </row>
    <row r="1791" spans="1:14" x14ac:dyDescent="0.25">
      <c r="A1791">
        <v>1168.7371290000001</v>
      </c>
      <c r="B1791" s="1">
        <f>DATE(2013,7,12) + TIME(17,41,27)</f>
        <v>41467.737118055556</v>
      </c>
      <c r="C1791">
        <v>80</v>
      </c>
      <c r="D1791">
        <v>79.955932617000002</v>
      </c>
      <c r="E1791">
        <v>50</v>
      </c>
      <c r="F1791">
        <v>45.552207946999999</v>
      </c>
      <c r="G1791">
        <v>1385.6405029</v>
      </c>
      <c r="H1791">
        <v>1371.4821777</v>
      </c>
      <c r="I1791">
        <v>1285.0799560999999</v>
      </c>
      <c r="J1791">
        <v>1265.4018555</v>
      </c>
      <c r="K1791">
        <v>2400</v>
      </c>
      <c r="L1791">
        <v>0</v>
      </c>
      <c r="M1791">
        <v>0</v>
      </c>
      <c r="N1791">
        <v>2400</v>
      </c>
    </row>
    <row r="1792" spans="1:14" x14ac:dyDescent="0.25">
      <c r="A1792">
        <v>1169.5542929999999</v>
      </c>
      <c r="B1792" s="1">
        <f>DATE(2013,7,13) + TIME(13,18,10)</f>
        <v>41468.554282407407</v>
      </c>
      <c r="C1792">
        <v>80</v>
      </c>
      <c r="D1792">
        <v>79.955924988000007</v>
      </c>
      <c r="E1792">
        <v>50</v>
      </c>
      <c r="F1792">
        <v>45.495227814000003</v>
      </c>
      <c r="G1792">
        <v>1385.5739745999999</v>
      </c>
      <c r="H1792">
        <v>1371.4268798999999</v>
      </c>
      <c r="I1792">
        <v>1285.0291748</v>
      </c>
      <c r="J1792">
        <v>1265.3304443</v>
      </c>
      <c r="K1792">
        <v>2400</v>
      </c>
      <c r="L1792">
        <v>0</v>
      </c>
      <c r="M1792">
        <v>0</v>
      </c>
      <c r="N1792">
        <v>2400</v>
      </c>
    </row>
    <row r="1793" spans="1:14" x14ac:dyDescent="0.25">
      <c r="A1793">
        <v>1170.3734899999999</v>
      </c>
      <c r="B1793" s="1">
        <f>DATE(2013,7,14) + TIME(8,57,49)</f>
        <v>41469.373483796298</v>
      </c>
      <c r="C1793">
        <v>80</v>
      </c>
      <c r="D1793">
        <v>79.955924988000007</v>
      </c>
      <c r="E1793">
        <v>50</v>
      </c>
      <c r="F1793">
        <v>45.437595367</v>
      </c>
      <c r="G1793">
        <v>1385.5083007999999</v>
      </c>
      <c r="H1793">
        <v>1371.3721923999999</v>
      </c>
      <c r="I1793">
        <v>1284.9775391000001</v>
      </c>
      <c r="J1793">
        <v>1265.2574463000001</v>
      </c>
      <c r="K1793">
        <v>2400</v>
      </c>
      <c r="L1793">
        <v>0</v>
      </c>
      <c r="M1793">
        <v>0</v>
      </c>
      <c r="N1793">
        <v>2400</v>
      </c>
    </row>
    <row r="1794" spans="1:14" x14ac:dyDescent="0.25">
      <c r="A1794">
        <v>1171.196524</v>
      </c>
      <c r="B1794" s="1">
        <f>DATE(2013,7,15) + TIME(4,42,59)</f>
        <v>41470.196516203701</v>
      </c>
      <c r="C1794">
        <v>80</v>
      </c>
      <c r="D1794">
        <v>79.955917357999994</v>
      </c>
      <c r="E1794">
        <v>50</v>
      </c>
      <c r="F1794">
        <v>45.379306792999998</v>
      </c>
      <c r="G1794">
        <v>1385.4434814000001</v>
      </c>
      <c r="H1794">
        <v>1371.3179932</v>
      </c>
      <c r="I1794">
        <v>1284.9250488</v>
      </c>
      <c r="J1794">
        <v>1265.1829834</v>
      </c>
      <c r="K1794">
        <v>2400</v>
      </c>
      <c r="L1794">
        <v>0</v>
      </c>
      <c r="M1794">
        <v>0</v>
      </c>
      <c r="N1794">
        <v>2400</v>
      </c>
    </row>
    <row r="1795" spans="1:14" x14ac:dyDescent="0.25">
      <c r="A1795">
        <v>1172.0254809999999</v>
      </c>
      <c r="B1795" s="1">
        <f>DATE(2013,7,16) + TIME(0,36,41)</f>
        <v>41471.02547453704</v>
      </c>
      <c r="C1795">
        <v>80</v>
      </c>
      <c r="D1795">
        <v>79.955917357999994</v>
      </c>
      <c r="E1795">
        <v>50</v>
      </c>
      <c r="F1795">
        <v>45.320293427000003</v>
      </c>
      <c r="G1795">
        <v>1385.3791504000001</v>
      </c>
      <c r="H1795">
        <v>1371.2644043</v>
      </c>
      <c r="I1795">
        <v>1284.8714600000001</v>
      </c>
      <c r="J1795">
        <v>1265.1068115</v>
      </c>
      <c r="K1795">
        <v>2400</v>
      </c>
      <c r="L1795">
        <v>0</v>
      </c>
      <c r="M1795">
        <v>0</v>
      </c>
      <c r="N1795">
        <v>2400</v>
      </c>
    </row>
    <row r="1796" spans="1:14" x14ac:dyDescent="0.25">
      <c r="A1796">
        <v>1172.861999</v>
      </c>
      <c r="B1796" s="1">
        <f>DATE(2013,7,16) + TIME(20,41,16)</f>
        <v>41471.861990740741</v>
      </c>
      <c r="C1796">
        <v>80</v>
      </c>
      <c r="D1796">
        <v>79.955909728999998</v>
      </c>
      <c r="E1796">
        <v>50</v>
      </c>
      <c r="F1796">
        <v>45.260437011999997</v>
      </c>
      <c r="G1796">
        <v>1385.3153076000001</v>
      </c>
      <c r="H1796">
        <v>1371.2110596</v>
      </c>
      <c r="I1796">
        <v>1284.8168945</v>
      </c>
      <c r="J1796">
        <v>1265.0288086</v>
      </c>
      <c r="K1796">
        <v>2400</v>
      </c>
      <c r="L1796">
        <v>0</v>
      </c>
      <c r="M1796">
        <v>0</v>
      </c>
      <c r="N1796">
        <v>2400</v>
      </c>
    </row>
    <row r="1797" spans="1:14" x14ac:dyDescent="0.25">
      <c r="A1797">
        <v>1173.707848</v>
      </c>
      <c r="B1797" s="1">
        <f>DATE(2013,7,17) + TIME(16,59,18)</f>
        <v>41472.70784722222</v>
      </c>
      <c r="C1797">
        <v>80</v>
      </c>
      <c r="D1797">
        <v>79.955909728999998</v>
      </c>
      <c r="E1797">
        <v>50</v>
      </c>
      <c r="F1797">
        <v>45.199615479000002</v>
      </c>
      <c r="G1797">
        <v>1385.2518310999999</v>
      </c>
      <c r="H1797">
        <v>1371.1579589999999</v>
      </c>
      <c r="I1797">
        <v>1284.7609863</v>
      </c>
      <c r="J1797">
        <v>1264.9488524999999</v>
      </c>
      <c r="K1797">
        <v>2400</v>
      </c>
      <c r="L1797">
        <v>0</v>
      </c>
      <c r="M1797">
        <v>0</v>
      </c>
      <c r="N1797">
        <v>2400</v>
      </c>
    </row>
    <row r="1798" spans="1:14" x14ac:dyDescent="0.25">
      <c r="A1798">
        <v>1174.5649370000001</v>
      </c>
      <c r="B1798" s="1">
        <f>DATE(2013,7,18) + TIME(13,33,30)</f>
        <v>41473.564930555556</v>
      </c>
      <c r="C1798">
        <v>80</v>
      </c>
      <c r="D1798">
        <v>79.955902100000003</v>
      </c>
      <c r="E1798">
        <v>50</v>
      </c>
      <c r="F1798">
        <v>45.137668609999999</v>
      </c>
      <c r="G1798">
        <v>1385.1884766000001</v>
      </c>
      <c r="H1798">
        <v>1371.1049805</v>
      </c>
      <c r="I1798">
        <v>1284.7036132999999</v>
      </c>
      <c r="J1798">
        <v>1264.8665771000001</v>
      </c>
      <c r="K1798">
        <v>2400</v>
      </c>
      <c r="L1798">
        <v>0</v>
      </c>
      <c r="M1798">
        <v>0</v>
      </c>
      <c r="N1798">
        <v>2400</v>
      </c>
    </row>
    <row r="1799" spans="1:14" x14ac:dyDescent="0.25">
      <c r="A1799">
        <v>1175.4352730000001</v>
      </c>
      <c r="B1799" s="1">
        <f>DATE(2013,7,19) + TIME(10,26,47)</f>
        <v>41474.435266203705</v>
      </c>
      <c r="C1799">
        <v>80</v>
      </c>
      <c r="D1799">
        <v>79.955902100000003</v>
      </c>
      <c r="E1799">
        <v>50</v>
      </c>
      <c r="F1799">
        <v>45.074440002000003</v>
      </c>
      <c r="G1799">
        <v>1385.1251221</v>
      </c>
      <c r="H1799">
        <v>1371.0520019999999</v>
      </c>
      <c r="I1799">
        <v>1284.6447754000001</v>
      </c>
      <c r="J1799">
        <v>1264.7818603999999</v>
      </c>
      <c r="K1799">
        <v>2400</v>
      </c>
      <c r="L1799">
        <v>0</v>
      </c>
      <c r="M1799">
        <v>0</v>
      </c>
      <c r="N1799">
        <v>2400</v>
      </c>
    </row>
    <row r="1800" spans="1:14" x14ac:dyDescent="0.25">
      <c r="A1800">
        <v>1176.3209770000001</v>
      </c>
      <c r="B1800" s="1">
        <f>DATE(2013,7,20) + TIME(7,42,12)</f>
        <v>41475.320972222224</v>
      </c>
      <c r="C1800">
        <v>80</v>
      </c>
      <c r="D1800">
        <v>79.955902100000003</v>
      </c>
      <c r="E1800">
        <v>50</v>
      </c>
      <c r="F1800">
        <v>45.009742737000003</v>
      </c>
      <c r="G1800">
        <v>1385.0616454999999</v>
      </c>
      <c r="H1800">
        <v>1370.9987793</v>
      </c>
      <c r="I1800">
        <v>1284.5842285000001</v>
      </c>
      <c r="J1800">
        <v>1264.6944579999999</v>
      </c>
      <c r="K1800">
        <v>2400</v>
      </c>
      <c r="L1800">
        <v>0</v>
      </c>
      <c r="M1800">
        <v>0</v>
      </c>
      <c r="N1800">
        <v>2400</v>
      </c>
    </row>
    <row r="1801" spans="1:14" x14ac:dyDescent="0.25">
      <c r="A1801">
        <v>1177.2243289999999</v>
      </c>
      <c r="B1801" s="1">
        <f>DATE(2013,7,21) + TIME(5,23,1)</f>
        <v>41476.224317129629</v>
      </c>
      <c r="C1801">
        <v>80</v>
      </c>
      <c r="D1801">
        <v>79.955902100000003</v>
      </c>
      <c r="E1801">
        <v>50</v>
      </c>
      <c r="F1801">
        <v>44.943386078000003</v>
      </c>
      <c r="G1801">
        <v>1384.9979248</v>
      </c>
      <c r="H1801">
        <v>1370.9454346</v>
      </c>
      <c r="I1801">
        <v>1284.5218506000001</v>
      </c>
      <c r="J1801">
        <v>1264.6040039</v>
      </c>
      <c r="K1801">
        <v>2400</v>
      </c>
      <c r="L1801">
        <v>0</v>
      </c>
      <c r="M1801">
        <v>0</v>
      </c>
      <c r="N1801">
        <v>2400</v>
      </c>
    </row>
    <row r="1802" spans="1:14" x14ac:dyDescent="0.25">
      <c r="A1802">
        <v>1178.1478</v>
      </c>
      <c r="B1802" s="1">
        <f>DATE(2013,7,22) + TIME(3,32,49)</f>
        <v>41477.147789351853</v>
      </c>
      <c r="C1802">
        <v>80</v>
      </c>
      <c r="D1802">
        <v>79.955902100000003</v>
      </c>
      <c r="E1802">
        <v>50</v>
      </c>
      <c r="F1802">
        <v>44.875152587999999</v>
      </c>
      <c r="G1802">
        <v>1384.9338379000001</v>
      </c>
      <c r="H1802">
        <v>1370.8916016000001</v>
      </c>
      <c r="I1802">
        <v>1284.4572754000001</v>
      </c>
      <c r="J1802">
        <v>1264.5102539</v>
      </c>
      <c r="K1802">
        <v>2400</v>
      </c>
      <c r="L1802">
        <v>0</v>
      </c>
      <c r="M1802">
        <v>0</v>
      </c>
      <c r="N1802">
        <v>2400</v>
      </c>
    </row>
    <row r="1803" spans="1:14" x14ac:dyDescent="0.25">
      <c r="A1803">
        <v>1179.0893450000001</v>
      </c>
      <c r="B1803" s="1">
        <f>DATE(2013,7,23) + TIME(2,8,39)</f>
        <v>41478.08934027778</v>
      </c>
      <c r="C1803">
        <v>80</v>
      </c>
      <c r="D1803">
        <v>79.955902100000003</v>
      </c>
      <c r="E1803">
        <v>50</v>
      </c>
      <c r="F1803">
        <v>44.804977417000003</v>
      </c>
      <c r="G1803">
        <v>1384.8691406</v>
      </c>
      <c r="H1803">
        <v>1370.8374022999999</v>
      </c>
      <c r="I1803">
        <v>1284.3905029</v>
      </c>
      <c r="J1803">
        <v>1264.4129639</v>
      </c>
      <c r="K1803">
        <v>2400</v>
      </c>
      <c r="L1803">
        <v>0</v>
      </c>
      <c r="M1803">
        <v>0</v>
      </c>
      <c r="N1803">
        <v>2400</v>
      </c>
    </row>
    <row r="1804" spans="1:14" x14ac:dyDescent="0.25">
      <c r="A1804">
        <v>1180.040313</v>
      </c>
      <c r="B1804" s="1">
        <f>DATE(2013,7,24) + TIME(0,58,3)</f>
        <v>41479.040312500001</v>
      </c>
      <c r="C1804">
        <v>80</v>
      </c>
      <c r="D1804">
        <v>79.955902100000003</v>
      </c>
      <c r="E1804">
        <v>50</v>
      </c>
      <c r="F1804">
        <v>44.733116150000001</v>
      </c>
      <c r="G1804">
        <v>1384.8041992000001</v>
      </c>
      <c r="H1804">
        <v>1370.7827147999999</v>
      </c>
      <c r="I1804">
        <v>1284.3214111</v>
      </c>
      <c r="J1804">
        <v>1264.3122559000001</v>
      </c>
      <c r="K1804">
        <v>2400</v>
      </c>
      <c r="L1804">
        <v>0</v>
      </c>
      <c r="M1804">
        <v>0</v>
      </c>
      <c r="N1804">
        <v>2400</v>
      </c>
    </row>
    <row r="1805" spans="1:14" x14ac:dyDescent="0.25">
      <c r="A1805">
        <v>1181.000082</v>
      </c>
      <c r="B1805" s="1">
        <f>DATE(2013,7,25) + TIME(0,0,7)</f>
        <v>41480.000081018516</v>
      </c>
      <c r="C1805">
        <v>80</v>
      </c>
      <c r="D1805">
        <v>79.955902100000003</v>
      </c>
      <c r="E1805">
        <v>50</v>
      </c>
      <c r="F1805">
        <v>44.659725189</v>
      </c>
      <c r="G1805">
        <v>1384.7393798999999</v>
      </c>
      <c r="H1805">
        <v>1370.7281493999999</v>
      </c>
      <c r="I1805">
        <v>1284.2507324000001</v>
      </c>
      <c r="J1805">
        <v>1264.2088623</v>
      </c>
      <c r="K1805">
        <v>2400</v>
      </c>
      <c r="L1805">
        <v>0</v>
      </c>
      <c r="M1805">
        <v>0</v>
      </c>
      <c r="N1805">
        <v>2400</v>
      </c>
    </row>
    <row r="1806" spans="1:14" x14ac:dyDescent="0.25">
      <c r="A1806">
        <v>1181.96236</v>
      </c>
      <c r="B1806" s="1">
        <f>DATE(2013,7,25) + TIME(23,5,47)</f>
        <v>41480.96234953704</v>
      </c>
      <c r="C1806">
        <v>80</v>
      </c>
      <c r="D1806">
        <v>79.955902100000003</v>
      </c>
      <c r="E1806">
        <v>50</v>
      </c>
      <c r="F1806">
        <v>44.585102081000002</v>
      </c>
      <c r="G1806">
        <v>1384.6748047000001</v>
      </c>
      <c r="H1806">
        <v>1370.6738281</v>
      </c>
      <c r="I1806">
        <v>1284.1784668</v>
      </c>
      <c r="J1806">
        <v>1264.1027832</v>
      </c>
      <c r="K1806">
        <v>2400</v>
      </c>
      <c r="L1806">
        <v>0</v>
      </c>
      <c r="M1806">
        <v>0</v>
      </c>
      <c r="N1806">
        <v>2400</v>
      </c>
    </row>
    <row r="1807" spans="1:14" x14ac:dyDescent="0.25">
      <c r="A1807">
        <v>1182.929271</v>
      </c>
      <c r="B1807" s="1">
        <f>DATE(2013,7,26) + TIME(22,18,9)</f>
        <v>41481.929270833331</v>
      </c>
      <c r="C1807">
        <v>80</v>
      </c>
      <c r="D1807">
        <v>79.955902100000003</v>
      </c>
      <c r="E1807">
        <v>50</v>
      </c>
      <c r="F1807">
        <v>44.509326934999997</v>
      </c>
      <c r="G1807">
        <v>1384.6109618999999</v>
      </c>
      <c r="H1807">
        <v>1370.6199951000001</v>
      </c>
      <c r="I1807">
        <v>1284.1051024999999</v>
      </c>
      <c r="J1807">
        <v>1263.9946289</v>
      </c>
      <c r="K1807">
        <v>2400</v>
      </c>
      <c r="L1807">
        <v>0</v>
      </c>
      <c r="M1807">
        <v>0</v>
      </c>
      <c r="N1807">
        <v>2400</v>
      </c>
    </row>
    <row r="1808" spans="1:14" x14ac:dyDescent="0.25">
      <c r="A1808">
        <v>1183.9032609999999</v>
      </c>
      <c r="B1808" s="1">
        <f>DATE(2013,7,27) + TIME(21,40,41)</f>
        <v>41482.903252314813</v>
      </c>
      <c r="C1808">
        <v>80</v>
      </c>
      <c r="D1808">
        <v>79.955909728999998</v>
      </c>
      <c r="E1808">
        <v>50</v>
      </c>
      <c r="F1808">
        <v>44.432315826</v>
      </c>
      <c r="G1808">
        <v>1384.5476074000001</v>
      </c>
      <c r="H1808">
        <v>1370.5665283000001</v>
      </c>
      <c r="I1808">
        <v>1284.0303954999999</v>
      </c>
      <c r="J1808">
        <v>1263.8841553</v>
      </c>
      <c r="K1808">
        <v>2400</v>
      </c>
      <c r="L1808">
        <v>0</v>
      </c>
      <c r="M1808">
        <v>0</v>
      </c>
      <c r="N1808">
        <v>2400</v>
      </c>
    </row>
    <row r="1809" spans="1:14" x14ac:dyDescent="0.25">
      <c r="A1809">
        <v>1184.886293</v>
      </c>
      <c r="B1809" s="1">
        <f>DATE(2013,7,28) + TIME(21,16,15)</f>
        <v>41483.886284722219</v>
      </c>
      <c r="C1809">
        <v>80</v>
      </c>
      <c r="D1809">
        <v>79.955909728999998</v>
      </c>
      <c r="E1809">
        <v>50</v>
      </c>
      <c r="F1809">
        <v>44.353942871000001</v>
      </c>
      <c r="G1809">
        <v>1384.4846190999999</v>
      </c>
      <c r="H1809">
        <v>1370.5134277</v>
      </c>
      <c r="I1809">
        <v>1283.9542236</v>
      </c>
      <c r="J1809">
        <v>1263.7712402</v>
      </c>
      <c r="K1809">
        <v>2400</v>
      </c>
      <c r="L1809">
        <v>0</v>
      </c>
      <c r="M1809">
        <v>0</v>
      </c>
      <c r="N1809">
        <v>2400</v>
      </c>
    </row>
    <row r="1810" spans="1:14" x14ac:dyDescent="0.25">
      <c r="A1810">
        <v>1185.8804689999999</v>
      </c>
      <c r="B1810" s="1">
        <f>DATE(2013,7,29) + TIME(21,7,52)</f>
        <v>41484.880462962959</v>
      </c>
      <c r="C1810">
        <v>80</v>
      </c>
      <c r="D1810">
        <v>79.955917357999994</v>
      </c>
      <c r="E1810">
        <v>50</v>
      </c>
      <c r="F1810">
        <v>44.274032593000001</v>
      </c>
      <c r="G1810">
        <v>1384.421875</v>
      </c>
      <c r="H1810">
        <v>1370.4603271000001</v>
      </c>
      <c r="I1810">
        <v>1283.8764647999999</v>
      </c>
      <c r="J1810">
        <v>1263.6555175999999</v>
      </c>
      <c r="K1810">
        <v>2400</v>
      </c>
      <c r="L1810">
        <v>0</v>
      </c>
      <c r="M1810">
        <v>0</v>
      </c>
      <c r="N1810">
        <v>2400</v>
      </c>
    </row>
    <row r="1811" spans="1:14" x14ac:dyDescent="0.25">
      <c r="A1811">
        <v>1186.888074</v>
      </c>
      <c r="B1811" s="1">
        <f>DATE(2013,7,30) + TIME(21,18,49)</f>
        <v>41485.888067129628</v>
      </c>
      <c r="C1811">
        <v>80</v>
      </c>
      <c r="D1811">
        <v>79.955917357999994</v>
      </c>
      <c r="E1811">
        <v>50</v>
      </c>
      <c r="F1811">
        <v>44.192390441999997</v>
      </c>
      <c r="G1811">
        <v>1384.3592529</v>
      </c>
      <c r="H1811">
        <v>1370.4073486</v>
      </c>
      <c r="I1811">
        <v>1283.7969971</v>
      </c>
      <c r="J1811">
        <v>1263.5367432</v>
      </c>
      <c r="K1811">
        <v>2400</v>
      </c>
      <c r="L1811">
        <v>0</v>
      </c>
      <c r="M1811">
        <v>0</v>
      </c>
      <c r="N1811">
        <v>2400</v>
      </c>
    </row>
    <row r="1812" spans="1:14" x14ac:dyDescent="0.25">
      <c r="A1812">
        <v>1187.911511</v>
      </c>
      <c r="B1812" s="1">
        <f>DATE(2013,7,31) + TIME(21,52,34)</f>
        <v>41486.911504629628</v>
      </c>
      <c r="C1812">
        <v>80</v>
      </c>
      <c r="D1812">
        <v>79.955924988000007</v>
      </c>
      <c r="E1812">
        <v>50</v>
      </c>
      <c r="F1812">
        <v>44.108795166</v>
      </c>
      <c r="G1812">
        <v>1384.2965088000001</v>
      </c>
      <c r="H1812">
        <v>1370.3542480000001</v>
      </c>
      <c r="I1812">
        <v>1283.7154541</v>
      </c>
      <c r="J1812">
        <v>1263.4146728999999</v>
      </c>
      <c r="K1812">
        <v>2400</v>
      </c>
      <c r="L1812">
        <v>0</v>
      </c>
      <c r="M1812">
        <v>0</v>
      </c>
      <c r="N1812">
        <v>2400</v>
      </c>
    </row>
    <row r="1813" spans="1:14" x14ac:dyDescent="0.25">
      <c r="A1813">
        <v>1188.9533120000001</v>
      </c>
      <c r="B1813" s="1">
        <f>DATE(2013,8,1) + TIME(22,52,46)</f>
        <v>41487.953310185185</v>
      </c>
      <c r="C1813">
        <v>80</v>
      </c>
      <c r="D1813">
        <v>79.955924988000007</v>
      </c>
      <c r="E1813">
        <v>50</v>
      </c>
      <c r="F1813">
        <v>44.023014068999998</v>
      </c>
      <c r="G1813">
        <v>1384.2336425999999</v>
      </c>
      <c r="H1813">
        <v>1370.3010254000001</v>
      </c>
      <c r="I1813">
        <v>1283.6317139</v>
      </c>
      <c r="J1813">
        <v>1263.2889404</v>
      </c>
      <c r="K1813">
        <v>2400</v>
      </c>
      <c r="L1813">
        <v>0</v>
      </c>
      <c r="M1813">
        <v>0</v>
      </c>
      <c r="N1813">
        <v>2400</v>
      </c>
    </row>
    <row r="1814" spans="1:14" x14ac:dyDescent="0.25">
      <c r="A1814">
        <v>1190.010593</v>
      </c>
      <c r="B1814" s="1">
        <f>DATE(2013,8,3) + TIME(0,15,15)</f>
        <v>41489.01059027778</v>
      </c>
      <c r="C1814">
        <v>80</v>
      </c>
      <c r="D1814">
        <v>79.955932617000002</v>
      </c>
      <c r="E1814">
        <v>50</v>
      </c>
      <c r="F1814">
        <v>43.934986115000001</v>
      </c>
      <c r="G1814">
        <v>1384.1704102000001</v>
      </c>
      <c r="H1814">
        <v>1370.2474365</v>
      </c>
      <c r="I1814">
        <v>1283.5455322</v>
      </c>
      <c r="J1814">
        <v>1263.1593018000001</v>
      </c>
      <c r="K1814">
        <v>2400</v>
      </c>
      <c r="L1814">
        <v>0</v>
      </c>
      <c r="M1814">
        <v>0</v>
      </c>
      <c r="N1814">
        <v>2400</v>
      </c>
    </row>
    <row r="1815" spans="1:14" x14ac:dyDescent="0.25">
      <c r="A1815">
        <v>1191.085959</v>
      </c>
      <c r="B1815" s="1">
        <f>DATE(2013,8,4) + TIME(2,3,46)</f>
        <v>41490.085949074077</v>
      </c>
      <c r="C1815">
        <v>80</v>
      </c>
      <c r="D1815">
        <v>79.955940247000001</v>
      </c>
      <c r="E1815">
        <v>50</v>
      </c>
      <c r="F1815">
        <v>43.844596863</v>
      </c>
      <c r="G1815">
        <v>1384.1070557</v>
      </c>
      <c r="H1815">
        <v>1370.1936035000001</v>
      </c>
      <c r="I1815">
        <v>1283.4572754000001</v>
      </c>
      <c r="J1815">
        <v>1263.0258789</v>
      </c>
      <c r="K1815">
        <v>2400</v>
      </c>
      <c r="L1815">
        <v>0</v>
      </c>
      <c r="M1815">
        <v>0</v>
      </c>
      <c r="N1815">
        <v>2400</v>
      </c>
    </row>
    <row r="1816" spans="1:14" x14ac:dyDescent="0.25">
      <c r="A1816">
        <v>1192.1751630000001</v>
      </c>
      <c r="B1816" s="1">
        <f>DATE(2013,8,5) + TIME(4,12,14)</f>
        <v>41491.175162037034</v>
      </c>
      <c r="C1816">
        <v>80</v>
      </c>
      <c r="D1816">
        <v>79.955947875999996</v>
      </c>
      <c r="E1816">
        <v>50</v>
      </c>
      <c r="F1816">
        <v>43.751892089999998</v>
      </c>
      <c r="G1816">
        <v>1384.0433350000001</v>
      </c>
      <c r="H1816">
        <v>1370.1395264</v>
      </c>
      <c r="I1816">
        <v>1283.3664550999999</v>
      </c>
      <c r="J1816">
        <v>1262.8883057</v>
      </c>
      <c r="K1816">
        <v>2400</v>
      </c>
      <c r="L1816">
        <v>0</v>
      </c>
      <c r="M1816">
        <v>0</v>
      </c>
      <c r="N1816">
        <v>2400</v>
      </c>
    </row>
    <row r="1817" spans="1:14" x14ac:dyDescent="0.25">
      <c r="A1817">
        <v>1193.2732430000001</v>
      </c>
      <c r="B1817" s="1">
        <f>DATE(2013,8,6) + TIME(6,33,28)</f>
        <v>41492.273240740738</v>
      </c>
      <c r="C1817">
        <v>80</v>
      </c>
      <c r="D1817">
        <v>79.955955505000006</v>
      </c>
      <c r="E1817">
        <v>50</v>
      </c>
      <c r="F1817">
        <v>43.657104492000002</v>
      </c>
      <c r="G1817">
        <v>1383.9797363</v>
      </c>
      <c r="H1817">
        <v>1370.0854492000001</v>
      </c>
      <c r="I1817">
        <v>1283.2735596</v>
      </c>
      <c r="J1817">
        <v>1262.7471923999999</v>
      </c>
      <c r="K1817">
        <v>2400</v>
      </c>
      <c r="L1817">
        <v>0</v>
      </c>
      <c r="M1817">
        <v>0</v>
      </c>
      <c r="N1817">
        <v>2400</v>
      </c>
    </row>
    <row r="1818" spans="1:14" x14ac:dyDescent="0.25">
      <c r="A1818">
        <v>1194.3827040000001</v>
      </c>
      <c r="B1818" s="1">
        <f>DATE(2013,8,7) + TIME(9,11,5)</f>
        <v>41493.382696759261</v>
      </c>
      <c r="C1818">
        <v>80</v>
      </c>
      <c r="D1818">
        <v>79.955963135000005</v>
      </c>
      <c r="E1818">
        <v>50</v>
      </c>
      <c r="F1818">
        <v>43.560279846</v>
      </c>
      <c r="G1818">
        <v>1383.9163818</v>
      </c>
      <c r="H1818">
        <v>1370.0313721</v>
      </c>
      <c r="I1818">
        <v>1283.1788329999999</v>
      </c>
      <c r="J1818">
        <v>1262.6029053</v>
      </c>
      <c r="K1818">
        <v>2400</v>
      </c>
      <c r="L1818">
        <v>0</v>
      </c>
      <c r="M1818">
        <v>0</v>
      </c>
      <c r="N1818">
        <v>2400</v>
      </c>
    </row>
    <row r="1819" spans="1:14" x14ac:dyDescent="0.25">
      <c r="A1819">
        <v>1195.5049509999999</v>
      </c>
      <c r="B1819" s="1">
        <f>DATE(2013,8,8) + TIME(12,7,7)</f>
        <v>41494.504942129628</v>
      </c>
      <c r="C1819">
        <v>80</v>
      </c>
      <c r="D1819">
        <v>79.955970764</v>
      </c>
      <c r="E1819">
        <v>50</v>
      </c>
      <c r="F1819">
        <v>43.461341857999997</v>
      </c>
      <c r="G1819">
        <v>1383.8530272999999</v>
      </c>
      <c r="H1819">
        <v>1369.9775391000001</v>
      </c>
      <c r="I1819">
        <v>1283.0822754000001</v>
      </c>
      <c r="J1819">
        <v>1262.4552002</v>
      </c>
      <c r="K1819">
        <v>2400</v>
      </c>
      <c r="L1819">
        <v>0</v>
      </c>
      <c r="M1819">
        <v>0</v>
      </c>
      <c r="N1819">
        <v>2400</v>
      </c>
    </row>
    <row r="1820" spans="1:14" x14ac:dyDescent="0.25">
      <c r="A1820">
        <v>1196.634186</v>
      </c>
      <c r="B1820" s="1">
        <f>DATE(2013,8,9) + TIME(15,13,13)</f>
        <v>41495.63417824074</v>
      </c>
      <c r="C1820">
        <v>80</v>
      </c>
      <c r="D1820">
        <v>79.955978393999999</v>
      </c>
      <c r="E1820">
        <v>50</v>
      </c>
      <c r="F1820">
        <v>43.360450745000001</v>
      </c>
      <c r="G1820">
        <v>1383.7897949000001</v>
      </c>
      <c r="H1820">
        <v>1369.9235839999999</v>
      </c>
      <c r="I1820">
        <v>1282.9837646000001</v>
      </c>
      <c r="J1820">
        <v>1262.3039550999999</v>
      </c>
      <c r="K1820">
        <v>2400</v>
      </c>
      <c r="L1820">
        <v>0</v>
      </c>
      <c r="M1820">
        <v>0</v>
      </c>
      <c r="N1820">
        <v>2400</v>
      </c>
    </row>
    <row r="1821" spans="1:14" x14ac:dyDescent="0.25">
      <c r="A1821">
        <v>1197.7733700000001</v>
      </c>
      <c r="B1821" s="1">
        <f>DATE(2013,8,10) + TIME(18,33,39)</f>
        <v>41496.773368055554</v>
      </c>
      <c r="C1821">
        <v>80</v>
      </c>
      <c r="D1821">
        <v>79.955986022999994</v>
      </c>
      <c r="E1821">
        <v>50</v>
      </c>
      <c r="F1821">
        <v>43.257621765000003</v>
      </c>
      <c r="G1821">
        <v>1383.7269286999999</v>
      </c>
      <c r="H1821">
        <v>1369.8698730000001</v>
      </c>
      <c r="I1821">
        <v>1282.8836670000001</v>
      </c>
      <c r="J1821">
        <v>1262.1499022999999</v>
      </c>
      <c r="K1821">
        <v>2400</v>
      </c>
      <c r="L1821">
        <v>0</v>
      </c>
      <c r="M1821">
        <v>0</v>
      </c>
      <c r="N1821">
        <v>2400</v>
      </c>
    </row>
    <row r="1822" spans="1:14" x14ac:dyDescent="0.25">
      <c r="A1822">
        <v>1198.924649</v>
      </c>
      <c r="B1822" s="1">
        <f>DATE(2013,8,11) + TIME(22,11,29)</f>
        <v>41497.924641203703</v>
      </c>
      <c r="C1822">
        <v>80</v>
      </c>
      <c r="D1822">
        <v>79.956001282000003</v>
      </c>
      <c r="E1822">
        <v>50</v>
      </c>
      <c r="F1822">
        <v>43.152729033999996</v>
      </c>
      <c r="G1822">
        <v>1383.6643065999999</v>
      </c>
      <c r="H1822">
        <v>1369.8164062000001</v>
      </c>
      <c r="I1822">
        <v>1282.7818603999999</v>
      </c>
      <c r="J1822">
        <v>1261.9925536999999</v>
      </c>
      <c r="K1822">
        <v>2400</v>
      </c>
      <c r="L1822">
        <v>0</v>
      </c>
      <c r="M1822">
        <v>0</v>
      </c>
      <c r="N1822">
        <v>2400</v>
      </c>
    </row>
    <row r="1823" spans="1:14" x14ac:dyDescent="0.25">
      <c r="A1823">
        <v>1200.0878680000001</v>
      </c>
      <c r="B1823" s="1">
        <f>DATE(2013,8,13) + TIME(2,6,31)</f>
        <v>41499.087858796294</v>
      </c>
      <c r="C1823">
        <v>80</v>
      </c>
      <c r="D1823">
        <v>79.956008910999998</v>
      </c>
      <c r="E1823">
        <v>50</v>
      </c>
      <c r="F1823">
        <v>43.045692443999997</v>
      </c>
      <c r="G1823">
        <v>1383.6018065999999</v>
      </c>
      <c r="H1823">
        <v>1369.7628173999999</v>
      </c>
      <c r="I1823">
        <v>1282.6782227000001</v>
      </c>
      <c r="J1823">
        <v>1261.8319091999999</v>
      </c>
      <c r="K1823">
        <v>2400</v>
      </c>
      <c r="L1823">
        <v>0</v>
      </c>
      <c r="M1823">
        <v>0</v>
      </c>
      <c r="N1823">
        <v>2400</v>
      </c>
    </row>
    <row r="1824" spans="1:14" x14ac:dyDescent="0.25">
      <c r="A1824">
        <v>1201.2636050000001</v>
      </c>
      <c r="B1824" s="1">
        <f>DATE(2013,8,14) + TIME(6,19,35)</f>
        <v>41500.263599537036</v>
      </c>
      <c r="C1824">
        <v>80</v>
      </c>
      <c r="D1824">
        <v>79.956016540999997</v>
      </c>
      <c r="E1824">
        <v>50</v>
      </c>
      <c r="F1824">
        <v>42.936439514</v>
      </c>
      <c r="G1824">
        <v>1383.5393065999999</v>
      </c>
      <c r="H1824">
        <v>1369.7093506000001</v>
      </c>
      <c r="I1824">
        <v>1282.5726318</v>
      </c>
      <c r="J1824">
        <v>1261.6676024999999</v>
      </c>
      <c r="K1824">
        <v>2400</v>
      </c>
      <c r="L1824">
        <v>0</v>
      </c>
      <c r="M1824">
        <v>0</v>
      </c>
      <c r="N1824">
        <v>2400</v>
      </c>
    </row>
    <row r="1825" spans="1:14" x14ac:dyDescent="0.25">
      <c r="A1825">
        <v>1202.454381</v>
      </c>
      <c r="B1825" s="1">
        <f>DATE(2013,8,15) + TIME(10,54,18)</f>
        <v>41501.454375000001</v>
      </c>
      <c r="C1825">
        <v>80</v>
      </c>
      <c r="D1825">
        <v>79.956031799000002</v>
      </c>
      <c r="E1825">
        <v>50</v>
      </c>
      <c r="F1825">
        <v>42.824825287000003</v>
      </c>
      <c r="G1825">
        <v>1383.4768065999999</v>
      </c>
      <c r="H1825">
        <v>1369.6557617000001</v>
      </c>
      <c r="I1825">
        <v>1282.4650879000001</v>
      </c>
      <c r="J1825">
        <v>1261.4998779</v>
      </c>
      <c r="K1825">
        <v>2400</v>
      </c>
      <c r="L1825">
        <v>0</v>
      </c>
      <c r="M1825">
        <v>0</v>
      </c>
      <c r="N1825">
        <v>2400</v>
      </c>
    </row>
    <row r="1826" spans="1:14" x14ac:dyDescent="0.25">
      <c r="A1826">
        <v>1203.6629600000001</v>
      </c>
      <c r="B1826" s="1">
        <f>DATE(2013,8,16) + TIME(15,54,39)</f>
        <v>41502.662951388891</v>
      </c>
      <c r="C1826">
        <v>80</v>
      </c>
      <c r="D1826">
        <v>79.956039429</v>
      </c>
      <c r="E1826">
        <v>50</v>
      </c>
      <c r="F1826">
        <v>42.710636139000002</v>
      </c>
      <c r="G1826">
        <v>1383.4143065999999</v>
      </c>
      <c r="H1826">
        <v>1369.6021728999999</v>
      </c>
      <c r="I1826">
        <v>1282.3554687999999</v>
      </c>
      <c r="J1826">
        <v>1261.328125</v>
      </c>
      <c r="K1826">
        <v>2400</v>
      </c>
      <c r="L1826">
        <v>0</v>
      </c>
      <c r="M1826">
        <v>0</v>
      </c>
      <c r="N1826">
        <v>2400</v>
      </c>
    </row>
    <row r="1827" spans="1:14" x14ac:dyDescent="0.25">
      <c r="A1827">
        <v>1204.8856169999999</v>
      </c>
      <c r="B1827" s="1">
        <f>DATE(2013,8,17) + TIME(21,15,17)</f>
        <v>41503.885613425926</v>
      </c>
      <c r="C1827">
        <v>80</v>
      </c>
      <c r="D1827">
        <v>79.956054687999995</v>
      </c>
      <c r="E1827">
        <v>50</v>
      </c>
      <c r="F1827">
        <v>42.593868256</v>
      </c>
      <c r="G1827">
        <v>1383.3515625</v>
      </c>
      <c r="H1827">
        <v>1369.5482178</v>
      </c>
      <c r="I1827">
        <v>1282.2435303</v>
      </c>
      <c r="J1827">
        <v>1261.1523437999999</v>
      </c>
      <c r="K1827">
        <v>2400</v>
      </c>
      <c r="L1827">
        <v>0</v>
      </c>
      <c r="M1827">
        <v>0</v>
      </c>
      <c r="N1827">
        <v>2400</v>
      </c>
    </row>
    <row r="1828" spans="1:14" x14ac:dyDescent="0.25">
      <c r="A1828">
        <v>1206.1173490000001</v>
      </c>
      <c r="B1828" s="1">
        <f>DATE(2013,8,19) + TIME(2,48,58)</f>
        <v>41505.117337962962</v>
      </c>
      <c r="C1828">
        <v>80</v>
      </c>
      <c r="D1828">
        <v>79.956069946</v>
      </c>
      <c r="E1828">
        <v>50</v>
      </c>
      <c r="F1828">
        <v>42.474784851000003</v>
      </c>
      <c r="G1828">
        <v>1383.2888184000001</v>
      </c>
      <c r="H1828">
        <v>1369.4942627</v>
      </c>
      <c r="I1828">
        <v>1282.1295166</v>
      </c>
      <c r="J1828">
        <v>1260.9727783000001</v>
      </c>
      <c r="K1828">
        <v>2400</v>
      </c>
      <c r="L1828">
        <v>0</v>
      </c>
      <c r="M1828">
        <v>0</v>
      </c>
      <c r="N1828">
        <v>2400</v>
      </c>
    </row>
    <row r="1829" spans="1:14" x14ac:dyDescent="0.25">
      <c r="A1829">
        <v>1207.3607919999999</v>
      </c>
      <c r="B1829" s="1">
        <f>DATE(2013,8,20) + TIME(8,39,32)</f>
        <v>41506.36078703704</v>
      </c>
      <c r="C1829">
        <v>80</v>
      </c>
      <c r="D1829">
        <v>79.956085204999994</v>
      </c>
      <c r="E1829">
        <v>50</v>
      </c>
      <c r="F1829">
        <v>42.353469849</v>
      </c>
      <c r="G1829">
        <v>1383.2264404</v>
      </c>
      <c r="H1829">
        <v>1369.4405518000001</v>
      </c>
      <c r="I1829">
        <v>1282.0140381000001</v>
      </c>
      <c r="J1829">
        <v>1260.7901611</v>
      </c>
      <c r="K1829">
        <v>2400</v>
      </c>
      <c r="L1829">
        <v>0</v>
      </c>
      <c r="M1829">
        <v>0</v>
      </c>
      <c r="N1829">
        <v>2400</v>
      </c>
    </row>
    <row r="1830" spans="1:14" x14ac:dyDescent="0.25">
      <c r="A1830">
        <v>1208.6187749999999</v>
      </c>
      <c r="B1830" s="1">
        <f>DATE(2013,8,21) + TIME(14,51,2)</f>
        <v>41507.618773148148</v>
      </c>
      <c r="C1830">
        <v>80</v>
      </c>
      <c r="D1830">
        <v>79.956092834000003</v>
      </c>
      <c r="E1830">
        <v>50</v>
      </c>
      <c r="F1830">
        <v>42.229816436999997</v>
      </c>
      <c r="G1830">
        <v>1383.1639404</v>
      </c>
      <c r="H1830">
        <v>1369.3867187999999</v>
      </c>
      <c r="I1830">
        <v>1281.8968506000001</v>
      </c>
      <c r="J1830">
        <v>1260.6040039</v>
      </c>
      <c r="K1830">
        <v>2400</v>
      </c>
      <c r="L1830">
        <v>0</v>
      </c>
      <c r="M1830">
        <v>0</v>
      </c>
      <c r="N1830">
        <v>2400</v>
      </c>
    </row>
    <row r="1831" spans="1:14" x14ac:dyDescent="0.25">
      <c r="A1831">
        <v>1209.894235</v>
      </c>
      <c r="B1831" s="1">
        <f>DATE(2013,8,22) + TIME(21,27,41)</f>
        <v>41508.894224537034</v>
      </c>
      <c r="C1831">
        <v>80</v>
      </c>
      <c r="D1831">
        <v>79.956108092999997</v>
      </c>
      <c r="E1831">
        <v>50</v>
      </c>
      <c r="F1831">
        <v>42.103618621999999</v>
      </c>
      <c r="G1831">
        <v>1383.1015625</v>
      </c>
      <c r="H1831">
        <v>1369.3328856999999</v>
      </c>
      <c r="I1831">
        <v>1281.7777100000001</v>
      </c>
      <c r="J1831">
        <v>1260.4141846</v>
      </c>
      <c r="K1831">
        <v>2400</v>
      </c>
      <c r="L1831">
        <v>0</v>
      </c>
      <c r="M1831">
        <v>0</v>
      </c>
      <c r="N1831">
        <v>2400</v>
      </c>
    </row>
    <row r="1832" spans="1:14" x14ac:dyDescent="0.25">
      <c r="A1832">
        <v>1211.1902689999999</v>
      </c>
      <c r="B1832" s="1">
        <f>DATE(2013,8,24) + TIME(4,33,59)</f>
        <v>41510.190266203703</v>
      </c>
      <c r="C1832">
        <v>80</v>
      </c>
      <c r="D1832">
        <v>79.956123352000006</v>
      </c>
      <c r="E1832">
        <v>50</v>
      </c>
      <c r="F1832">
        <v>41.974613189999999</v>
      </c>
      <c r="G1832">
        <v>1383.0389404</v>
      </c>
      <c r="H1832">
        <v>1369.2788086</v>
      </c>
      <c r="I1832">
        <v>1281.6564940999999</v>
      </c>
      <c r="J1832">
        <v>1260.2202147999999</v>
      </c>
      <c r="K1832">
        <v>2400</v>
      </c>
      <c r="L1832">
        <v>0</v>
      </c>
      <c r="M1832">
        <v>0</v>
      </c>
      <c r="N1832">
        <v>2400</v>
      </c>
    </row>
    <row r="1833" spans="1:14" x14ac:dyDescent="0.25">
      <c r="A1833">
        <v>1212.50164</v>
      </c>
      <c r="B1833" s="1">
        <f>DATE(2013,8,25) + TIME(12,2,21)</f>
        <v>41511.501631944448</v>
      </c>
      <c r="C1833">
        <v>80</v>
      </c>
      <c r="D1833">
        <v>79.956138611</v>
      </c>
      <c r="E1833">
        <v>50</v>
      </c>
      <c r="F1833">
        <v>41.842849731000001</v>
      </c>
      <c r="G1833">
        <v>1382.9760742000001</v>
      </c>
      <c r="H1833">
        <v>1369.2243652</v>
      </c>
      <c r="I1833">
        <v>1281.5328368999999</v>
      </c>
      <c r="J1833">
        <v>1260.0218506000001</v>
      </c>
      <c r="K1833">
        <v>2400</v>
      </c>
      <c r="L1833">
        <v>0</v>
      </c>
      <c r="M1833">
        <v>0</v>
      </c>
      <c r="N1833">
        <v>2400</v>
      </c>
    </row>
    <row r="1834" spans="1:14" x14ac:dyDescent="0.25">
      <c r="A1834">
        <v>1213.8203759999999</v>
      </c>
      <c r="B1834" s="1">
        <f>DATE(2013,8,26) + TIME(19,41,20)</f>
        <v>41512.820370370369</v>
      </c>
      <c r="C1834">
        <v>80</v>
      </c>
      <c r="D1834">
        <v>79.956153869999994</v>
      </c>
      <c r="E1834">
        <v>50</v>
      </c>
      <c r="F1834">
        <v>41.708797455000003</v>
      </c>
      <c r="G1834">
        <v>1382.9130858999999</v>
      </c>
      <c r="H1834">
        <v>1369.1699219</v>
      </c>
      <c r="I1834">
        <v>1281.4073486</v>
      </c>
      <c r="J1834">
        <v>1259.8198242000001</v>
      </c>
      <c r="K1834">
        <v>2400</v>
      </c>
      <c r="L1834">
        <v>0</v>
      </c>
      <c r="M1834">
        <v>0</v>
      </c>
      <c r="N1834">
        <v>2400</v>
      </c>
    </row>
    <row r="1835" spans="1:14" x14ac:dyDescent="0.25">
      <c r="A1835">
        <v>1215.151607</v>
      </c>
      <c r="B1835" s="1">
        <f>DATE(2013,8,28) + TIME(3,38,18)</f>
        <v>41514.151597222219</v>
      </c>
      <c r="C1835">
        <v>80</v>
      </c>
      <c r="D1835">
        <v>79.956176757999998</v>
      </c>
      <c r="E1835">
        <v>50</v>
      </c>
      <c r="F1835">
        <v>41.572639465000002</v>
      </c>
      <c r="G1835">
        <v>1382.8503418</v>
      </c>
      <c r="H1835">
        <v>1369.1156006000001</v>
      </c>
      <c r="I1835">
        <v>1281.2806396000001</v>
      </c>
      <c r="J1835">
        <v>1259.6149902</v>
      </c>
      <c r="K1835">
        <v>2400</v>
      </c>
      <c r="L1835">
        <v>0</v>
      </c>
      <c r="M1835">
        <v>0</v>
      </c>
      <c r="N1835">
        <v>2400</v>
      </c>
    </row>
    <row r="1836" spans="1:14" x14ac:dyDescent="0.25">
      <c r="A1836">
        <v>1216</v>
      </c>
      <c r="B1836" s="1">
        <f>DATE(2013,8,29) + TIME(0,0,0)</f>
        <v>41515</v>
      </c>
      <c r="C1836">
        <v>80</v>
      </c>
      <c r="D1836">
        <v>79.956176757999998</v>
      </c>
      <c r="E1836">
        <v>50</v>
      </c>
      <c r="F1836">
        <v>41.460075377999999</v>
      </c>
      <c r="G1836">
        <v>1382.7874756000001</v>
      </c>
      <c r="H1836">
        <v>1369.0610352000001</v>
      </c>
      <c r="I1836">
        <v>1281.1546631000001</v>
      </c>
      <c r="J1836">
        <v>1259.4207764</v>
      </c>
      <c r="K1836">
        <v>2400</v>
      </c>
      <c r="L1836">
        <v>0</v>
      </c>
      <c r="M1836">
        <v>0</v>
      </c>
      <c r="N1836">
        <v>2400</v>
      </c>
    </row>
    <row r="1837" spans="1:14" x14ac:dyDescent="0.25">
      <c r="A1837">
        <v>1216.0000010000001</v>
      </c>
      <c r="B1837" s="1">
        <f>DATE(2013,8,29) + TIME(0,0,0)</f>
        <v>41515</v>
      </c>
      <c r="C1837">
        <v>80</v>
      </c>
      <c r="D1837">
        <v>79.956153869999994</v>
      </c>
      <c r="E1837">
        <v>50</v>
      </c>
      <c r="F1837">
        <v>41.460098266999999</v>
      </c>
      <c r="G1837">
        <v>1377.1955565999999</v>
      </c>
      <c r="H1837">
        <v>1368.8748779</v>
      </c>
      <c r="I1837">
        <v>1281.3374022999999</v>
      </c>
      <c r="J1837">
        <v>1268.9029541</v>
      </c>
      <c r="K1837">
        <v>1375</v>
      </c>
      <c r="L1837">
        <v>0</v>
      </c>
      <c r="M1837">
        <v>0</v>
      </c>
      <c r="N1837">
        <v>1375</v>
      </c>
    </row>
    <row r="1838" spans="1:14" x14ac:dyDescent="0.25">
      <c r="A1838">
        <v>1216.000004</v>
      </c>
      <c r="B1838" s="1">
        <f>DATE(2013,8,29) + TIME(0,0,0)</f>
        <v>41515</v>
      </c>
      <c r="C1838">
        <v>80</v>
      </c>
      <c r="D1838">
        <v>79.956085204999994</v>
      </c>
      <c r="E1838">
        <v>50</v>
      </c>
      <c r="F1838">
        <v>41.460159302000001</v>
      </c>
      <c r="G1838">
        <v>1376.7252197</v>
      </c>
      <c r="H1838">
        <v>1368.4045410000001</v>
      </c>
      <c r="I1838">
        <v>1281.833374</v>
      </c>
      <c r="J1838">
        <v>1269.4068603999999</v>
      </c>
      <c r="K1838">
        <v>1375</v>
      </c>
      <c r="L1838">
        <v>0</v>
      </c>
      <c r="M1838">
        <v>0</v>
      </c>
      <c r="N1838">
        <v>1375</v>
      </c>
    </row>
    <row r="1839" spans="1:14" x14ac:dyDescent="0.25">
      <c r="A1839">
        <v>1216.0000130000001</v>
      </c>
      <c r="B1839" s="1">
        <f>DATE(2013,8,29) + TIME(0,0,1)</f>
        <v>41515.000011574077</v>
      </c>
      <c r="C1839">
        <v>80</v>
      </c>
      <c r="D1839">
        <v>79.955947875999996</v>
      </c>
      <c r="E1839">
        <v>50</v>
      </c>
      <c r="F1839">
        <v>41.460296630999999</v>
      </c>
      <c r="G1839">
        <v>1375.7756348</v>
      </c>
      <c r="H1839">
        <v>1367.4550781</v>
      </c>
      <c r="I1839">
        <v>1282.9847411999999</v>
      </c>
      <c r="J1839">
        <v>1270.5692139</v>
      </c>
      <c r="K1839">
        <v>1375</v>
      </c>
      <c r="L1839">
        <v>0</v>
      </c>
      <c r="M1839">
        <v>0</v>
      </c>
      <c r="N1839">
        <v>1375</v>
      </c>
    </row>
    <row r="1840" spans="1:14" x14ac:dyDescent="0.25">
      <c r="A1840">
        <v>1216.0000399999999</v>
      </c>
      <c r="B1840" s="1">
        <f>DATE(2013,8,29) + TIME(0,0,3)</f>
        <v>41515.000034722223</v>
      </c>
      <c r="C1840">
        <v>80</v>
      </c>
      <c r="D1840">
        <v>79.955749511999997</v>
      </c>
      <c r="E1840">
        <v>50</v>
      </c>
      <c r="F1840">
        <v>41.460533142000003</v>
      </c>
      <c r="G1840">
        <v>1374.3891602000001</v>
      </c>
      <c r="H1840">
        <v>1366.0683594</v>
      </c>
      <c r="I1840">
        <v>1285.0048827999999</v>
      </c>
      <c r="J1840">
        <v>1272.59375</v>
      </c>
      <c r="K1840">
        <v>1375</v>
      </c>
      <c r="L1840">
        <v>0</v>
      </c>
      <c r="M1840">
        <v>0</v>
      </c>
      <c r="N1840">
        <v>1375</v>
      </c>
    </row>
    <row r="1841" spans="1:14" x14ac:dyDescent="0.25">
      <c r="A1841">
        <v>1216.000121</v>
      </c>
      <c r="B1841" s="1">
        <f>DATE(2013,8,29) + TIME(0,0,10)</f>
        <v>41515.000115740739</v>
      </c>
      <c r="C1841">
        <v>80</v>
      </c>
      <c r="D1841">
        <v>79.955528259000005</v>
      </c>
      <c r="E1841">
        <v>50</v>
      </c>
      <c r="F1841">
        <v>41.460834503000001</v>
      </c>
      <c r="G1841">
        <v>1372.8464355000001</v>
      </c>
      <c r="H1841">
        <v>1364.5252685999999</v>
      </c>
      <c r="I1841">
        <v>1287.5734863</v>
      </c>
      <c r="J1841">
        <v>1275.1573486</v>
      </c>
      <c r="K1841">
        <v>1375</v>
      </c>
      <c r="L1841">
        <v>0</v>
      </c>
      <c r="M1841">
        <v>0</v>
      </c>
      <c r="N1841">
        <v>1375</v>
      </c>
    </row>
    <row r="1842" spans="1:14" x14ac:dyDescent="0.25">
      <c r="A1842">
        <v>1216.000364</v>
      </c>
      <c r="B1842" s="1">
        <f>DATE(2013,8,29) + TIME(0,0,31)</f>
        <v>41515.000358796293</v>
      </c>
      <c r="C1842">
        <v>80</v>
      </c>
      <c r="D1842">
        <v>79.955307007000002</v>
      </c>
      <c r="E1842">
        <v>50</v>
      </c>
      <c r="F1842">
        <v>41.461124419999997</v>
      </c>
      <c r="G1842">
        <v>1371.2893065999999</v>
      </c>
      <c r="H1842">
        <v>1362.9697266000001</v>
      </c>
      <c r="I1842">
        <v>1290.2740478999999</v>
      </c>
      <c r="J1842">
        <v>1277.8515625</v>
      </c>
      <c r="K1842">
        <v>1375</v>
      </c>
      <c r="L1842">
        <v>0</v>
      </c>
      <c r="M1842">
        <v>0</v>
      </c>
      <c r="N1842">
        <v>1375</v>
      </c>
    </row>
    <row r="1843" spans="1:14" x14ac:dyDescent="0.25">
      <c r="A1843">
        <v>1216.0010930000001</v>
      </c>
      <c r="B1843" s="1">
        <f>DATE(2013,8,29) + TIME(0,1,34)</f>
        <v>41515.001087962963</v>
      </c>
      <c r="C1843">
        <v>80</v>
      </c>
      <c r="D1843">
        <v>79.955062866000006</v>
      </c>
      <c r="E1843">
        <v>50</v>
      </c>
      <c r="F1843">
        <v>41.461357116999999</v>
      </c>
      <c r="G1843">
        <v>1369.6691894999999</v>
      </c>
      <c r="H1843">
        <v>1361.3654785000001</v>
      </c>
      <c r="I1843">
        <v>1293.0379639</v>
      </c>
      <c r="J1843">
        <v>1280.6154785000001</v>
      </c>
      <c r="K1843">
        <v>1375</v>
      </c>
      <c r="L1843">
        <v>0</v>
      </c>
      <c r="M1843">
        <v>0</v>
      </c>
      <c r="N1843">
        <v>1375</v>
      </c>
    </row>
    <row r="1844" spans="1:14" x14ac:dyDescent="0.25">
      <c r="A1844">
        <v>1216.0032799999999</v>
      </c>
      <c r="B1844" s="1">
        <f>DATE(2013,8,29) + TIME(0,4,43)</f>
        <v>41515.003275462965</v>
      </c>
      <c r="C1844">
        <v>80</v>
      </c>
      <c r="D1844">
        <v>79.954750060999999</v>
      </c>
      <c r="E1844">
        <v>50</v>
      </c>
      <c r="F1844">
        <v>41.461414337000001</v>
      </c>
      <c r="G1844">
        <v>1367.8126221</v>
      </c>
      <c r="H1844">
        <v>1359.5483397999999</v>
      </c>
      <c r="I1844">
        <v>1295.9449463000001</v>
      </c>
      <c r="J1844">
        <v>1283.5361327999999</v>
      </c>
      <c r="K1844">
        <v>1375</v>
      </c>
      <c r="L1844">
        <v>0</v>
      </c>
      <c r="M1844">
        <v>0</v>
      </c>
      <c r="N1844">
        <v>1375</v>
      </c>
    </row>
    <row r="1845" spans="1:14" x14ac:dyDescent="0.25">
      <c r="A1845">
        <v>1216.0098410000001</v>
      </c>
      <c r="B1845" s="1">
        <f>DATE(2013,8,29) + TIME(0,14,10)</f>
        <v>41515.009837962964</v>
      </c>
      <c r="C1845">
        <v>80</v>
      </c>
      <c r="D1845">
        <v>79.954315186000002</v>
      </c>
      <c r="E1845">
        <v>50</v>
      </c>
      <c r="F1845">
        <v>41.460880279999998</v>
      </c>
      <c r="G1845">
        <v>1365.6915283000001</v>
      </c>
      <c r="H1845">
        <v>1357.4693603999999</v>
      </c>
      <c r="I1845">
        <v>1298.8704834</v>
      </c>
      <c r="J1845">
        <v>1286.4864502</v>
      </c>
      <c r="K1845">
        <v>1375</v>
      </c>
      <c r="L1845">
        <v>0</v>
      </c>
      <c r="M1845">
        <v>0</v>
      </c>
      <c r="N1845">
        <v>1375</v>
      </c>
    </row>
    <row r="1846" spans="1:14" x14ac:dyDescent="0.25">
      <c r="A1846">
        <v>1216.029524</v>
      </c>
      <c r="B1846" s="1">
        <f>DATE(2013,8,29) + TIME(0,42,30)</f>
        <v>41515.029513888891</v>
      </c>
      <c r="C1846">
        <v>80</v>
      </c>
      <c r="D1846">
        <v>79.953628539999997</v>
      </c>
      <c r="E1846">
        <v>50</v>
      </c>
      <c r="F1846">
        <v>41.458522797000001</v>
      </c>
      <c r="G1846">
        <v>1363.7928466999999</v>
      </c>
      <c r="H1846">
        <v>1355.5941161999999</v>
      </c>
      <c r="I1846">
        <v>1301.1671143000001</v>
      </c>
      <c r="J1846">
        <v>1288.8039550999999</v>
      </c>
      <c r="K1846">
        <v>1375</v>
      </c>
      <c r="L1846">
        <v>0</v>
      </c>
      <c r="M1846">
        <v>0</v>
      </c>
      <c r="N1846">
        <v>1375</v>
      </c>
    </row>
    <row r="1847" spans="1:14" x14ac:dyDescent="0.25">
      <c r="A1847">
        <v>1216.088573</v>
      </c>
      <c r="B1847" s="1">
        <f>DATE(2013,8,29) + TIME(2,7,32)</f>
        <v>41515.088564814818</v>
      </c>
      <c r="C1847">
        <v>80</v>
      </c>
      <c r="D1847">
        <v>79.952270507999998</v>
      </c>
      <c r="E1847">
        <v>50</v>
      </c>
      <c r="F1847">
        <v>41.450969696000001</v>
      </c>
      <c r="G1847">
        <v>1362.7332764</v>
      </c>
      <c r="H1847">
        <v>1354.5424805</v>
      </c>
      <c r="I1847">
        <v>1302.2004394999999</v>
      </c>
      <c r="J1847">
        <v>1289.8443603999999</v>
      </c>
      <c r="K1847">
        <v>1375</v>
      </c>
      <c r="L1847">
        <v>0</v>
      </c>
      <c r="M1847">
        <v>0</v>
      </c>
      <c r="N1847">
        <v>1375</v>
      </c>
    </row>
    <row r="1848" spans="1:14" x14ac:dyDescent="0.25">
      <c r="A1848">
        <v>1216.2657200000001</v>
      </c>
      <c r="B1848" s="1">
        <f>DATE(2013,8,29) + TIME(6,22,38)</f>
        <v>41515.265717592592</v>
      </c>
      <c r="C1848">
        <v>80</v>
      </c>
      <c r="D1848">
        <v>79.949066161999994</v>
      </c>
      <c r="E1848">
        <v>50</v>
      </c>
      <c r="F1848">
        <v>41.429977417000003</v>
      </c>
      <c r="G1848">
        <v>1362.4335937999999</v>
      </c>
      <c r="H1848">
        <v>1354.2445068</v>
      </c>
      <c r="I1848">
        <v>1302.3736572</v>
      </c>
      <c r="J1848">
        <v>1290.0133057</v>
      </c>
      <c r="K1848">
        <v>1375</v>
      </c>
      <c r="L1848">
        <v>0</v>
      </c>
      <c r="M1848">
        <v>0</v>
      </c>
      <c r="N1848">
        <v>1375</v>
      </c>
    </row>
    <row r="1849" spans="1:14" x14ac:dyDescent="0.25">
      <c r="A1849">
        <v>1216.797161</v>
      </c>
      <c r="B1849" s="1">
        <f>DATE(2013,8,29) + TIME(19,7,54)</f>
        <v>41515.797152777777</v>
      </c>
      <c r="C1849">
        <v>80</v>
      </c>
      <c r="D1849">
        <v>79.942405700999998</v>
      </c>
      <c r="E1849">
        <v>50</v>
      </c>
      <c r="F1849">
        <v>41.380485534999998</v>
      </c>
      <c r="G1849">
        <v>1362.3935547000001</v>
      </c>
      <c r="H1849">
        <v>1354.2049560999999</v>
      </c>
      <c r="I1849">
        <v>1302.3682861</v>
      </c>
      <c r="J1849">
        <v>1289.9937743999999</v>
      </c>
      <c r="K1849">
        <v>1375</v>
      </c>
      <c r="L1849">
        <v>0</v>
      </c>
      <c r="M1849">
        <v>0</v>
      </c>
      <c r="N1849">
        <v>1375</v>
      </c>
    </row>
    <row r="1850" spans="1:14" x14ac:dyDescent="0.25">
      <c r="A1850">
        <v>1218.391484</v>
      </c>
      <c r="B1850" s="1">
        <f>DATE(2013,8,31) + TIME(9,23,44)</f>
        <v>41517.391481481478</v>
      </c>
      <c r="C1850">
        <v>80</v>
      </c>
      <c r="D1850">
        <v>79.933624268000003</v>
      </c>
      <c r="E1850">
        <v>50</v>
      </c>
      <c r="F1850">
        <v>41.291286468999999</v>
      </c>
      <c r="G1850">
        <v>1362.3842772999999</v>
      </c>
      <c r="H1850">
        <v>1354.1970214999999</v>
      </c>
      <c r="I1850">
        <v>1302.3453368999999</v>
      </c>
      <c r="J1850">
        <v>1289.9440918</v>
      </c>
      <c r="K1850">
        <v>1375</v>
      </c>
      <c r="L1850">
        <v>0</v>
      </c>
      <c r="M1850">
        <v>0</v>
      </c>
      <c r="N1850">
        <v>1375</v>
      </c>
    </row>
    <row r="1851" spans="1:14" x14ac:dyDescent="0.25">
      <c r="A1851">
        <v>1221.0052639999999</v>
      </c>
      <c r="B1851" s="1">
        <f>DATE(2013,9,3) + TIME(0,7,34)</f>
        <v>41520.005254629628</v>
      </c>
      <c r="C1851">
        <v>80</v>
      </c>
      <c r="D1851">
        <v>79.928962708</v>
      </c>
      <c r="E1851">
        <v>50</v>
      </c>
      <c r="F1851">
        <v>41.175231934000003</v>
      </c>
      <c r="G1851">
        <v>1362.3612060999999</v>
      </c>
      <c r="H1851">
        <v>1354.1783447</v>
      </c>
      <c r="I1851">
        <v>1302.2900391000001</v>
      </c>
      <c r="J1851">
        <v>1289.8508300999999</v>
      </c>
      <c r="K1851">
        <v>1375</v>
      </c>
      <c r="L1851">
        <v>0</v>
      </c>
      <c r="M1851">
        <v>0</v>
      </c>
      <c r="N1851">
        <v>1375</v>
      </c>
    </row>
    <row r="1852" spans="1:14" x14ac:dyDescent="0.25">
      <c r="A1852">
        <v>1223.639291</v>
      </c>
      <c r="B1852" s="1">
        <f>DATE(2013,9,5) + TIME(15,20,34)</f>
        <v>41522.639282407406</v>
      </c>
      <c r="C1852">
        <v>80</v>
      </c>
      <c r="D1852">
        <v>79.927482604999994</v>
      </c>
      <c r="E1852">
        <v>50</v>
      </c>
      <c r="F1852">
        <v>41.030139923</v>
      </c>
      <c r="G1852">
        <v>1362.3231201000001</v>
      </c>
      <c r="H1852">
        <v>1354.1475829999999</v>
      </c>
      <c r="I1852">
        <v>1302.2032471</v>
      </c>
      <c r="J1852">
        <v>1289.7144774999999</v>
      </c>
      <c r="K1852">
        <v>1375</v>
      </c>
      <c r="L1852">
        <v>0</v>
      </c>
      <c r="M1852">
        <v>0</v>
      </c>
      <c r="N1852">
        <v>1375</v>
      </c>
    </row>
    <row r="1853" spans="1:14" x14ac:dyDescent="0.25">
      <c r="A1853">
        <v>1226.2987149999999</v>
      </c>
      <c r="B1853" s="1">
        <f>DATE(2013,9,8) + TIME(7,10,8)</f>
        <v>41525.298703703702</v>
      </c>
      <c r="C1853">
        <v>80</v>
      </c>
      <c r="D1853">
        <v>79.927047728999995</v>
      </c>
      <c r="E1853">
        <v>50</v>
      </c>
      <c r="F1853">
        <v>40.873260498</v>
      </c>
      <c r="G1853">
        <v>1362.2847899999999</v>
      </c>
      <c r="H1853">
        <v>1354.1164550999999</v>
      </c>
      <c r="I1853">
        <v>1302.1132812000001</v>
      </c>
      <c r="J1853">
        <v>1289.5700684000001</v>
      </c>
      <c r="K1853">
        <v>1375</v>
      </c>
      <c r="L1853">
        <v>0</v>
      </c>
      <c r="M1853">
        <v>0</v>
      </c>
      <c r="N1853">
        <v>1375</v>
      </c>
    </row>
    <row r="1854" spans="1:14" x14ac:dyDescent="0.25">
      <c r="A1854">
        <v>1228.9828689999999</v>
      </c>
      <c r="B1854" s="1">
        <f>DATE(2013,9,10) + TIME(23,35,19)</f>
        <v>41527.982858796298</v>
      </c>
      <c r="C1854">
        <v>80</v>
      </c>
      <c r="D1854">
        <v>79.926956176999994</v>
      </c>
      <c r="E1854">
        <v>50</v>
      </c>
      <c r="F1854">
        <v>40.710926055999998</v>
      </c>
      <c r="G1854">
        <v>1362.2464600000001</v>
      </c>
      <c r="H1854">
        <v>1354.0850829999999</v>
      </c>
      <c r="I1854">
        <v>1302.0218506000001</v>
      </c>
      <c r="J1854">
        <v>1289.4213867000001</v>
      </c>
      <c r="K1854">
        <v>1375</v>
      </c>
      <c r="L1854">
        <v>0</v>
      </c>
      <c r="M1854">
        <v>0</v>
      </c>
      <c r="N1854">
        <v>1375</v>
      </c>
    </row>
    <row r="1855" spans="1:14" x14ac:dyDescent="0.25">
      <c r="A1855">
        <v>1231.693156</v>
      </c>
      <c r="B1855" s="1">
        <f>DATE(2013,9,13) + TIME(16,38,8)</f>
        <v>41530.693148148152</v>
      </c>
      <c r="C1855">
        <v>80</v>
      </c>
      <c r="D1855">
        <v>79.926979064999998</v>
      </c>
      <c r="E1855">
        <v>50</v>
      </c>
      <c r="F1855">
        <v>40.545513153000002</v>
      </c>
      <c r="G1855">
        <v>1362.2081298999999</v>
      </c>
      <c r="H1855">
        <v>1354.0534668</v>
      </c>
      <c r="I1855">
        <v>1301.9294434000001</v>
      </c>
      <c r="J1855">
        <v>1289.2701416</v>
      </c>
      <c r="K1855">
        <v>1375</v>
      </c>
      <c r="L1855">
        <v>0</v>
      </c>
      <c r="M1855">
        <v>0</v>
      </c>
      <c r="N1855">
        <v>1375</v>
      </c>
    </row>
    <row r="1856" spans="1:14" x14ac:dyDescent="0.25">
      <c r="A1856">
        <v>1234.419404</v>
      </c>
      <c r="B1856" s="1">
        <f>DATE(2013,9,16) + TIME(10,3,56)</f>
        <v>41533.419398148151</v>
      </c>
      <c r="C1856">
        <v>80</v>
      </c>
      <c r="D1856">
        <v>79.927047728999995</v>
      </c>
      <c r="E1856">
        <v>50</v>
      </c>
      <c r="F1856">
        <v>40.378170013000002</v>
      </c>
      <c r="G1856">
        <v>1362.1697998</v>
      </c>
      <c r="H1856">
        <v>1354.0218506000001</v>
      </c>
      <c r="I1856">
        <v>1301.8363036999999</v>
      </c>
      <c r="J1856">
        <v>1289.1169434000001</v>
      </c>
      <c r="K1856">
        <v>1375</v>
      </c>
      <c r="L1856">
        <v>0</v>
      </c>
      <c r="M1856">
        <v>0</v>
      </c>
      <c r="N1856">
        <v>1375</v>
      </c>
    </row>
    <row r="1857" spans="1:14" x14ac:dyDescent="0.25">
      <c r="A1857">
        <v>1237.16569</v>
      </c>
      <c r="B1857" s="1">
        <f>DATE(2013,9,19) + TIME(3,58,35)</f>
        <v>41536.165682870371</v>
      </c>
      <c r="C1857">
        <v>80</v>
      </c>
      <c r="D1857">
        <v>79.927124023000005</v>
      </c>
      <c r="E1857">
        <v>50</v>
      </c>
      <c r="F1857">
        <v>40.209503173999998</v>
      </c>
      <c r="G1857">
        <v>1362.1314697</v>
      </c>
      <c r="H1857">
        <v>1353.9901123</v>
      </c>
      <c r="I1857">
        <v>1301.7430420000001</v>
      </c>
      <c r="J1857">
        <v>1288.9625243999999</v>
      </c>
      <c r="K1857">
        <v>1375</v>
      </c>
      <c r="L1857">
        <v>0</v>
      </c>
      <c r="M1857">
        <v>0</v>
      </c>
      <c r="N1857">
        <v>1375</v>
      </c>
    </row>
    <row r="1858" spans="1:14" x14ac:dyDescent="0.25">
      <c r="A1858">
        <v>1239.9416610000001</v>
      </c>
      <c r="B1858" s="1">
        <f>DATE(2013,9,21) + TIME(22,35,59)</f>
        <v>41538.941655092596</v>
      </c>
      <c r="C1858">
        <v>80</v>
      </c>
      <c r="D1858">
        <v>79.927207946999999</v>
      </c>
      <c r="E1858">
        <v>50</v>
      </c>
      <c r="F1858">
        <v>40.039569855000003</v>
      </c>
      <c r="G1858">
        <v>1362.0931396000001</v>
      </c>
      <c r="H1858">
        <v>1353.958374</v>
      </c>
      <c r="I1858">
        <v>1301.6495361</v>
      </c>
      <c r="J1858">
        <v>1288.8068848</v>
      </c>
      <c r="K1858">
        <v>1375</v>
      </c>
      <c r="L1858">
        <v>0</v>
      </c>
      <c r="M1858">
        <v>0</v>
      </c>
      <c r="N1858">
        <v>1375</v>
      </c>
    </row>
    <row r="1859" spans="1:14" x14ac:dyDescent="0.25">
      <c r="A1859">
        <v>1242.754498</v>
      </c>
      <c r="B1859" s="1">
        <f>DATE(2013,9,24) + TIME(18,6,28)</f>
        <v>41541.754490740743</v>
      </c>
      <c r="C1859">
        <v>80</v>
      </c>
      <c r="D1859">
        <v>79.927291870000005</v>
      </c>
      <c r="E1859">
        <v>50</v>
      </c>
      <c r="F1859">
        <v>39.868274689000003</v>
      </c>
      <c r="G1859">
        <v>1362.0548096</v>
      </c>
      <c r="H1859">
        <v>1353.9263916</v>
      </c>
      <c r="I1859">
        <v>1301.5555420000001</v>
      </c>
      <c r="J1859">
        <v>1288.6497803</v>
      </c>
      <c r="K1859">
        <v>1375</v>
      </c>
      <c r="L1859">
        <v>0</v>
      </c>
      <c r="M1859">
        <v>0</v>
      </c>
      <c r="N1859">
        <v>1375</v>
      </c>
    </row>
    <row r="1860" spans="1:14" x14ac:dyDescent="0.25">
      <c r="A1860">
        <v>1245.589565</v>
      </c>
      <c r="B1860" s="1">
        <f>DATE(2013,9,27) + TIME(14,8,58)</f>
        <v>41544.589560185188</v>
      </c>
      <c r="C1860">
        <v>80</v>
      </c>
      <c r="D1860">
        <v>79.927375792999996</v>
      </c>
      <c r="E1860">
        <v>50</v>
      </c>
      <c r="F1860">
        <v>39.695877074999999</v>
      </c>
      <c r="G1860">
        <v>1362.0162353999999</v>
      </c>
      <c r="H1860">
        <v>1353.8942870999999</v>
      </c>
      <c r="I1860">
        <v>1301.4611815999999</v>
      </c>
      <c r="J1860">
        <v>1288.4909668</v>
      </c>
      <c r="K1860">
        <v>1375</v>
      </c>
      <c r="L1860">
        <v>0</v>
      </c>
      <c r="M1860">
        <v>0</v>
      </c>
      <c r="N1860">
        <v>1375</v>
      </c>
    </row>
    <row r="1861" spans="1:14" x14ac:dyDescent="0.25">
      <c r="A1861">
        <v>1248.4608270000001</v>
      </c>
      <c r="B1861" s="1">
        <f>DATE(2013,9,30) + TIME(11,3,35)</f>
        <v>41547.460821759261</v>
      </c>
      <c r="C1861">
        <v>80</v>
      </c>
      <c r="D1861">
        <v>79.927467346</v>
      </c>
      <c r="E1861">
        <v>50</v>
      </c>
      <c r="F1861">
        <v>39.522609711000001</v>
      </c>
      <c r="G1861">
        <v>1361.9776611</v>
      </c>
      <c r="H1861">
        <v>1353.8620605000001</v>
      </c>
      <c r="I1861">
        <v>1301.3668213000001</v>
      </c>
      <c r="J1861">
        <v>1288.3312988</v>
      </c>
      <c r="K1861">
        <v>1375</v>
      </c>
      <c r="L1861">
        <v>0</v>
      </c>
      <c r="M1861">
        <v>0</v>
      </c>
      <c r="N1861">
        <v>1375</v>
      </c>
    </row>
    <row r="1862" spans="1:14" x14ac:dyDescent="0.25">
      <c r="A1862">
        <v>1251</v>
      </c>
      <c r="B1862" s="1">
        <f>DATE(2013,10,3) + TIME(0,0,0)</f>
        <v>41550</v>
      </c>
      <c r="C1862">
        <v>80</v>
      </c>
      <c r="D1862">
        <v>79.927536011000001</v>
      </c>
      <c r="E1862">
        <v>50</v>
      </c>
      <c r="F1862">
        <v>39.356693268000001</v>
      </c>
      <c r="G1862">
        <v>1361.9388428</v>
      </c>
      <c r="H1862">
        <v>1353.8294678</v>
      </c>
      <c r="I1862">
        <v>1301.2725829999999</v>
      </c>
      <c r="J1862">
        <v>1288.1729736</v>
      </c>
      <c r="K1862">
        <v>1375</v>
      </c>
      <c r="L1862">
        <v>0</v>
      </c>
      <c r="M1862">
        <v>0</v>
      </c>
      <c r="N1862">
        <v>1375</v>
      </c>
    </row>
    <row r="1863" spans="1:14" x14ac:dyDescent="0.25">
      <c r="A1863">
        <v>1251.0000010000001</v>
      </c>
      <c r="B1863" s="1">
        <f>DATE(2013,10,3) + TIME(0,0,0)</f>
        <v>41550</v>
      </c>
      <c r="C1863">
        <v>80</v>
      </c>
      <c r="D1863">
        <v>79.927474975999999</v>
      </c>
      <c r="E1863">
        <v>50</v>
      </c>
      <c r="F1863">
        <v>39.356754303000002</v>
      </c>
      <c r="G1863">
        <v>1353.3591309000001</v>
      </c>
      <c r="H1863">
        <v>1347.8081055</v>
      </c>
      <c r="I1863">
        <v>1313.4760742000001</v>
      </c>
      <c r="J1863">
        <v>1301.7438964999999</v>
      </c>
      <c r="K1863">
        <v>0</v>
      </c>
      <c r="L1863">
        <v>1215</v>
      </c>
      <c r="M1863">
        <v>1215</v>
      </c>
      <c r="N1863">
        <v>0</v>
      </c>
    </row>
    <row r="1864" spans="1:14" x14ac:dyDescent="0.25">
      <c r="A1864">
        <v>1251.000004</v>
      </c>
      <c r="B1864" s="1">
        <f>DATE(2013,10,3) + TIME(0,0,0)</f>
        <v>41550</v>
      </c>
      <c r="C1864">
        <v>80</v>
      </c>
      <c r="D1864">
        <v>79.927307128999999</v>
      </c>
      <c r="E1864">
        <v>50</v>
      </c>
      <c r="F1864">
        <v>39.356925963999998</v>
      </c>
      <c r="G1864">
        <v>1352.1708983999999</v>
      </c>
      <c r="H1864">
        <v>1346.6193848</v>
      </c>
      <c r="I1864">
        <v>1314.762207</v>
      </c>
      <c r="J1864">
        <v>1303.0261230000001</v>
      </c>
      <c r="K1864">
        <v>0</v>
      </c>
      <c r="L1864">
        <v>1215</v>
      </c>
      <c r="M1864">
        <v>1215</v>
      </c>
      <c r="N1864">
        <v>0</v>
      </c>
    </row>
    <row r="1865" spans="1:14" x14ac:dyDescent="0.25">
      <c r="A1865">
        <v>1251.0000130000001</v>
      </c>
      <c r="B1865" s="1">
        <f>DATE(2013,10,3) + TIME(0,0,1)</f>
        <v>41550.000011574077</v>
      </c>
      <c r="C1865">
        <v>80</v>
      </c>
      <c r="D1865">
        <v>79.926963806000003</v>
      </c>
      <c r="E1865">
        <v>50</v>
      </c>
      <c r="F1865">
        <v>39.357341765999998</v>
      </c>
      <c r="G1865">
        <v>1349.7718506000001</v>
      </c>
      <c r="H1865">
        <v>1344.2198486</v>
      </c>
      <c r="I1865">
        <v>1317.7629394999999</v>
      </c>
      <c r="J1865">
        <v>1306.0235596</v>
      </c>
      <c r="K1865">
        <v>0</v>
      </c>
      <c r="L1865">
        <v>1215</v>
      </c>
      <c r="M1865">
        <v>1215</v>
      </c>
      <c r="N1865">
        <v>0</v>
      </c>
    </row>
    <row r="1866" spans="1:14" x14ac:dyDescent="0.25">
      <c r="A1866">
        <v>1251.0000399999999</v>
      </c>
      <c r="B1866" s="1">
        <f>DATE(2013,10,3) + TIME(0,0,3)</f>
        <v>41550.000034722223</v>
      </c>
      <c r="C1866">
        <v>80</v>
      </c>
      <c r="D1866">
        <v>79.926460266000007</v>
      </c>
      <c r="E1866">
        <v>50</v>
      </c>
      <c r="F1866">
        <v>39.358150481999999</v>
      </c>
      <c r="G1866">
        <v>1346.2672118999999</v>
      </c>
      <c r="H1866">
        <v>1340.7156981999999</v>
      </c>
      <c r="I1866">
        <v>1323.0810547000001</v>
      </c>
      <c r="J1866">
        <v>1311.3433838000001</v>
      </c>
      <c r="K1866">
        <v>0</v>
      </c>
      <c r="L1866">
        <v>1215</v>
      </c>
      <c r="M1866">
        <v>1215</v>
      </c>
      <c r="N1866">
        <v>0</v>
      </c>
    </row>
    <row r="1867" spans="1:14" x14ac:dyDescent="0.25">
      <c r="A1867">
        <v>1251.000121</v>
      </c>
      <c r="B1867" s="1">
        <f>DATE(2013,10,3) + TIME(0,0,10)</f>
        <v>41550.000115740739</v>
      </c>
      <c r="C1867">
        <v>80</v>
      </c>
      <c r="D1867">
        <v>79.925895690999994</v>
      </c>
      <c r="E1867">
        <v>50</v>
      </c>
      <c r="F1867">
        <v>39.359485626000001</v>
      </c>
      <c r="G1867">
        <v>1342.362793</v>
      </c>
      <c r="H1867">
        <v>1336.8155518000001</v>
      </c>
      <c r="I1867">
        <v>1329.8969727000001</v>
      </c>
      <c r="J1867">
        <v>1318.1694336</v>
      </c>
      <c r="K1867">
        <v>0</v>
      </c>
      <c r="L1867">
        <v>1215</v>
      </c>
      <c r="M1867">
        <v>1215</v>
      </c>
      <c r="N1867">
        <v>0</v>
      </c>
    </row>
    <row r="1868" spans="1:14" x14ac:dyDescent="0.25">
      <c r="A1868">
        <v>1251.000364</v>
      </c>
      <c r="B1868" s="1">
        <f>DATE(2013,10,3) + TIME(0,0,31)</f>
        <v>41550.000358796293</v>
      </c>
      <c r="C1868">
        <v>80</v>
      </c>
      <c r="D1868">
        <v>79.925300598000007</v>
      </c>
      <c r="E1868">
        <v>50</v>
      </c>
      <c r="F1868">
        <v>39.361896514999998</v>
      </c>
      <c r="G1868">
        <v>1338.4288329999999</v>
      </c>
      <c r="H1868">
        <v>1332.8822021000001</v>
      </c>
      <c r="I1868">
        <v>1337.0932617000001</v>
      </c>
      <c r="J1868">
        <v>1325.3748779</v>
      </c>
      <c r="K1868">
        <v>0</v>
      </c>
      <c r="L1868">
        <v>1215</v>
      </c>
      <c r="M1868">
        <v>1215</v>
      </c>
      <c r="N1868">
        <v>0</v>
      </c>
    </row>
    <row r="1869" spans="1:14" x14ac:dyDescent="0.25">
      <c r="A1869">
        <v>1251.0010930000001</v>
      </c>
      <c r="B1869" s="1">
        <f>DATE(2013,10,3) + TIME(0,1,34)</f>
        <v>41550.001087962963</v>
      </c>
      <c r="C1869">
        <v>80</v>
      </c>
      <c r="D1869">
        <v>79.924598693999997</v>
      </c>
      <c r="E1869">
        <v>50</v>
      </c>
      <c r="F1869">
        <v>39.367424010999997</v>
      </c>
      <c r="G1869">
        <v>1334.3957519999999</v>
      </c>
      <c r="H1869">
        <v>1328.8126221</v>
      </c>
      <c r="I1869">
        <v>1344.4519043</v>
      </c>
      <c r="J1869">
        <v>1332.7293701000001</v>
      </c>
      <c r="K1869">
        <v>0</v>
      </c>
      <c r="L1869">
        <v>1215</v>
      </c>
      <c r="M1869">
        <v>1215</v>
      </c>
      <c r="N1869">
        <v>0</v>
      </c>
    </row>
    <row r="1870" spans="1:14" x14ac:dyDescent="0.25">
      <c r="A1870">
        <v>1251.0032799999999</v>
      </c>
      <c r="B1870" s="1">
        <f>DATE(2013,10,3) + TIME(0,4,43)</f>
        <v>41550.003275462965</v>
      </c>
      <c r="C1870">
        <v>80</v>
      </c>
      <c r="D1870">
        <v>79.923583984000004</v>
      </c>
      <c r="E1870">
        <v>50</v>
      </c>
      <c r="F1870">
        <v>39.382316588999998</v>
      </c>
      <c r="G1870">
        <v>1329.8842772999999</v>
      </c>
      <c r="H1870">
        <v>1324.1944579999999</v>
      </c>
      <c r="I1870">
        <v>1352.1192627</v>
      </c>
      <c r="J1870">
        <v>1340.3601074000001</v>
      </c>
      <c r="K1870">
        <v>0</v>
      </c>
      <c r="L1870">
        <v>1215</v>
      </c>
      <c r="M1870">
        <v>1215</v>
      </c>
      <c r="N1870">
        <v>0</v>
      </c>
    </row>
    <row r="1871" spans="1:14" x14ac:dyDescent="0.25">
      <c r="A1871">
        <v>1251.0098410000001</v>
      </c>
      <c r="B1871" s="1">
        <f>DATE(2013,10,3) + TIME(0,14,10)</f>
        <v>41550.009837962964</v>
      </c>
      <c r="C1871">
        <v>80</v>
      </c>
      <c r="D1871">
        <v>79.921699524000005</v>
      </c>
      <c r="E1871">
        <v>50</v>
      </c>
      <c r="F1871">
        <v>39.425235747999999</v>
      </c>
      <c r="G1871">
        <v>1324.7614745999999</v>
      </c>
      <c r="H1871">
        <v>1318.9564209</v>
      </c>
      <c r="I1871">
        <v>1359.6727295000001</v>
      </c>
      <c r="J1871">
        <v>1347.8485106999999</v>
      </c>
      <c r="K1871">
        <v>0</v>
      </c>
      <c r="L1871">
        <v>1215</v>
      </c>
      <c r="M1871">
        <v>1215</v>
      </c>
      <c r="N1871">
        <v>0</v>
      </c>
    </row>
    <row r="1872" spans="1:14" x14ac:dyDescent="0.25">
      <c r="A1872">
        <v>1251.029524</v>
      </c>
      <c r="B1872" s="1">
        <f>DATE(2013,10,3) + TIME(0,42,30)</f>
        <v>41550.029513888891</v>
      </c>
      <c r="C1872">
        <v>80</v>
      </c>
      <c r="D1872">
        <v>79.917587280000006</v>
      </c>
      <c r="E1872">
        <v>50</v>
      </c>
      <c r="F1872">
        <v>39.551200866999999</v>
      </c>
      <c r="G1872">
        <v>1320.1251221</v>
      </c>
      <c r="H1872">
        <v>1314.2606201000001</v>
      </c>
      <c r="I1872">
        <v>1365.4755858999999</v>
      </c>
      <c r="J1872">
        <v>1353.6120605000001</v>
      </c>
      <c r="K1872">
        <v>0</v>
      </c>
      <c r="L1872">
        <v>1215</v>
      </c>
      <c r="M1872">
        <v>1215</v>
      </c>
      <c r="N1872">
        <v>0</v>
      </c>
    </row>
    <row r="1873" spans="1:14" x14ac:dyDescent="0.25">
      <c r="A1873">
        <v>1251.088573</v>
      </c>
      <c r="B1873" s="1">
        <f>DATE(2013,10,3) + TIME(2,7,32)</f>
        <v>41550.088564814818</v>
      </c>
      <c r="C1873">
        <v>80</v>
      </c>
      <c r="D1873">
        <v>79.907089232999994</v>
      </c>
      <c r="E1873">
        <v>50</v>
      </c>
      <c r="F1873">
        <v>39.915401459000002</v>
      </c>
      <c r="G1873">
        <v>1317.5207519999999</v>
      </c>
      <c r="H1873">
        <v>1311.6368408000001</v>
      </c>
      <c r="I1873">
        <v>1367.9772949000001</v>
      </c>
      <c r="J1873">
        <v>1356.1549072</v>
      </c>
      <c r="K1873">
        <v>0</v>
      </c>
      <c r="L1873">
        <v>1215</v>
      </c>
      <c r="M1873">
        <v>1215</v>
      </c>
      <c r="N1873">
        <v>0</v>
      </c>
    </row>
    <row r="1874" spans="1:14" x14ac:dyDescent="0.25">
      <c r="A1874">
        <v>1251.2054479999999</v>
      </c>
      <c r="B1874" s="1">
        <f>DATE(2013,10,3) + TIME(4,55,50)</f>
        <v>41550.205439814818</v>
      </c>
      <c r="C1874">
        <v>80</v>
      </c>
      <c r="D1874">
        <v>79.887725829999994</v>
      </c>
      <c r="E1874">
        <v>50</v>
      </c>
      <c r="F1874">
        <v>40.589366912999999</v>
      </c>
      <c r="G1874">
        <v>1316.8239745999999</v>
      </c>
      <c r="H1874">
        <v>1310.9357910000001</v>
      </c>
      <c r="I1874">
        <v>1368.230957</v>
      </c>
      <c r="J1874">
        <v>1356.5245361</v>
      </c>
      <c r="K1874">
        <v>0</v>
      </c>
      <c r="L1874">
        <v>1215</v>
      </c>
      <c r="M1874">
        <v>1215</v>
      </c>
      <c r="N1874">
        <v>0</v>
      </c>
    </row>
    <row r="1875" spans="1:14" x14ac:dyDescent="0.25">
      <c r="A1875">
        <v>1251.3288669999999</v>
      </c>
      <c r="B1875" s="1">
        <f>DATE(2013,10,3) + TIME(7,53,34)</f>
        <v>41550.328865740739</v>
      </c>
      <c r="C1875">
        <v>80</v>
      </c>
      <c r="D1875">
        <v>79.867782593000001</v>
      </c>
      <c r="E1875">
        <v>50</v>
      </c>
      <c r="F1875">
        <v>41.252853393999999</v>
      </c>
      <c r="G1875">
        <v>1316.7084961</v>
      </c>
      <c r="H1875">
        <v>1310.8192139</v>
      </c>
      <c r="I1875">
        <v>1368.097168</v>
      </c>
      <c r="J1875">
        <v>1356.4976807</v>
      </c>
      <c r="K1875">
        <v>0</v>
      </c>
      <c r="L1875">
        <v>1215</v>
      </c>
      <c r="M1875">
        <v>1215</v>
      </c>
      <c r="N1875">
        <v>0</v>
      </c>
    </row>
    <row r="1876" spans="1:14" x14ac:dyDescent="0.25">
      <c r="A1876">
        <v>1251.4595879999999</v>
      </c>
      <c r="B1876" s="1">
        <f>DATE(2013,10,3) + TIME(11,1,48)</f>
        <v>41550.459583333337</v>
      </c>
      <c r="C1876">
        <v>80</v>
      </c>
      <c r="D1876">
        <v>79.847122192</v>
      </c>
      <c r="E1876">
        <v>50</v>
      </c>
      <c r="F1876">
        <v>41.905029296999999</v>
      </c>
      <c r="G1876">
        <v>1316.6857910000001</v>
      </c>
      <c r="H1876">
        <v>1310.7958983999999</v>
      </c>
      <c r="I1876">
        <v>1367.9432373</v>
      </c>
      <c r="J1876">
        <v>1356.4471435999999</v>
      </c>
      <c r="K1876">
        <v>0</v>
      </c>
      <c r="L1876">
        <v>1215</v>
      </c>
      <c r="M1876">
        <v>1215</v>
      </c>
      <c r="N1876">
        <v>0</v>
      </c>
    </row>
    <row r="1877" spans="1:14" x14ac:dyDescent="0.25">
      <c r="A1877">
        <v>1251.598559</v>
      </c>
      <c r="B1877" s="1">
        <f>DATE(2013,10,3) + TIME(14,21,55)</f>
        <v>41550.598553240743</v>
      </c>
      <c r="C1877">
        <v>80</v>
      </c>
      <c r="D1877">
        <v>79.825622558999996</v>
      </c>
      <c r="E1877">
        <v>50</v>
      </c>
      <c r="F1877">
        <v>42.545230865000001</v>
      </c>
      <c r="G1877">
        <v>1316.6796875</v>
      </c>
      <c r="H1877">
        <v>1310.7890625</v>
      </c>
      <c r="I1877">
        <v>1367.7972411999999</v>
      </c>
      <c r="J1877">
        <v>1356.4003906</v>
      </c>
      <c r="K1877">
        <v>0</v>
      </c>
      <c r="L1877">
        <v>1215</v>
      </c>
      <c r="M1877">
        <v>1215</v>
      </c>
      <c r="N1877">
        <v>0</v>
      </c>
    </row>
    <row r="1878" spans="1:14" x14ac:dyDescent="0.25">
      <c r="A1878">
        <v>1251.7469390000001</v>
      </c>
      <c r="B1878" s="1">
        <f>DATE(2013,10,3) + TIME(17,55,35)</f>
        <v>41550.746932870374</v>
      </c>
      <c r="C1878">
        <v>80</v>
      </c>
      <c r="D1878">
        <v>79.803184509000005</v>
      </c>
      <c r="E1878">
        <v>50</v>
      </c>
      <c r="F1878">
        <v>43.172767639</v>
      </c>
      <c r="G1878">
        <v>1316.6765137</v>
      </c>
      <c r="H1878">
        <v>1310.7852783000001</v>
      </c>
      <c r="I1878">
        <v>1367.6578368999999</v>
      </c>
      <c r="J1878">
        <v>1356.3563231999999</v>
      </c>
      <c r="K1878">
        <v>0</v>
      </c>
      <c r="L1878">
        <v>1215</v>
      </c>
      <c r="M1878">
        <v>1215</v>
      </c>
      <c r="N1878">
        <v>0</v>
      </c>
    </row>
    <row r="1879" spans="1:14" x14ac:dyDescent="0.25">
      <c r="A1879">
        <v>1251.9061380000001</v>
      </c>
      <c r="B1879" s="1">
        <f>DATE(2013,10,3) + TIME(21,44,50)</f>
        <v>41550.906134259261</v>
      </c>
      <c r="C1879">
        <v>80</v>
      </c>
      <c r="D1879">
        <v>79.779655457000004</v>
      </c>
      <c r="E1879">
        <v>50</v>
      </c>
      <c r="F1879">
        <v>43.786853790000002</v>
      </c>
      <c r="G1879">
        <v>1316.6738281</v>
      </c>
      <c r="H1879">
        <v>1310.7819824000001</v>
      </c>
      <c r="I1879">
        <v>1367.5236815999999</v>
      </c>
      <c r="J1879">
        <v>1356.3134766000001</v>
      </c>
      <c r="K1879">
        <v>0</v>
      </c>
      <c r="L1879">
        <v>1215</v>
      </c>
      <c r="M1879">
        <v>1215</v>
      </c>
      <c r="N1879">
        <v>0</v>
      </c>
    </row>
    <row r="1880" spans="1:14" x14ac:dyDescent="0.25">
      <c r="A1880">
        <v>1252.077892</v>
      </c>
      <c r="B1880" s="1">
        <f>DATE(2013,10,4) + TIME(1,52,9)</f>
        <v>41551.077881944446</v>
      </c>
      <c r="C1880">
        <v>80</v>
      </c>
      <c r="D1880">
        <v>79.754867554</v>
      </c>
      <c r="E1880">
        <v>50</v>
      </c>
      <c r="F1880">
        <v>44.386573792</v>
      </c>
      <c r="G1880">
        <v>1316.6710204999999</v>
      </c>
      <c r="H1880">
        <v>1310.7785644999999</v>
      </c>
      <c r="I1880">
        <v>1367.3939209</v>
      </c>
      <c r="J1880">
        <v>1356.2712402</v>
      </c>
      <c r="K1880">
        <v>0</v>
      </c>
      <c r="L1880">
        <v>1215</v>
      </c>
      <c r="M1880">
        <v>1215</v>
      </c>
      <c r="N1880">
        <v>0</v>
      </c>
    </row>
    <row r="1881" spans="1:14" x14ac:dyDescent="0.25">
      <c r="A1881">
        <v>1252.264373</v>
      </c>
      <c r="B1881" s="1">
        <f>DATE(2013,10,4) + TIME(6,20,41)</f>
        <v>41551.264363425929</v>
      </c>
      <c r="C1881">
        <v>80</v>
      </c>
      <c r="D1881">
        <v>79.728607178000004</v>
      </c>
      <c r="E1881">
        <v>50</v>
      </c>
      <c r="F1881">
        <v>44.970867157000001</v>
      </c>
      <c r="G1881">
        <v>1316.6679687999999</v>
      </c>
      <c r="H1881">
        <v>1310.7747803</v>
      </c>
      <c r="I1881">
        <v>1367.2684326000001</v>
      </c>
      <c r="J1881">
        <v>1356.2293701000001</v>
      </c>
      <c r="K1881">
        <v>0</v>
      </c>
      <c r="L1881">
        <v>1215</v>
      </c>
      <c r="M1881">
        <v>1215</v>
      </c>
      <c r="N1881">
        <v>0</v>
      </c>
    </row>
    <row r="1882" spans="1:14" x14ac:dyDescent="0.25">
      <c r="A1882">
        <v>1252.468316</v>
      </c>
      <c r="B1882" s="1">
        <f>DATE(2013,10,4) + TIME(11,14,22)</f>
        <v>41551.468310185184</v>
      </c>
      <c r="C1882">
        <v>80</v>
      </c>
      <c r="D1882">
        <v>79.700622558999996</v>
      </c>
      <c r="E1882">
        <v>50</v>
      </c>
      <c r="F1882">
        <v>45.538402556999998</v>
      </c>
      <c r="G1882">
        <v>1316.6647949000001</v>
      </c>
      <c r="H1882">
        <v>1310.770874</v>
      </c>
      <c r="I1882">
        <v>1367.1467285000001</v>
      </c>
      <c r="J1882">
        <v>1356.1875</v>
      </c>
      <c r="K1882">
        <v>0</v>
      </c>
      <c r="L1882">
        <v>1215</v>
      </c>
      <c r="M1882">
        <v>1215</v>
      </c>
      <c r="N1882">
        <v>0</v>
      </c>
    </row>
    <row r="1883" spans="1:14" x14ac:dyDescent="0.25">
      <c r="A1883">
        <v>1252.693295</v>
      </c>
      <c r="B1883" s="1">
        <f>DATE(2013,10,4) + TIME(16,38,20)</f>
        <v>41551.693287037036</v>
      </c>
      <c r="C1883">
        <v>80</v>
      </c>
      <c r="D1883">
        <v>79.670578003000003</v>
      </c>
      <c r="E1883">
        <v>50</v>
      </c>
      <c r="F1883">
        <v>46.087711333999998</v>
      </c>
      <c r="G1883">
        <v>1316.6611327999999</v>
      </c>
      <c r="H1883">
        <v>1310.7664795000001</v>
      </c>
      <c r="I1883">
        <v>1367.0285644999999</v>
      </c>
      <c r="J1883">
        <v>1356.1453856999999</v>
      </c>
      <c r="K1883">
        <v>0</v>
      </c>
      <c r="L1883">
        <v>1215</v>
      </c>
      <c r="M1883">
        <v>1215</v>
      </c>
      <c r="N1883">
        <v>0</v>
      </c>
    </row>
    <row r="1884" spans="1:14" x14ac:dyDescent="0.25">
      <c r="A1884">
        <v>1252.944072</v>
      </c>
      <c r="B1884" s="1">
        <f>DATE(2013,10,4) + TIME(22,39,27)</f>
        <v>41551.944062499999</v>
      </c>
      <c r="C1884">
        <v>80</v>
      </c>
      <c r="D1884">
        <v>79.638038635000001</v>
      </c>
      <c r="E1884">
        <v>50</v>
      </c>
      <c r="F1884">
        <v>46.617073058999999</v>
      </c>
      <c r="G1884">
        <v>1316.6572266000001</v>
      </c>
      <c r="H1884">
        <v>1310.7617187999999</v>
      </c>
      <c r="I1884">
        <v>1366.9136963000001</v>
      </c>
      <c r="J1884">
        <v>1356.1025391000001</v>
      </c>
      <c r="K1884">
        <v>0</v>
      </c>
      <c r="L1884">
        <v>1215</v>
      </c>
      <c r="M1884">
        <v>1215</v>
      </c>
      <c r="N1884">
        <v>0</v>
      </c>
    </row>
    <row r="1885" spans="1:14" x14ac:dyDescent="0.25">
      <c r="A1885">
        <v>1253.2271069999999</v>
      </c>
      <c r="B1885" s="1">
        <f>DATE(2013,10,5) + TIME(5,27,2)</f>
        <v>41552.227106481485</v>
      </c>
      <c r="C1885">
        <v>80</v>
      </c>
      <c r="D1885">
        <v>79.602432250999996</v>
      </c>
      <c r="E1885">
        <v>50</v>
      </c>
      <c r="F1885">
        <v>47.124347686999997</v>
      </c>
      <c r="G1885">
        <v>1316.6527100000001</v>
      </c>
      <c r="H1885">
        <v>1310.7563477000001</v>
      </c>
      <c r="I1885">
        <v>1366.8017577999999</v>
      </c>
      <c r="J1885">
        <v>1356.0587158000001</v>
      </c>
      <c r="K1885">
        <v>0</v>
      </c>
      <c r="L1885">
        <v>1215</v>
      </c>
      <c r="M1885">
        <v>1215</v>
      </c>
      <c r="N1885">
        <v>0</v>
      </c>
    </row>
    <row r="1886" spans="1:14" x14ac:dyDescent="0.25">
      <c r="A1886">
        <v>1253.5514800000001</v>
      </c>
      <c r="B1886" s="1">
        <f>DATE(2013,10,5) + TIME(13,14,7)</f>
        <v>41552.551469907405</v>
      </c>
      <c r="C1886">
        <v>80</v>
      </c>
      <c r="D1886">
        <v>79.562973021999994</v>
      </c>
      <c r="E1886">
        <v>50</v>
      </c>
      <c r="F1886">
        <v>47.606899261000002</v>
      </c>
      <c r="G1886">
        <v>1316.6477050999999</v>
      </c>
      <c r="H1886">
        <v>1310.7503661999999</v>
      </c>
      <c r="I1886">
        <v>1366.6923827999999</v>
      </c>
      <c r="J1886">
        <v>1356.0133057</v>
      </c>
      <c r="K1886">
        <v>0</v>
      </c>
      <c r="L1886">
        <v>1215</v>
      </c>
      <c r="M1886">
        <v>1215</v>
      </c>
      <c r="N1886">
        <v>0</v>
      </c>
    </row>
    <row r="1887" spans="1:14" x14ac:dyDescent="0.25">
      <c r="A1887">
        <v>1253.9304589999999</v>
      </c>
      <c r="B1887" s="1">
        <f>DATE(2013,10,5) + TIME(22,19,51)</f>
        <v>41552.930451388886</v>
      </c>
      <c r="C1887">
        <v>80</v>
      </c>
      <c r="D1887">
        <v>79.518562317000004</v>
      </c>
      <c r="E1887">
        <v>50</v>
      </c>
      <c r="F1887">
        <v>48.061458588000001</v>
      </c>
      <c r="G1887">
        <v>1316.6419678</v>
      </c>
      <c r="H1887">
        <v>1310.7435303</v>
      </c>
      <c r="I1887">
        <v>1366.5850829999999</v>
      </c>
      <c r="J1887">
        <v>1355.9656981999999</v>
      </c>
      <c r="K1887">
        <v>0</v>
      </c>
      <c r="L1887">
        <v>1215</v>
      </c>
      <c r="M1887">
        <v>1215</v>
      </c>
      <c r="N1887">
        <v>0</v>
      </c>
    </row>
    <row r="1888" spans="1:14" x14ac:dyDescent="0.25">
      <c r="A1888">
        <v>1254.3843830000001</v>
      </c>
      <c r="B1888" s="1">
        <f>DATE(2013,10,6) + TIME(9,13,30)</f>
        <v>41553.384375000001</v>
      </c>
      <c r="C1888">
        <v>80</v>
      </c>
      <c r="D1888">
        <v>79.467597960999996</v>
      </c>
      <c r="E1888">
        <v>50</v>
      </c>
      <c r="F1888">
        <v>48.483871460000003</v>
      </c>
      <c r="G1888">
        <v>1316.6352539</v>
      </c>
      <c r="H1888">
        <v>1310.7354736</v>
      </c>
      <c r="I1888">
        <v>1366.4792480000001</v>
      </c>
      <c r="J1888">
        <v>1355.9149170000001</v>
      </c>
      <c r="K1888">
        <v>0</v>
      </c>
      <c r="L1888">
        <v>1215</v>
      </c>
      <c r="M1888">
        <v>1215</v>
      </c>
      <c r="N1888">
        <v>0</v>
      </c>
    </row>
    <row r="1889" spans="1:14" x14ac:dyDescent="0.25">
      <c r="A1889">
        <v>1254.8781019999999</v>
      </c>
      <c r="B1889" s="1">
        <f>DATE(2013,10,6) + TIME(21,4,28)</f>
        <v>41553.878101851849</v>
      </c>
      <c r="C1889">
        <v>80</v>
      </c>
      <c r="D1889">
        <v>79.413299561000002</v>
      </c>
      <c r="E1889">
        <v>50</v>
      </c>
      <c r="F1889">
        <v>48.833263397000003</v>
      </c>
      <c r="G1889">
        <v>1316.6269531</v>
      </c>
      <c r="H1889">
        <v>1310.7260742000001</v>
      </c>
      <c r="I1889">
        <v>1366.3836670000001</v>
      </c>
      <c r="J1889">
        <v>1355.8635254000001</v>
      </c>
      <c r="K1889">
        <v>0</v>
      </c>
      <c r="L1889">
        <v>1215</v>
      </c>
      <c r="M1889">
        <v>1215</v>
      </c>
      <c r="N1889">
        <v>0</v>
      </c>
    </row>
    <row r="1890" spans="1:14" x14ac:dyDescent="0.25">
      <c r="A1890">
        <v>1255.3817079999999</v>
      </c>
      <c r="B1890" s="1">
        <f>DATE(2013,10,7) + TIME(9,9,39)</f>
        <v>41554.381701388891</v>
      </c>
      <c r="C1890">
        <v>80</v>
      </c>
      <c r="D1890">
        <v>79.358215332</v>
      </c>
      <c r="E1890">
        <v>50</v>
      </c>
      <c r="F1890">
        <v>49.102870940999999</v>
      </c>
      <c r="G1890">
        <v>1316.6179199000001</v>
      </c>
      <c r="H1890">
        <v>1310.7158202999999</v>
      </c>
      <c r="I1890">
        <v>1366.3004149999999</v>
      </c>
      <c r="J1890">
        <v>1355.8137207</v>
      </c>
      <c r="K1890">
        <v>0</v>
      </c>
      <c r="L1890">
        <v>1215</v>
      </c>
      <c r="M1890">
        <v>1215</v>
      </c>
      <c r="N1890">
        <v>0</v>
      </c>
    </row>
    <row r="1891" spans="1:14" x14ac:dyDescent="0.25">
      <c r="A1891">
        <v>1255.9060489999999</v>
      </c>
      <c r="B1891" s="1">
        <f>DATE(2013,10,7) + TIME(21,44,42)</f>
        <v>41554.906041666669</v>
      </c>
      <c r="C1891">
        <v>80</v>
      </c>
      <c r="D1891">
        <v>79.301528931000007</v>
      </c>
      <c r="E1891">
        <v>50</v>
      </c>
      <c r="F1891">
        <v>49.313072204999997</v>
      </c>
      <c r="G1891">
        <v>1316.6086425999999</v>
      </c>
      <c r="H1891">
        <v>1310.7053223</v>
      </c>
      <c r="I1891">
        <v>1366.2260742000001</v>
      </c>
      <c r="J1891">
        <v>1355.7662353999999</v>
      </c>
      <c r="K1891">
        <v>0</v>
      </c>
      <c r="L1891">
        <v>1215</v>
      </c>
      <c r="M1891">
        <v>1215</v>
      </c>
      <c r="N1891">
        <v>0</v>
      </c>
    </row>
    <row r="1892" spans="1:14" x14ac:dyDescent="0.25">
      <c r="A1892">
        <v>1256.458059</v>
      </c>
      <c r="B1892" s="1">
        <f>DATE(2013,10,8) + TIME(10,59,36)</f>
        <v>41555.458055555559</v>
      </c>
      <c r="C1892">
        <v>80</v>
      </c>
      <c r="D1892">
        <v>79.242736816000004</v>
      </c>
      <c r="E1892">
        <v>50</v>
      </c>
      <c r="F1892">
        <v>49.476623535000002</v>
      </c>
      <c r="G1892">
        <v>1316.598999</v>
      </c>
      <c r="H1892">
        <v>1310.6943358999999</v>
      </c>
      <c r="I1892">
        <v>1366.1586914</v>
      </c>
      <c r="J1892">
        <v>1355.7199707</v>
      </c>
      <c r="K1892">
        <v>0</v>
      </c>
      <c r="L1892">
        <v>1215</v>
      </c>
      <c r="M1892">
        <v>1215</v>
      </c>
      <c r="N1892">
        <v>0</v>
      </c>
    </row>
    <row r="1893" spans="1:14" x14ac:dyDescent="0.25">
      <c r="A1893">
        <v>1257.0459490000001</v>
      </c>
      <c r="B1893" s="1">
        <f>DATE(2013,10,9) + TIME(1,6,9)</f>
        <v>41556.045937499999</v>
      </c>
      <c r="C1893">
        <v>80</v>
      </c>
      <c r="D1893">
        <v>79.181236267000003</v>
      </c>
      <c r="E1893">
        <v>50</v>
      </c>
      <c r="F1893">
        <v>49.603267670000001</v>
      </c>
      <c r="G1893">
        <v>1316.5888672000001</v>
      </c>
      <c r="H1893">
        <v>1310.6827393000001</v>
      </c>
      <c r="I1893">
        <v>1366.0963135</v>
      </c>
      <c r="J1893">
        <v>1355.6746826000001</v>
      </c>
      <c r="K1893">
        <v>0</v>
      </c>
      <c r="L1893">
        <v>1215</v>
      </c>
      <c r="M1893">
        <v>1215</v>
      </c>
      <c r="N1893">
        <v>0</v>
      </c>
    </row>
    <row r="1894" spans="1:14" x14ac:dyDescent="0.25">
      <c r="A1894">
        <v>1257.6796449999999</v>
      </c>
      <c r="B1894" s="1">
        <f>DATE(2013,10,9) + TIME(16,18,41)</f>
        <v>41556.6796412037</v>
      </c>
      <c r="C1894">
        <v>80</v>
      </c>
      <c r="D1894">
        <v>79.116310119999994</v>
      </c>
      <c r="E1894">
        <v>50</v>
      </c>
      <c r="F1894">
        <v>49.70054245</v>
      </c>
      <c r="G1894">
        <v>1316.5780029</v>
      </c>
      <c r="H1894">
        <v>1310.6702881000001</v>
      </c>
      <c r="I1894">
        <v>1366.0375977000001</v>
      </c>
      <c r="J1894">
        <v>1355.6297606999999</v>
      </c>
      <c r="K1894">
        <v>0</v>
      </c>
      <c r="L1894">
        <v>1215</v>
      </c>
      <c r="M1894">
        <v>1215</v>
      </c>
      <c r="N1894">
        <v>0</v>
      </c>
    </row>
    <row r="1895" spans="1:14" x14ac:dyDescent="0.25">
      <c r="A1895">
        <v>1258.3716429999999</v>
      </c>
      <c r="B1895" s="1">
        <f>DATE(2013,10,10) + TIME(8,55,9)</f>
        <v>41557.371631944443</v>
      </c>
      <c r="C1895">
        <v>80</v>
      </c>
      <c r="D1895">
        <v>79.047058105000005</v>
      </c>
      <c r="E1895">
        <v>50</v>
      </c>
      <c r="F1895">
        <v>49.774394989000001</v>
      </c>
      <c r="G1895">
        <v>1316.5661620999999</v>
      </c>
      <c r="H1895">
        <v>1310.6569824000001</v>
      </c>
      <c r="I1895">
        <v>1365.9813231999999</v>
      </c>
      <c r="J1895">
        <v>1355.5848389</v>
      </c>
      <c r="K1895">
        <v>0</v>
      </c>
      <c r="L1895">
        <v>1215</v>
      </c>
      <c r="M1895">
        <v>1215</v>
      </c>
      <c r="N1895">
        <v>0</v>
      </c>
    </row>
    <row r="1896" spans="1:14" x14ac:dyDescent="0.25">
      <c r="A1896">
        <v>1259.1352979999999</v>
      </c>
      <c r="B1896" s="1">
        <f>DATE(2013,10,11) + TIME(3,14,49)</f>
        <v>41558.135289351849</v>
      </c>
      <c r="C1896">
        <v>80</v>
      </c>
      <c r="D1896">
        <v>78.972564696999996</v>
      </c>
      <c r="E1896">
        <v>50</v>
      </c>
      <c r="F1896">
        <v>49.8294487</v>
      </c>
      <c r="G1896">
        <v>1316.5533447</v>
      </c>
      <c r="H1896">
        <v>1310.6422118999999</v>
      </c>
      <c r="I1896">
        <v>1365.9266356999999</v>
      </c>
      <c r="J1896">
        <v>1355.5391846</v>
      </c>
      <c r="K1896">
        <v>0</v>
      </c>
      <c r="L1896">
        <v>1215</v>
      </c>
      <c r="M1896">
        <v>1215</v>
      </c>
      <c r="N1896">
        <v>0</v>
      </c>
    </row>
    <row r="1897" spans="1:14" x14ac:dyDescent="0.25">
      <c r="A1897">
        <v>1259.974215</v>
      </c>
      <c r="B1897" s="1">
        <f>DATE(2013,10,11) + TIME(23,22,52)</f>
        <v>41558.974212962959</v>
      </c>
      <c r="C1897">
        <v>80</v>
      </c>
      <c r="D1897">
        <v>78.892578125</v>
      </c>
      <c r="E1897">
        <v>50</v>
      </c>
      <c r="F1897">
        <v>49.869174956999998</v>
      </c>
      <c r="G1897">
        <v>1316.5390625</v>
      </c>
      <c r="H1897">
        <v>1310.6260986</v>
      </c>
      <c r="I1897">
        <v>1365.8724365</v>
      </c>
      <c r="J1897">
        <v>1355.4927978999999</v>
      </c>
      <c r="K1897">
        <v>0</v>
      </c>
      <c r="L1897">
        <v>1215</v>
      </c>
      <c r="M1897">
        <v>1215</v>
      </c>
      <c r="N1897">
        <v>0</v>
      </c>
    </row>
    <row r="1898" spans="1:14" x14ac:dyDescent="0.25">
      <c r="A1898">
        <v>1260.910965</v>
      </c>
      <c r="B1898" s="1">
        <f>DATE(2013,10,12) + TIME(21,51,47)</f>
        <v>41559.910960648151</v>
      </c>
      <c r="C1898">
        <v>80</v>
      </c>
      <c r="D1898">
        <v>78.805694579999994</v>
      </c>
      <c r="E1898">
        <v>50</v>
      </c>
      <c r="F1898">
        <v>49.897335052000003</v>
      </c>
      <c r="G1898">
        <v>1316.5231934000001</v>
      </c>
      <c r="H1898">
        <v>1310.6081543</v>
      </c>
      <c r="I1898">
        <v>1365.8186035000001</v>
      </c>
      <c r="J1898">
        <v>1355.4455565999999</v>
      </c>
      <c r="K1898">
        <v>0</v>
      </c>
      <c r="L1898">
        <v>1215</v>
      </c>
      <c r="M1898">
        <v>1215</v>
      </c>
      <c r="N1898">
        <v>0</v>
      </c>
    </row>
    <row r="1899" spans="1:14" x14ac:dyDescent="0.25">
      <c r="A1899">
        <v>1261.9272570000001</v>
      </c>
      <c r="B1899" s="1">
        <f>DATE(2013,10,13) + TIME(22,15,15)</f>
        <v>41560.927256944444</v>
      </c>
      <c r="C1899">
        <v>80</v>
      </c>
      <c r="D1899">
        <v>78.712882996000005</v>
      </c>
      <c r="E1899">
        <v>50</v>
      </c>
      <c r="F1899">
        <v>49.916282654</v>
      </c>
      <c r="G1899">
        <v>1316.5054932</v>
      </c>
      <c r="H1899">
        <v>1310.5880127</v>
      </c>
      <c r="I1899">
        <v>1365.7640381000001</v>
      </c>
      <c r="J1899">
        <v>1355.3969727000001</v>
      </c>
      <c r="K1899">
        <v>0</v>
      </c>
      <c r="L1899">
        <v>1215</v>
      </c>
      <c r="M1899">
        <v>1215</v>
      </c>
      <c r="N1899">
        <v>0</v>
      </c>
    </row>
    <row r="1900" spans="1:14" x14ac:dyDescent="0.25">
      <c r="A1900">
        <v>1262.961507</v>
      </c>
      <c r="B1900" s="1">
        <f>DATE(2013,10,14) + TIME(23,4,34)</f>
        <v>41561.961504629631</v>
      </c>
      <c r="C1900">
        <v>80</v>
      </c>
      <c r="D1900">
        <v>78.617782593000001</v>
      </c>
      <c r="E1900">
        <v>50</v>
      </c>
      <c r="F1900">
        <v>49.928260803000001</v>
      </c>
      <c r="G1900">
        <v>1316.4858397999999</v>
      </c>
      <c r="H1900">
        <v>1310.5661620999999</v>
      </c>
      <c r="I1900">
        <v>1365.7103271000001</v>
      </c>
      <c r="J1900">
        <v>1355.3485106999999</v>
      </c>
      <c r="K1900">
        <v>0</v>
      </c>
      <c r="L1900">
        <v>1215</v>
      </c>
      <c r="M1900">
        <v>1215</v>
      </c>
      <c r="N1900">
        <v>0</v>
      </c>
    </row>
    <row r="1901" spans="1:14" x14ac:dyDescent="0.25">
      <c r="A1901">
        <v>1264.0334760000001</v>
      </c>
      <c r="B1901" s="1">
        <f>DATE(2013,10,16) + TIME(0,48,12)</f>
        <v>41563.033472222225</v>
      </c>
      <c r="C1901">
        <v>80</v>
      </c>
      <c r="D1901">
        <v>78.520187378000003</v>
      </c>
      <c r="E1901">
        <v>50</v>
      </c>
      <c r="F1901">
        <v>49.935955047999997</v>
      </c>
      <c r="G1901">
        <v>1316.4658202999999</v>
      </c>
      <c r="H1901">
        <v>1310.543457</v>
      </c>
      <c r="I1901">
        <v>1365.6599120999999</v>
      </c>
      <c r="J1901">
        <v>1355.3031006000001</v>
      </c>
      <c r="K1901">
        <v>0</v>
      </c>
      <c r="L1901">
        <v>1215</v>
      </c>
      <c r="M1901">
        <v>1215</v>
      </c>
      <c r="N1901">
        <v>0</v>
      </c>
    </row>
    <row r="1902" spans="1:14" x14ac:dyDescent="0.25">
      <c r="A1902">
        <v>1265.1625140000001</v>
      </c>
      <c r="B1902" s="1">
        <f>DATE(2013,10,17) + TIME(3,54,1)</f>
        <v>41564.162511574075</v>
      </c>
      <c r="C1902">
        <v>80</v>
      </c>
      <c r="D1902">
        <v>78.419410705999994</v>
      </c>
      <c r="E1902">
        <v>50</v>
      </c>
      <c r="F1902">
        <v>49.940952301000003</v>
      </c>
      <c r="G1902">
        <v>1316.4448242000001</v>
      </c>
      <c r="H1902">
        <v>1310.5196533000001</v>
      </c>
      <c r="I1902">
        <v>1365.6115723</v>
      </c>
      <c r="J1902">
        <v>1355.2595214999999</v>
      </c>
      <c r="K1902">
        <v>0</v>
      </c>
      <c r="L1902">
        <v>1215</v>
      </c>
      <c r="M1902">
        <v>1215</v>
      </c>
      <c r="N1902">
        <v>0</v>
      </c>
    </row>
    <row r="1903" spans="1:14" x14ac:dyDescent="0.25">
      <c r="A1903">
        <v>1266.356149</v>
      </c>
      <c r="B1903" s="1">
        <f>DATE(2013,10,18) + TIME(8,32,51)</f>
        <v>41565.356145833335</v>
      </c>
      <c r="C1903">
        <v>80</v>
      </c>
      <c r="D1903">
        <v>78.315147400000001</v>
      </c>
      <c r="E1903">
        <v>50</v>
      </c>
      <c r="F1903">
        <v>49.944198608000001</v>
      </c>
      <c r="G1903">
        <v>1316.4226074000001</v>
      </c>
      <c r="H1903">
        <v>1310.4943848</v>
      </c>
      <c r="I1903">
        <v>1365.5642089999999</v>
      </c>
      <c r="J1903">
        <v>1355.2169189000001</v>
      </c>
      <c r="K1903">
        <v>0</v>
      </c>
      <c r="L1903">
        <v>1215</v>
      </c>
      <c r="M1903">
        <v>1215</v>
      </c>
      <c r="N1903">
        <v>0</v>
      </c>
    </row>
    <row r="1904" spans="1:14" x14ac:dyDescent="0.25">
      <c r="A1904">
        <v>1267.62284</v>
      </c>
      <c r="B1904" s="1">
        <f>DATE(2013,10,19) + TIME(14,56,53)</f>
        <v>41566.622835648152</v>
      </c>
      <c r="C1904">
        <v>80</v>
      </c>
      <c r="D1904">
        <v>78.207023621000005</v>
      </c>
      <c r="E1904">
        <v>50</v>
      </c>
      <c r="F1904">
        <v>49.946315765000001</v>
      </c>
      <c r="G1904">
        <v>1316.3988036999999</v>
      </c>
      <c r="H1904">
        <v>1310.4672852000001</v>
      </c>
      <c r="I1904">
        <v>1365.5175781</v>
      </c>
      <c r="J1904">
        <v>1355.1750488</v>
      </c>
      <c r="K1904">
        <v>0</v>
      </c>
      <c r="L1904">
        <v>1215</v>
      </c>
      <c r="M1904">
        <v>1215</v>
      </c>
      <c r="N1904">
        <v>0</v>
      </c>
    </row>
    <row r="1905" spans="1:14" x14ac:dyDescent="0.25">
      <c r="A1905">
        <v>1268.98595</v>
      </c>
      <c r="B1905" s="1">
        <f>DATE(2013,10,20) + TIME(23,39,46)</f>
        <v>41567.985949074071</v>
      </c>
      <c r="C1905">
        <v>80</v>
      </c>
      <c r="D1905">
        <v>78.093955993999998</v>
      </c>
      <c r="E1905">
        <v>50</v>
      </c>
      <c r="F1905">
        <v>49.947719573999997</v>
      </c>
      <c r="G1905">
        <v>1316.3731689000001</v>
      </c>
      <c r="H1905">
        <v>1310.4379882999999</v>
      </c>
      <c r="I1905">
        <v>1365.4714355000001</v>
      </c>
      <c r="J1905">
        <v>1355.1337891000001</v>
      </c>
      <c r="K1905">
        <v>0</v>
      </c>
      <c r="L1905">
        <v>1215</v>
      </c>
      <c r="M1905">
        <v>1215</v>
      </c>
      <c r="N1905">
        <v>0</v>
      </c>
    </row>
    <row r="1906" spans="1:14" x14ac:dyDescent="0.25">
      <c r="A1906">
        <v>1270.4741799999999</v>
      </c>
      <c r="B1906" s="1">
        <f>DATE(2013,10,22) + TIME(11,22,49)</f>
        <v>41569.474178240744</v>
      </c>
      <c r="C1906">
        <v>80</v>
      </c>
      <c r="D1906">
        <v>77.974502563000001</v>
      </c>
      <c r="E1906">
        <v>50</v>
      </c>
      <c r="F1906">
        <v>49.948657990000001</v>
      </c>
      <c r="G1906">
        <v>1316.3453368999999</v>
      </c>
      <c r="H1906">
        <v>1310.4060059000001</v>
      </c>
      <c r="I1906">
        <v>1365.4249268000001</v>
      </c>
      <c r="J1906">
        <v>1355.0925293</v>
      </c>
      <c r="K1906">
        <v>0</v>
      </c>
      <c r="L1906">
        <v>1215</v>
      </c>
      <c r="M1906">
        <v>1215</v>
      </c>
      <c r="N1906">
        <v>0</v>
      </c>
    </row>
    <row r="1907" spans="1:14" x14ac:dyDescent="0.25">
      <c r="A1907">
        <v>1272.011354</v>
      </c>
      <c r="B1907" s="1">
        <f>DATE(2013,10,24) + TIME(0,16,20)</f>
        <v>41571.011342592596</v>
      </c>
      <c r="C1907">
        <v>80</v>
      </c>
      <c r="D1907">
        <v>77.851501464999998</v>
      </c>
      <c r="E1907">
        <v>50</v>
      </c>
      <c r="F1907">
        <v>49.949272155999999</v>
      </c>
      <c r="G1907">
        <v>1316.3143310999999</v>
      </c>
      <c r="H1907">
        <v>1310.3706055</v>
      </c>
      <c r="I1907">
        <v>1365.3775635</v>
      </c>
      <c r="J1907">
        <v>1355.0505370999999</v>
      </c>
      <c r="K1907">
        <v>0</v>
      </c>
      <c r="L1907">
        <v>1215</v>
      </c>
      <c r="M1907">
        <v>1215</v>
      </c>
      <c r="N1907">
        <v>0</v>
      </c>
    </row>
    <row r="1908" spans="1:14" x14ac:dyDescent="0.25">
      <c r="A1908">
        <v>1273.594343</v>
      </c>
      <c r="B1908" s="1">
        <f>DATE(2013,10,25) + TIME(14,15,51)</f>
        <v>41572.594340277778</v>
      </c>
      <c r="C1908">
        <v>80</v>
      </c>
      <c r="D1908">
        <v>77.726203917999996</v>
      </c>
      <c r="E1908">
        <v>50</v>
      </c>
      <c r="F1908">
        <v>49.949676513999997</v>
      </c>
      <c r="G1908">
        <v>1316.2816161999999</v>
      </c>
      <c r="H1908">
        <v>1310.3331298999999</v>
      </c>
      <c r="I1908">
        <v>1365.3316649999999</v>
      </c>
      <c r="J1908">
        <v>1355.0101318</v>
      </c>
      <c r="K1908">
        <v>0</v>
      </c>
      <c r="L1908">
        <v>1215</v>
      </c>
      <c r="M1908">
        <v>1215</v>
      </c>
      <c r="N1908">
        <v>0</v>
      </c>
    </row>
    <row r="1909" spans="1:14" x14ac:dyDescent="0.25">
      <c r="A1909">
        <v>1275.219235</v>
      </c>
      <c r="B1909" s="1">
        <f>DATE(2013,10,27) + TIME(5,15,41)</f>
        <v>41574.219224537039</v>
      </c>
      <c r="C1909">
        <v>80</v>
      </c>
      <c r="D1909">
        <v>77.599487304999997</v>
      </c>
      <c r="E1909">
        <v>50</v>
      </c>
      <c r="F1909">
        <v>49.949951171999999</v>
      </c>
      <c r="G1909">
        <v>1316.2474365</v>
      </c>
      <c r="H1909">
        <v>1310.293457</v>
      </c>
      <c r="I1909">
        <v>1365.2874756000001</v>
      </c>
      <c r="J1909">
        <v>1354.9714355000001</v>
      </c>
      <c r="K1909">
        <v>0</v>
      </c>
      <c r="L1909">
        <v>1215</v>
      </c>
      <c r="M1909">
        <v>1215</v>
      </c>
      <c r="N1909">
        <v>0</v>
      </c>
    </row>
    <row r="1910" spans="1:14" x14ac:dyDescent="0.25">
      <c r="A1910">
        <v>1276.865931</v>
      </c>
      <c r="B1910" s="1">
        <f>DATE(2013,10,28) + TIME(20,46,56)</f>
        <v>41575.865925925929</v>
      </c>
      <c r="C1910">
        <v>80</v>
      </c>
      <c r="D1910">
        <v>77.47265625</v>
      </c>
      <c r="E1910">
        <v>50</v>
      </c>
      <c r="F1910">
        <v>49.950145720999998</v>
      </c>
      <c r="G1910">
        <v>1316.2114257999999</v>
      </c>
      <c r="H1910">
        <v>1310.2518310999999</v>
      </c>
      <c r="I1910">
        <v>1365.244751</v>
      </c>
      <c r="J1910">
        <v>1354.934082</v>
      </c>
      <c r="K1910">
        <v>0</v>
      </c>
      <c r="L1910">
        <v>1215</v>
      </c>
      <c r="M1910">
        <v>1215</v>
      </c>
      <c r="N1910">
        <v>0</v>
      </c>
    </row>
    <row r="1911" spans="1:14" x14ac:dyDescent="0.25">
      <c r="A1911">
        <v>1278.5378049999999</v>
      </c>
      <c r="B1911" s="1">
        <f>DATE(2013,10,30) + TIME(12,54,26)</f>
        <v>41577.537800925929</v>
      </c>
      <c r="C1911">
        <v>80</v>
      </c>
      <c r="D1911">
        <v>77.346168517999999</v>
      </c>
      <c r="E1911">
        <v>50</v>
      </c>
      <c r="F1911">
        <v>49.950286865000002</v>
      </c>
      <c r="G1911">
        <v>1316.1743164</v>
      </c>
      <c r="H1911">
        <v>1310.208374</v>
      </c>
      <c r="I1911">
        <v>1365.2038574000001</v>
      </c>
      <c r="J1911">
        <v>1354.8985596</v>
      </c>
      <c r="K1911">
        <v>0</v>
      </c>
      <c r="L1911">
        <v>1215</v>
      </c>
      <c r="M1911">
        <v>1215</v>
      </c>
      <c r="N1911">
        <v>0</v>
      </c>
    </row>
    <row r="1912" spans="1:14" x14ac:dyDescent="0.25">
      <c r="A1912">
        <v>1280.2393500000001</v>
      </c>
      <c r="B1912" s="1">
        <f>DATE(2013,11,1) + TIME(5,44,39)</f>
        <v>41579.239340277774</v>
      </c>
      <c r="C1912">
        <v>80</v>
      </c>
      <c r="D1912">
        <v>77.220085143999995</v>
      </c>
      <c r="E1912">
        <v>50</v>
      </c>
      <c r="F1912">
        <v>49.950393677000001</v>
      </c>
      <c r="G1912">
        <v>1316.1357422000001</v>
      </c>
      <c r="H1912">
        <v>1310.1630858999999</v>
      </c>
      <c r="I1912">
        <v>1365.1646728999999</v>
      </c>
      <c r="J1912">
        <v>1354.864624</v>
      </c>
      <c r="K1912">
        <v>0</v>
      </c>
      <c r="L1912">
        <v>1215</v>
      </c>
      <c r="M1912">
        <v>1215</v>
      </c>
      <c r="N1912">
        <v>0</v>
      </c>
    </row>
    <row r="1913" spans="1:14" x14ac:dyDescent="0.25">
      <c r="A1913">
        <v>1281.974866</v>
      </c>
      <c r="B1913" s="1">
        <f>DATE(2013,11,2) + TIME(23,23,48)</f>
        <v>41580.974861111114</v>
      </c>
      <c r="C1913">
        <v>80</v>
      </c>
      <c r="D1913">
        <v>77.094306946000003</v>
      </c>
      <c r="E1913">
        <v>50</v>
      </c>
      <c r="F1913">
        <v>49.950481414999999</v>
      </c>
      <c r="G1913">
        <v>1316.0955810999999</v>
      </c>
      <c r="H1913">
        <v>1310.1156006000001</v>
      </c>
      <c r="I1913">
        <v>1365.1267089999999</v>
      </c>
      <c r="J1913">
        <v>1354.8320312000001</v>
      </c>
      <c r="K1913">
        <v>0</v>
      </c>
      <c r="L1913">
        <v>1215</v>
      </c>
      <c r="M1913">
        <v>1215</v>
      </c>
      <c r="N1913">
        <v>0</v>
      </c>
    </row>
    <row r="1914" spans="1:14" x14ac:dyDescent="0.25">
      <c r="A1914">
        <v>1283.74845</v>
      </c>
      <c r="B1914" s="1">
        <f>DATE(2013,11,4) + TIME(17,57,46)</f>
        <v>41582.748449074075</v>
      </c>
      <c r="C1914">
        <v>80</v>
      </c>
      <c r="D1914">
        <v>76.968635559000006</v>
      </c>
      <c r="E1914">
        <v>50</v>
      </c>
      <c r="F1914">
        <v>49.950553894000002</v>
      </c>
      <c r="G1914">
        <v>1316.0535889</v>
      </c>
      <c r="H1914">
        <v>1310.0657959</v>
      </c>
      <c r="I1914">
        <v>1365.0899658000001</v>
      </c>
      <c r="J1914">
        <v>1354.8004149999999</v>
      </c>
      <c r="K1914">
        <v>0</v>
      </c>
      <c r="L1914">
        <v>1215</v>
      </c>
      <c r="M1914">
        <v>1215</v>
      </c>
      <c r="N1914">
        <v>0</v>
      </c>
    </row>
    <row r="1915" spans="1:14" x14ac:dyDescent="0.25">
      <c r="A1915">
        <v>1285.564263</v>
      </c>
      <c r="B1915" s="1">
        <f>DATE(2013,11,6) + TIME(13,32,32)</f>
        <v>41584.564259259256</v>
      </c>
      <c r="C1915">
        <v>80</v>
      </c>
      <c r="D1915">
        <v>76.842842102000006</v>
      </c>
      <c r="E1915">
        <v>50</v>
      </c>
      <c r="F1915">
        <v>49.950618744000003</v>
      </c>
      <c r="G1915">
        <v>1316.0097656</v>
      </c>
      <c r="H1915">
        <v>1310.0133057</v>
      </c>
      <c r="I1915">
        <v>1365.0541992000001</v>
      </c>
      <c r="J1915">
        <v>1354.7697754000001</v>
      </c>
      <c r="K1915">
        <v>0</v>
      </c>
      <c r="L1915">
        <v>1215</v>
      </c>
      <c r="M1915">
        <v>1215</v>
      </c>
      <c r="N1915">
        <v>0</v>
      </c>
    </row>
    <row r="1916" spans="1:14" x14ac:dyDescent="0.25">
      <c r="A1916">
        <v>1287.426604</v>
      </c>
      <c r="B1916" s="1">
        <f>DATE(2013,11,8) + TIME(10,14,18)</f>
        <v>41586.42659722222</v>
      </c>
      <c r="C1916">
        <v>80</v>
      </c>
      <c r="D1916">
        <v>76.716674804999997</v>
      </c>
      <c r="E1916">
        <v>50</v>
      </c>
      <c r="F1916">
        <v>49.950675963999998</v>
      </c>
      <c r="G1916">
        <v>1315.9637451000001</v>
      </c>
      <c r="H1916">
        <v>1309.9580077999999</v>
      </c>
      <c r="I1916">
        <v>1365.0191649999999</v>
      </c>
      <c r="J1916">
        <v>1354.7399902</v>
      </c>
      <c r="K1916">
        <v>0</v>
      </c>
      <c r="L1916">
        <v>1215</v>
      </c>
      <c r="M1916">
        <v>1215</v>
      </c>
      <c r="N1916">
        <v>0</v>
      </c>
    </row>
    <row r="1917" spans="1:14" x14ac:dyDescent="0.25">
      <c r="A1917">
        <v>1289.339974</v>
      </c>
      <c r="B1917" s="1">
        <f>DATE(2013,11,10) + TIME(8,9,33)</f>
        <v>41588.339965277781</v>
      </c>
      <c r="C1917">
        <v>80</v>
      </c>
      <c r="D1917">
        <v>76.589889525999993</v>
      </c>
      <c r="E1917">
        <v>50</v>
      </c>
      <c r="F1917">
        <v>49.950733184999997</v>
      </c>
      <c r="G1917">
        <v>1315.9152832</v>
      </c>
      <c r="H1917">
        <v>1309.8995361</v>
      </c>
      <c r="I1917">
        <v>1364.9848632999999</v>
      </c>
      <c r="J1917">
        <v>1354.7108154</v>
      </c>
      <c r="K1917">
        <v>0</v>
      </c>
      <c r="L1917">
        <v>1215</v>
      </c>
      <c r="M1917">
        <v>1215</v>
      </c>
      <c r="N1917">
        <v>0</v>
      </c>
    </row>
    <row r="1918" spans="1:14" x14ac:dyDescent="0.25">
      <c r="A1918">
        <v>1291.3059800000001</v>
      </c>
      <c r="B1918" s="1">
        <f>DATE(2013,11,12) + TIME(7,20,36)</f>
        <v>41590.305972222224</v>
      </c>
      <c r="C1918">
        <v>80</v>
      </c>
      <c r="D1918">
        <v>76.462326050000001</v>
      </c>
      <c r="E1918">
        <v>50</v>
      </c>
      <c r="F1918">
        <v>49.950790404999999</v>
      </c>
      <c r="G1918">
        <v>1315.8642577999999</v>
      </c>
      <c r="H1918">
        <v>1309.8376464999999</v>
      </c>
      <c r="I1918">
        <v>1364.9512939000001</v>
      </c>
      <c r="J1918">
        <v>1354.682251</v>
      </c>
      <c r="K1918">
        <v>0</v>
      </c>
      <c r="L1918">
        <v>1215</v>
      </c>
      <c r="M1918">
        <v>1215</v>
      </c>
      <c r="N1918">
        <v>0</v>
      </c>
    </row>
    <row r="1919" spans="1:14" x14ac:dyDescent="0.25">
      <c r="A1919">
        <v>1293.3020349999999</v>
      </c>
      <c r="B1919" s="1">
        <f>DATE(2013,11,14) + TIME(7,14,55)</f>
        <v>41592.302025462966</v>
      </c>
      <c r="C1919">
        <v>80</v>
      </c>
      <c r="D1919">
        <v>76.334587096999996</v>
      </c>
      <c r="E1919">
        <v>50</v>
      </c>
      <c r="F1919">
        <v>49.950843810999999</v>
      </c>
      <c r="G1919">
        <v>1315.8105469</v>
      </c>
      <c r="H1919">
        <v>1309.7719727000001</v>
      </c>
      <c r="I1919">
        <v>1364.9180908000001</v>
      </c>
      <c r="J1919">
        <v>1354.6541748</v>
      </c>
      <c r="K1919">
        <v>0</v>
      </c>
      <c r="L1919">
        <v>1215</v>
      </c>
      <c r="M1919">
        <v>1215</v>
      </c>
      <c r="N1919">
        <v>0</v>
      </c>
    </row>
    <row r="1920" spans="1:14" x14ac:dyDescent="0.25">
      <c r="A1920">
        <v>1295.3335320000001</v>
      </c>
      <c r="B1920" s="1">
        <f>DATE(2013,11,16) + TIME(8,0,17)</f>
        <v>41594.33353009259</v>
      </c>
      <c r="C1920">
        <v>80</v>
      </c>
      <c r="D1920">
        <v>76.206863403</v>
      </c>
      <c r="E1920">
        <v>50</v>
      </c>
      <c r="F1920">
        <v>49.950897216999998</v>
      </c>
      <c r="G1920">
        <v>1315.7545166</v>
      </c>
      <c r="H1920">
        <v>1309.703125</v>
      </c>
      <c r="I1920">
        <v>1364.8858643000001</v>
      </c>
      <c r="J1920">
        <v>1354.6269531</v>
      </c>
      <c r="K1920">
        <v>0</v>
      </c>
      <c r="L1920">
        <v>1215</v>
      </c>
      <c r="M1920">
        <v>1215</v>
      </c>
      <c r="N1920">
        <v>0</v>
      </c>
    </row>
    <row r="1921" spans="1:14" x14ac:dyDescent="0.25">
      <c r="A1921">
        <v>1297.405499</v>
      </c>
      <c r="B1921" s="1">
        <f>DATE(2013,11,18) + TIME(9,43,55)</f>
        <v>41596.405497685184</v>
      </c>
      <c r="C1921">
        <v>80</v>
      </c>
      <c r="D1921">
        <v>76.079063415999997</v>
      </c>
      <c r="E1921">
        <v>50</v>
      </c>
      <c r="F1921">
        <v>49.950954437</v>
      </c>
      <c r="G1921">
        <v>1315.6959228999999</v>
      </c>
      <c r="H1921">
        <v>1309.6306152</v>
      </c>
      <c r="I1921">
        <v>1364.8543701000001</v>
      </c>
      <c r="J1921">
        <v>1354.6004639</v>
      </c>
      <c r="K1921">
        <v>0</v>
      </c>
      <c r="L1921">
        <v>1215</v>
      </c>
      <c r="M1921">
        <v>1215</v>
      </c>
      <c r="N1921">
        <v>0</v>
      </c>
    </row>
    <row r="1922" spans="1:14" x14ac:dyDescent="0.25">
      <c r="A1922">
        <v>1299.523062</v>
      </c>
      <c r="B1922" s="1">
        <f>DATE(2013,11,20) + TIME(12,33,12)</f>
        <v>41598.523055555554</v>
      </c>
      <c r="C1922">
        <v>80</v>
      </c>
      <c r="D1922">
        <v>75.950958252000007</v>
      </c>
      <c r="E1922">
        <v>50</v>
      </c>
      <c r="F1922">
        <v>49.951007842999999</v>
      </c>
      <c r="G1922">
        <v>1315.6346435999999</v>
      </c>
      <c r="H1922">
        <v>1309.5544434000001</v>
      </c>
      <c r="I1922">
        <v>1364.8234863</v>
      </c>
      <c r="J1922">
        <v>1354.5745850000001</v>
      </c>
      <c r="K1922">
        <v>0</v>
      </c>
      <c r="L1922">
        <v>1215</v>
      </c>
      <c r="M1922">
        <v>1215</v>
      </c>
      <c r="N1922">
        <v>0</v>
      </c>
    </row>
    <row r="1923" spans="1:14" x14ac:dyDescent="0.25">
      <c r="A1923">
        <v>1301.6915309999999</v>
      </c>
      <c r="B1923" s="1">
        <f>DATE(2013,11,22) + TIME(16,35,48)</f>
        <v>41600.691527777781</v>
      </c>
      <c r="C1923">
        <v>80</v>
      </c>
      <c r="D1923">
        <v>75.822273253999995</v>
      </c>
      <c r="E1923">
        <v>50</v>
      </c>
      <c r="F1923">
        <v>49.951065063000001</v>
      </c>
      <c r="G1923">
        <v>1315.5703125</v>
      </c>
      <c r="H1923">
        <v>1309.4741211</v>
      </c>
      <c r="I1923">
        <v>1364.7930908000001</v>
      </c>
      <c r="J1923">
        <v>1354.5490723</v>
      </c>
      <c r="K1923">
        <v>0</v>
      </c>
      <c r="L1923">
        <v>1215</v>
      </c>
      <c r="M1923">
        <v>1215</v>
      </c>
      <c r="N1923">
        <v>0</v>
      </c>
    </row>
    <row r="1924" spans="1:14" x14ac:dyDescent="0.25">
      <c r="A1924">
        <v>1303.9073739999999</v>
      </c>
      <c r="B1924" s="1">
        <f>DATE(2013,11,24) + TIME(21,46,37)</f>
        <v>41602.907372685186</v>
      </c>
      <c r="C1924">
        <v>80</v>
      </c>
      <c r="D1924">
        <v>75.692932128999999</v>
      </c>
      <c r="E1924">
        <v>50</v>
      </c>
      <c r="F1924">
        <v>49.951122284</v>
      </c>
      <c r="G1924">
        <v>1315.5028076000001</v>
      </c>
      <c r="H1924">
        <v>1309.3891602000001</v>
      </c>
      <c r="I1924">
        <v>1364.7631836</v>
      </c>
      <c r="J1924">
        <v>1354.5240478999999</v>
      </c>
      <c r="K1924">
        <v>0</v>
      </c>
      <c r="L1924">
        <v>1215</v>
      </c>
      <c r="M1924">
        <v>1215</v>
      </c>
      <c r="N1924">
        <v>0</v>
      </c>
    </row>
    <row r="1925" spans="1:14" x14ac:dyDescent="0.25">
      <c r="A1925">
        <v>1306</v>
      </c>
      <c r="B1925" s="1">
        <f>DATE(2013,11,27) + TIME(0,0,0)</f>
        <v>41605</v>
      </c>
      <c r="C1925">
        <v>80</v>
      </c>
      <c r="D1925">
        <v>75.567413329999994</v>
      </c>
      <c r="E1925">
        <v>50</v>
      </c>
      <c r="F1925">
        <v>49.951175689999999</v>
      </c>
      <c r="G1925">
        <v>1315.4320068</v>
      </c>
      <c r="H1925">
        <v>1309.3001709</v>
      </c>
      <c r="I1925">
        <v>1364.7336425999999</v>
      </c>
      <c r="J1925">
        <v>1354.4995117000001</v>
      </c>
      <c r="K1925">
        <v>0</v>
      </c>
      <c r="L1925">
        <v>1215</v>
      </c>
      <c r="M1925">
        <v>1215</v>
      </c>
      <c r="N1925">
        <v>0</v>
      </c>
    </row>
    <row r="1926" spans="1:14" x14ac:dyDescent="0.25">
      <c r="A1926">
        <v>1306.0000010000001</v>
      </c>
      <c r="B1926" s="1">
        <f>DATE(2013,11,27) + TIME(0,0,0)</f>
        <v>41605</v>
      </c>
      <c r="C1926">
        <v>80</v>
      </c>
      <c r="D1926">
        <v>75.567398071</v>
      </c>
      <c r="E1926">
        <v>50</v>
      </c>
      <c r="F1926">
        <v>49.951190947999997</v>
      </c>
      <c r="G1926">
        <v>1315.3129882999999</v>
      </c>
      <c r="H1926">
        <v>1305.5489502</v>
      </c>
      <c r="I1926">
        <v>1370.1263428</v>
      </c>
      <c r="J1926">
        <v>1354.619751</v>
      </c>
      <c r="K1926">
        <v>0</v>
      </c>
      <c r="L1926">
        <v>1875</v>
      </c>
      <c r="M1926">
        <v>1875</v>
      </c>
      <c r="N1926">
        <v>0</v>
      </c>
    </row>
    <row r="1927" spans="1:14" x14ac:dyDescent="0.25">
      <c r="A1927">
        <v>1306.000004</v>
      </c>
      <c r="B1927" s="1">
        <f>DATE(2013,11,27) + TIME(0,0,0)</f>
        <v>41605</v>
      </c>
      <c r="C1927">
        <v>80</v>
      </c>
      <c r="D1927">
        <v>75.567352295000006</v>
      </c>
      <c r="E1927">
        <v>50</v>
      </c>
      <c r="F1927">
        <v>49.951229095000002</v>
      </c>
      <c r="G1927">
        <v>1315.0092772999999</v>
      </c>
      <c r="H1927">
        <v>1305.2415771000001</v>
      </c>
      <c r="I1927">
        <v>1370.4471435999999</v>
      </c>
      <c r="J1927">
        <v>1354.9403076000001</v>
      </c>
      <c r="K1927">
        <v>0</v>
      </c>
      <c r="L1927">
        <v>1875</v>
      </c>
      <c r="M1927">
        <v>1875</v>
      </c>
      <c r="N1927">
        <v>0</v>
      </c>
    </row>
    <row r="1928" spans="1:14" x14ac:dyDescent="0.25">
      <c r="A1928">
        <v>1306.0000130000001</v>
      </c>
      <c r="B1928" s="1">
        <f>DATE(2013,11,27) + TIME(0,0,1)</f>
        <v>41605.000011574077</v>
      </c>
      <c r="C1928">
        <v>80</v>
      </c>
      <c r="D1928">
        <v>75.567268372000001</v>
      </c>
      <c r="E1928">
        <v>50</v>
      </c>
      <c r="F1928">
        <v>49.951320647999999</v>
      </c>
      <c r="G1928">
        <v>1314.3856201000001</v>
      </c>
      <c r="H1928">
        <v>1304.6142577999999</v>
      </c>
      <c r="I1928">
        <v>1371.166626</v>
      </c>
      <c r="J1928">
        <v>1355.659668</v>
      </c>
      <c r="K1928">
        <v>0</v>
      </c>
      <c r="L1928">
        <v>1875</v>
      </c>
      <c r="M1928">
        <v>1875</v>
      </c>
      <c r="N1928">
        <v>0</v>
      </c>
    </row>
    <row r="1929" spans="1:14" x14ac:dyDescent="0.25">
      <c r="A1929">
        <v>1306.0000399999999</v>
      </c>
      <c r="B1929" s="1">
        <f>DATE(2013,11,27) + TIME(0,0,3)</f>
        <v>41605.000034722223</v>
      </c>
      <c r="C1929">
        <v>80</v>
      </c>
      <c r="D1929">
        <v>75.567131042</v>
      </c>
      <c r="E1929">
        <v>50</v>
      </c>
      <c r="F1929">
        <v>49.951473235999998</v>
      </c>
      <c r="G1929">
        <v>1313.4570312000001</v>
      </c>
      <c r="H1929">
        <v>1303.6846923999999</v>
      </c>
      <c r="I1929">
        <v>1372.3685303</v>
      </c>
      <c r="J1929">
        <v>1356.8618164</v>
      </c>
      <c r="K1929">
        <v>0</v>
      </c>
      <c r="L1929">
        <v>1875</v>
      </c>
      <c r="M1929">
        <v>1875</v>
      </c>
      <c r="N1929">
        <v>0</v>
      </c>
    </row>
    <row r="1930" spans="1:14" x14ac:dyDescent="0.25">
      <c r="A1930">
        <v>1306.000121</v>
      </c>
      <c r="B1930" s="1">
        <f>DATE(2013,11,27) + TIME(0,0,10)</f>
        <v>41605.000115740739</v>
      </c>
      <c r="C1930">
        <v>80</v>
      </c>
      <c r="D1930">
        <v>75.566970824999999</v>
      </c>
      <c r="E1930">
        <v>50</v>
      </c>
      <c r="F1930">
        <v>49.951660156000003</v>
      </c>
      <c r="G1930">
        <v>1312.4093018000001</v>
      </c>
      <c r="H1930">
        <v>1302.6361084</v>
      </c>
      <c r="I1930">
        <v>1373.8345947</v>
      </c>
      <c r="J1930">
        <v>1358.3287353999999</v>
      </c>
      <c r="K1930">
        <v>0</v>
      </c>
      <c r="L1930">
        <v>1875</v>
      </c>
      <c r="M1930">
        <v>1875</v>
      </c>
      <c r="N1930">
        <v>0</v>
      </c>
    </row>
    <row r="1931" spans="1:14" x14ac:dyDescent="0.25">
      <c r="A1931">
        <v>1306.000364</v>
      </c>
      <c r="B1931" s="1">
        <f>DATE(2013,11,27) + TIME(0,0,31)</f>
        <v>41605.000358796293</v>
      </c>
      <c r="C1931">
        <v>80</v>
      </c>
      <c r="D1931">
        <v>75.566780089999995</v>
      </c>
      <c r="E1931">
        <v>50</v>
      </c>
      <c r="F1931">
        <v>49.951854705999999</v>
      </c>
      <c r="G1931">
        <v>1311.3397216999999</v>
      </c>
      <c r="H1931">
        <v>1301.5599365</v>
      </c>
      <c r="I1931">
        <v>1375.3498535000001</v>
      </c>
      <c r="J1931">
        <v>1359.8447266000001</v>
      </c>
      <c r="K1931">
        <v>0</v>
      </c>
      <c r="L1931">
        <v>1875</v>
      </c>
      <c r="M1931">
        <v>1875</v>
      </c>
      <c r="N1931">
        <v>0</v>
      </c>
    </row>
    <row r="1932" spans="1:14" x14ac:dyDescent="0.25">
      <c r="A1932">
        <v>1306.0010930000001</v>
      </c>
      <c r="B1932" s="1">
        <f>DATE(2013,11,27) + TIME(0,1,34)</f>
        <v>41605.001087962963</v>
      </c>
      <c r="C1932">
        <v>80</v>
      </c>
      <c r="D1932">
        <v>75.566490173000005</v>
      </c>
      <c r="E1932">
        <v>50</v>
      </c>
      <c r="F1932">
        <v>49.952060699</v>
      </c>
      <c r="G1932">
        <v>1310.2147216999999</v>
      </c>
      <c r="H1932">
        <v>1300.4145507999999</v>
      </c>
      <c r="I1932">
        <v>1376.9154053</v>
      </c>
      <c r="J1932">
        <v>1361.4055175999999</v>
      </c>
      <c r="K1932">
        <v>0</v>
      </c>
      <c r="L1932">
        <v>1875</v>
      </c>
      <c r="M1932">
        <v>1875</v>
      </c>
      <c r="N1932">
        <v>0</v>
      </c>
    </row>
    <row r="1933" spans="1:14" x14ac:dyDescent="0.25">
      <c r="A1933">
        <v>1306.0032799999999</v>
      </c>
      <c r="B1933" s="1">
        <f>DATE(2013,11,27) + TIME(0,4,43)</f>
        <v>41605.003275462965</v>
      </c>
      <c r="C1933">
        <v>80</v>
      </c>
      <c r="D1933">
        <v>75.565910338999998</v>
      </c>
      <c r="E1933">
        <v>50</v>
      </c>
      <c r="F1933">
        <v>49.952308655000003</v>
      </c>
      <c r="G1933">
        <v>1308.9289550999999</v>
      </c>
      <c r="H1933">
        <v>1299.0947266000001</v>
      </c>
      <c r="I1933">
        <v>1378.619751</v>
      </c>
      <c r="J1933">
        <v>1363.0946045000001</v>
      </c>
      <c r="K1933">
        <v>0</v>
      </c>
      <c r="L1933">
        <v>1875</v>
      </c>
      <c r="M1933">
        <v>1875</v>
      </c>
      <c r="N1933">
        <v>0</v>
      </c>
    </row>
    <row r="1934" spans="1:14" x14ac:dyDescent="0.25">
      <c r="A1934">
        <v>1306.0098410000001</v>
      </c>
      <c r="B1934" s="1">
        <f>DATE(2013,11,27) + TIME(0,14,10)</f>
        <v>41605.009837962964</v>
      </c>
      <c r="C1934">
        <v>80</v>
      </c>
      <c r="D1934">
        <v>75.564521790000001</v>
      </c>
      <c r="E1934">
        <v>50</v>
      </c>
      <c r="F1934">
        <v>49.952625275000003</v>
      </c>
      <c r="G1934">
        <v>1307.4752197</v>
      </c>
      <c r="H1934">
        <v>1297.6097411999999</v>
      </c>
      <c r="I1934">
        <v>1380.3988036999999</v>
      </c>
      <c r="J1934">
        <v>1364.8522949000001</v>
      </c>
      <c r="K1934">
        <v>0</v>
      </c>
      <c r="L1934">
        <v>1875</v>
      </c>
      <c r="M1934">
        <v>1875</v>
      </c>
      <c r="N1934">
        <v>0</v>
      </c>
    </row>
    <row r="1935" spans="1:14" x14ac:dyDescent="0.25">
      <c r="A1935">
        <v>1306.029524</v>
      </c>
      <c r="B1935" s="1">
        <f>DATE(2013,11,27) + TIME(0,42,30)</f>
        <v>41605.029513888891</v>
      </c>
      <c r="C1935">
        <v>80</v>
      </c>
      <c r="D1935">
        <v>75.560806274000001</v>
      </c>
      <c r="E1935">
        <v>50</v>
      </c>
      <c r="F1935">
        <v>49.953086853000002</v>
      </c>
      <c r="G1935">
        <v>1306.1820068</v>
      </c>
      <c r="H1935">
        <v>1296.2990723</v>
      </c>
      <c r="I1935">
        <v>1381.8298339999999</v>
      </c>
      <c r="J1935">
        <v>1366.2675781</v>
      </c>
      <c r="K1935">
        <v>0</v>
      </c>
      <c r="L1935">
        <v>1875</v>
      </c>
      <c r="M1935">
        <v>1875</v>
      </c>
      <c r="N1935">
        <v>0</v>
      </c>
    </row>
    <row r="1936" spans="1:14" x14ac:dyDescent="0.25">
      <c r="A1936">
        <v>1306.088573</v>
      </c>
      <c r="B1936" s="1">
        <f>DATE(2013,11,27) + TIME(2,7,32)</f>
        <v>41605.088564814818</v>
      </c>
      <c r="C1936">
        <v>80</v>
      </c>
      <c r="D1936">
        <v>75.550537109000004</v>
      </c>
      <c r="E1936">
        <v>50</v>
      </c>
      <c r="F1936">
        <v>49.953968048</v>
      </c>
      <c r="G1936">
        <v>1305.4569091999999</v>
      </c>
      <c r="H1936">
        <v>1295.5662841999999</v>
      </c>
      <c r="I1936">
        <v>1382.4785156</v>
      </c>
      <c r="J1936">
        <v>1366.9101562000001</v>
      </c>
      <c r="K1936">
        <v>0</v>
      </c>
      <c r="L1936">
        <v>1875</v>
      </c>
      <c r="M1936">
        <v>1875</v>
      </c>
      <c r="N1936">
        <v>0</v>
      </c>
    </row>
    <row r="1937" spans="1:14" x14ac:dyDescent="0.25">
      <c r="A1937">
        <v>1306.2657200000001</v>
      </c>
      <c r="B1937" s="1">
        <f>DATE(2013,11,27) + TIME(6,22,38)</f>
        <v>41605.265717592592</v>
      </c>
      <c r="C1937">
        <v>80</v>
      </c>
      <c r="D1937">
        <v>75.523620605000005</v>
      </c>
      <c r="E1937">
        <v>50</v>
      </c>
      <c r="F1937">
        <v>49.956024169999999</v>
      </c>
      <c r="G1937">
        <v>1305.2435303</v>
      </c>
      <c r="H1937">
        <v>1295.3468018000001</v>
      </c>
      <c r="I1937">
        <v>1382.5838623</v>
      </c>
      <c r="J1937">
        <v>1367.0146483999999</v>
      </c>
      <c r="K1937">
        <v>0</v>
      </c>
      <c r="L1937">
        <v>1875</v>
      </c>
      <c r="M1937">
        <v>1875</v>
      </c>
      <c r="N1937">
        <v>0</v>
      </c>
    </row>
    <row r="1938" spans="1:14" x14ac:dyDescent="0.25">
      <c r="A1938">
        <v>1306.797161</v>
      </c>
      <c r="B1938" s="1">
        <f>DATE(2013,11,27) + TIME(19,7,54)</f>
        <v>41605.797152777777</v>
      </c>
      <c r="C1938">
        <v>80</v>
      </c>
      <c r="D1938">
        <v>75.465003967000001</v>
      </c>
      <c r="E1938">
        <v>50</v>
      </c>
      <c r="F1938">
        <v>49.960075377999999</v>
      </c>
      <c r="G1938">
        <v>1305.2004394999999</v>
      </c>
      <c r="H1938">
        <v>1295.2923584</v>
      </c>
      <c r="I1938">
        <v>1382.5794678</v>
      </c>
      <c r="J1938">
        <v>1367.0109863</v>
      </c>
      <c r="K1938">
        <v>0</v>
      </c>
      <c r="L1938">
        <v>1875</v>
      </c>
      <c r="M1938">
        <v>1875</v>
      </c>
      <c r="N1938">
        <v>0</v>
      </c>
    </row>
    <row r="1939" spans="1:14" x14ac:dyDescent="0.25">
      <c r="A1939">
        <v>1308.2877989999999</v>
      </c>
      <c r="B1939" s="1">
        <f>DATE(2013,11,29) + TIME(6,54,25)</f>
        <v>41607.287789351853</v>
      </c>
      <c r="C1939">
        <v>80</v>
      </c>
      <c r="D1939">
        <v>75.372871399000005</v>
      </c>
      <c r="E1939">
        <v>50</v>
      </c>
      <c r="F1939">
        <v>49.964752197000003</v>
      </c>
      <c r="G1939">
        <v>1305.1575928</v>
      </c>
      <c r="H1939">
        <v>1295.2297363</v>
      </c>
      <c r="I1939">
        <v>1382.5629882999999</v>
      </c>
      <c r="J1939">
        <v>1366.9968262</v>
      </c>
      <c r="K1939">
        <v>0</v>
      </c>
      <c r="L1939">
        <v>1875</v>
      </c>
      <c r="M1939">
        <v>1875</v>
      </c>
      <c r="N1939">
        <v>0</v>
      </c>
    </row>
    <row r="1940" spans="1:14" x14ac:dyDescent="0.25">
      <c r="A1940">
        <v>1309.9740810000001</v>
      </c>
      <c r="B1940" s="1">
        <f>DATE(2013,11,30) + TIME(23,22,40)</f>
        <v>41608.974074074074</v>
      </c>
      <c r="C1940">
        <v>80</v>
      </c>
      <c r="D1940">
        <v>75.266212463000002</v>
      </c>
      <c r="E1940">
        <v>50</v>
      </c>
      <c r="F1940">
        <v>49.966789245999998</v>
      </c>
      <c r="G1940">
        <v>1305.0557861</v>
      </c>
      <c r="H1940">
        <v>1295.0986327999999</v>
      </c>
      <c r="I1940">
        <v>1382.5180664</v>
      </c>
      <c r="J1940">
        <v>1366.9573975000001</v>
      </c>
      <c r="K1940">
        <v>0</v>
      </c>
      <c r="L1940">
        <v>1875</v>
      </c>
      <c r="M1940">
        <v>1875</v>
      </c>
      <c r="N1940">
        <v>0</v>
      </c>
    </row>
    <row r="1941" spans="1:14" x14ac:dyDescent="0.25">
      <c r="A1941">
        <v>1311.687833</v>
      </c>
      <c r="B1941" s="1">
        <f>DATE(2013,12,2) + TIME(16,30,28)</f>
        <v>41610.687824074077</v>
      </c>
      <c r="C1941">
        <v>80</v>
      </c>
      <c r="D1941">
        <v>75.149703978999995</v>
      </c>
      <c r="E1941">
        <v>50</v>
      </c>
      <c r="F1941">
        <v>49.967590332</v>
      </c>
      <c r="G1941">
        <v>1304.9372559000001</v>
      </c>
      <c r="H1941">
        <v>1294.9455565999999</v>
      </c>
      <c r="I1941">
        <v>1382.4691161999999</v>
      </c>
      <c r="J1941">
        <v>1366.9145507999999</v>
      </c>
      <c r="K1941">
        <v>0</v>
      </c>
      <c r="L1941">
        <v>1875</v>
      </c>
      <c r="M1941">
        <v>1875</v>
      </c>
      <c r="N1941">
        <v>0</v>
      </c>
    </row>
    <row r="1942" spans="1:14" x14ac:dyDescent="0.25">
      <c r="A1942">
        <v>1313.4227310000001</v>
      </c>
      <c r="B1942" s="1">
        <f>DATE(2013,12,4) + TIME(10,8,43)</f>
        <v>41612.422719907408</v>
      </c>
      <c r="C1942">
        <v>80</v>
      </c>
      <c r="D1942">
        <v>75.028648376000007</v>
      </c>
      <c r="E1942">
        <v>50</v>
      </c>
      <c r="F1942">
        <v>49.967914581000002</v>
      </c>
      <c r="G1942">
        <v>1304.8123779</v>
      </c>
      <c r="H1942">
        <v>1294.7827147999999</v>
      </c>
      <c r="I1942">
        <v>1382.4212646000001</v>
      </c>
      <c r="J1942">
        <v>1366.8728027</v>
      </c>
      <c r="K1942">
        <v>0</v>
      </c>
      <c r="L1942">
        <v>1875</v>
      </c>
      <c r="M1942">
        <v>1875</v>
      </c>
      <c r="N1942">
        <v>0</v>
      </c>
    </row>
    <row r="1943" spans="1:14" x14ac:dyDescent="0.25">
      <c r="A1943">
        <v>1315.182857</v>
      </c>
      <c r="B1943" s="1">
        <f>DATE(2013,12,6) + TIME(4,23,18)</f>
        <v>41614.182847222219</v>
      </c>
      <c r="C1943">
        <v>80</v>
      </c>
      <c r="D1943">
        <v>74.904953003000003</v>
      </c>
      <c r="E1943">
        <v>50</v>
      </c>
      <c r="F1943">
        <v>49.968055724999999</v>
      </c>
      <c r="G1943">
        <v>1304.682251</v>
      </c>
      <c r="H1943">
        <v>1294.6120605000001</v>
      </c>
      <c r="I1943">
        <v>1382.3746338000001</v>
      </c>
      <c r="J1943">
        <v>1366.8322754000001</v>
      </c>
      <c r="K1943">
        <v>0</v>
      </c>
      <c r="L1943">
        <v>1875</v>
      </c>
      <c r="M1943">
        <v>1875</v>
      </c>
      <c r="N1943">
        <v>0</v>
      </c>
    </row>
    <row r="1944" spans="1:14" x14ac:dyDescent="0.25">
      <c r="A1944">
        <v>1316.9716570000001</v>
      </c>
      <c r="B1944" s="1">
        <f>DATE(2013,12,7) + TIME(23,19,11)</f>
        <v>41615.971655092595</v>
      </c>
      <c r="C1944">
        <v>80</v>
      </c>
      <c r="D1944">
        <v>74.779182434000006</v>
      </c>
      <c r="E1944">
        <v>50</v>
      </c>
      <c r="F1944">
        <v>49.968128204000003</v>
      </c>
      <c r="G1944">
        <v>1304.546875</v>
      </c>
      <c r="H1944">
        <v>1294.4334716999999</v>
      </c>
      <c r="I1944">
        <v>1382.3289795000001</v>
      </c>
      <c r="J1944">
        <v>1366.7927245999999</v>
      </c>
      <c r="K1944">
        <v>0</v>
      </c>
      <c r="L1944">
        <v>1875</v>
      </c>
      <c r="M1944">
        <v>1875</v>
      </c>
      <c r="N1944">
        <v>0</v>
      </c>
    </row>
    <row r="1945" spans="1:14" x14ac:dyDescent="0.25">
      <c r="A1945">
        <v>1318.7843170000001</v>
      </c>
      <c r="B1945" s="1">
        <f>DATE(2013,12,9) + TIME(18,49,25)</f>
        <v>41617.784317129626</v>
      </c>
      <c r="C1945">
        <v>80</v>
      </c>
      <c r="D1945">
        <v>74.651527404999996</v>
      </c>
      <c r="E1945">
        <v>50</v>
      </c>
      <c r="F1945">
        <v>49.968173981</v>
      </c>
      <c r="G1945">
        <v>1304.4058838000001</v>
      </c>
      <c r="H1945">
        <v>1294.2469481999999</v>
      </c>
      <c r="I1945">
        <v>1382.2843018000001</v>
      </c>
      <c r="J1945">
        <v>1366.7539062000001</v>
      </c>
      <c r="K1945">
        <v>0</v>
      </c>
      <c r="L1945">
        <v>1875</v>
      </c>
      <c r="M1945">
        <v>1875</v>
      </c>
      <c r="N1945">
        <v>0</v>
      </c>
    </row>
    <row r="1946" spans="1:14" x14ac:dyDescent="0.25">
      <c r="A1946">
        <v>1320.6194089999999</v>
      </c>
      <c r="B1946" s="1">
        <f>DATE(2013,12,11) + TIME(14,51,56)</f>
        <v>41619.619398148148</v>
      </c>
      <c r="C1946">
        <v>80</v>
      </c>
      <c r="D1946">
        <v>74.522018433</v>
      </c>
      <c r="E1946">
        <v>50</v>
      </c>
      <c r="F1946">
        <v>49.968212127999998</v>
      </c>
      <c r="G1946">
        <v>1304.2596435999999</v>
      </c>
      <c r="H1946">
        <v>1294.0524902</v>
      </c>
      <c r="I1946">
        <v>1382.2404785000001</v>
      </c>
      <c r="J1946">
        <v>1366.7160644999999</v>
      </c>
      <c r="K1946">
        <v>0</v>
      </c>
      <c r="L1946">
        <v>1875</v>
      </c>
      <c r="M1946">
        <v>1875</v>
      </c>
      <c r="N1946">
        <v>0</v>
      </c>
    </row>
    <row r="1947" spans="1:14" x14ac:dyDescent="0.25">
      <c r="A1947">
        <v>1322.4808840000001</v>
      </c>
      <c r="B1947" s="1">
        <f>DATE(2013,12,13) + TIME(11,32,28)</f>
        <v>41621.480879629627</v>
      </c>
      <c r="C1947">
        <v>80</v>
      </c>
      <c r="D1947">
        <v>74.390426636000001</v>
      </c>
      <c r="E1947">
        <v>50</v>
      </c>
      <c r="F1947">
        <v>49.968246460000003</v>
      </c>
      <c r="G1947">
        <v>1304.1082764</v>
      </c>
      <c r="H1947">
        <v>1293.8504639</v>
      </c>
      <c r="I1947">
        <v>1382.1976318</v>
      </c>
      <c r="J1947">
        <v>1366.6790771000001</v>
      </c>
      <c r="K1947">
        <v>0</v>
      </c>
      <c r="L1947">
        <v>1875</v>
      </c>
      <c r="M1947">
        <v>1875</v>
      </c>
      <c r="N1947">
        <v>0</v>
      </c>
    </row>
    <row r="1948" spans="1:14" x14ac:dyDescent="0.25">
      <c r="A1948">
        <v>1324.372298</v>
      </c>
      <c r="B1948" s="1">
        <f>DATE(2013,12,15) + TIME(8,56,6)</f>
        <v>41623.372291666667</v>
      </c>
      <c r="C1948">
        <v>80</v>
      </c>
      <c r="D1948">
        <v>74.256355286000002</v>
      </c>
      <c r="E1948">
        <v>50</v>
      </c>
      <c r="F1948">
        <v>49.968276977999999</v>
      </c>
      <c r="G1948">
        <v>1303.9512939000001</v>
      </c>
      <c r="H1948">
        <v>1293.6401367000001</v>
      </c>
      <c r="I1948">
        <v>1382.1555175999999</v>
      </c>
      <c r="J1948">
        <v>1366.6427002</v>
      </c>
      <c r="K1948">
        <v>0</v>
      </c>
      <c r="L1948">
        <v>1875</v>
      </c>
      <c r="M1948">
        <v>1875</v>
      </c>
      <c r="N1948">
        <v>0</v>
      </c>
    </row>
    <row r="1949" spans="1:14" x14ac:dyDescent="0.25">
      <c r="A1949">
        <v>1326.2971990000001</v>
      </c>
      <c r="B1949" s="1">
        <f>DATE(2013,12,17) + TIME(7,7,58)</f>
        <v>41625.297199074077</v>
      </c>
      <c r="C1949">
        <v>80</v>
      </c>
      <c r="D1949">
        <v>74.119293213000006</v>
      </c>
      <c r="E1949">
        <v>50</v>
      </c>
      <c r="F1949">
        <v>49.968307494999998</v>
      </c>
      <c r="G1949">
        <v>1303.7884521000001</v>
      </c>
      <c r="H1949">
        <v>1293.4210204999999</v>
      </c>
      <c r="I1949">
        <v>1382.1141356999999</v>
      </c>
      <c r="J1949">
        <v>1366.6070557</v>
      </c>
      <c r="K1949">
        <v>0</v>
      </c>
      <c r="L1949">
        <v>1875</v>
      </c>
      <c r="M1949">
        <v>1875</v>
      </c>
      <c r="N1949">
        <v>0</v>
      </c>
    </row>
    <row r="1950" spans="1:14" x14ac:dyDescent="0.25">
      <c r="A1950">
        <v>1328.2591620000001</v>
      </c>
      <c r="B1950" s="1">
        <f>DATE(2013,12,19) + TIME(6,13,11)</f>
        <v>41627.259155092594</v>
      </c>
      <c r="C1950">
        <v>80</v>
      </c>
      <c r="D1950">
        <v>73.978698730000005</v>
      </c>
      <c r="E1950">
        <v>50</v>
      </c>
      <c r="F1950">
        <v>49.968341827000003</v>
      </c>
      <c r="G1950">
        <v>1303.6192627</v>
      </c>
      <c r="H1950">
        <v>1293.192749</v>
      </c>
      <c r="I1950">
        <v>1382.0732422000001</v>
      </c>
      <c r="J1950">
        <v>1366.5717772999999</v>
      </c>
      <c r="K1950">
        <v>0</v>
      </c>
      <c r="L1950">
        <v>1875</v>
      </c>
      <c r="M1950">
        <v>1875</v>
      </c>
      <c r="N1950">
        <v>0</v>
      </c>
    </row>
    <row r="1951" spans="1:14" x14ac:dyDescent="0.25">
      <c r="A1951">
        <v>1330.248785</v>
      </c>
      <c r="B1951" s="1">
        <f>DATE(2013,12,21) + TIME(5,58,15)</f>
        <v>41629.248784722222</v>
      </c>
      <c r="C1951">
        <v>80</v>
      </c>
      <c r="D1951">
        <v>73.834281920999999</v>
      </c>
      <c r="E1951">
        <v>50</v>
      </c>
      <c r="F1951">
        <v>49.968376159999998</v>
      </c>
      <c r="G1951">
        <v>1303.4433594</v>
      </c>
      <c r="H1951">
        <v>1292.9545897999999</v>
      </c>
      <c r="I1951">
        <v>1382.0328368999999</v>
      </c>
      <c r="J1951">
        <v>1366.5369873</v>
      </c>
      <c r="K1951">
        <v>0</v>
      </c>
      <c r="L1951">
        <v>1875</v>
      </c>
      <c r="M1951">
        <v>1875</v>
      </c>
      <c r="N1951">
        <v>0</v>
      </c>
    </row>
    <row r="1952" spans="1:14" x14ac:dyDescent="0.25">
      <c r="A1952">
        <v>1332.2625</v>
      </c>
      <c r="B1952" s="1">
        <f>DATE(2013,12,23) + TIME(6,17,59)</f>
        <v>41631.262488425928</v>
      </c>
      <c r="C1952">
        <v>80</v>
      </c>
      <c r="D1952">
        <v>73.686019896999994</v>
      </c>
      <c r="E1952">
        <v>50</v>
      </c>
      <c r="F1952">
        <v>49.968406676999997</v>
      </c>
      <c r="G1952">
        <v>1303.2614745999999</v>
      </c>
      <c r="H1952">
        <v>1292.7075195</v>
      </c>
      <c r="I1952">
        <v>1381.9929199000001</v>
      </c>
      <c r="J1952">
        <v>1366.5026855000001</v>
      </c>
      <c r="K1952">
        <v>0</v>
      </c>
      <c r="L1952">
        <v>1875</v>
      </c>
      <c r="M1952">
        <v>1875</v>
      </c>
      <c r="N1952">
        <v>0</v>
      </c>
    </row>
    <row r="1953" spans="1:14" x14ac:dyDescent="0.25">
      <c r="A1953">
        <v>1334.3044199999999</v>
      </c>
      <c r="B1953" s="1">
        <f>DATE(2013,12,25) + TIME(7,18,21)</f>
        <v>41633.304409722223</v>
      </c>
      <c r="C1953">
        <v>80</v>
      </c>
      <c r="D1953">
        <v>73.533607482999997</v>
      </c>
      <c r="E1953">
        <v>50</v>
      </c>
      <c r="F1953">
        <v>49.968441009999999</v>
      </c>
      <c r="G1953">
        <v>1303.0738524999999</v>
      </c>
      <c r="H1953">
        <v>1292.4516602000001</v>
      </c>
      <c r="I1953">
        <v>1381.9538574000001</v>
      </c>
      <c r="J1953">
        <v>1366.4691161999999</v>
      </c>
      <c r="K1953">
        <v>0</v>
      </c>
      <c r="L1953">
        <v>1875</v>
      </c>
      <c r="M1953">
        <v>1875</v>
      </c>
      <c r="N1953">
        <v>0</v>
      </c>
    </row>
    <row r="1954" spans="1:14" x14ac:dyDescent="0.25">
      <c r="A1954">
        <v>1336.3785519999999</v>
      </c>
      <c r="B1954" s="1">
        <f>DATE(2013,12,27) + TIME(9,5,6)</f>
        <v>41635.378541666665</v>
      </c>
      <c r="C1954">
        <v>80</v>
      </c>
      <c r="D1954">
        <v>73.376472473000007</v>
      </c>
      <c r="E1954">
        <v>50</v>
      </c>
      <c r="F1954">
        <v>49.968475341999998</v>
      </c>
      <c r="G1954">
        <v>1302.8801269999999</v>
      </c>
      <c r="H1954">
        <v>1292.1866454999999</v>
      </c>
      <c r="I1954">
        <v>1381.9152832</v>
      </c>
      <c r="J1954">
        <v>1366.4359131000001</v>
      </c>
      <c r="K1954">
        <v>0</v>
      </c>
      <c r="L1954">
        <v>1875</v>
      </c>
      <c r="M1954">
        <v>1875</v>
      </c>
      <c r="N1954">
        <v>0</v>
      </c>
    </row>
    <row r="1955" spans="1:14" x14ac:dyDescent="0.25">
      <c r="A1955">
        <v>1338.488887</v>
      </c>
      <c r="B1955" s="1">
        <f>DATE(2013,12,29) + TIME(11,43,59)</f>
        <v>41637.488877314812</v>
      </c>
      <c r="C1955">
        <v>80</v>
      </c>
      <c r="D1955">
        <v>73.213920592999997</v>
      </c>
      <c r="E1955">
        <v>50</v>
      </c>
      <c r="F1955">
        <v>49.968513489000003</v>
      </c>
      <c r="G1955">
        <v>1302.6799315999999</v>
      </c>
      <c r="H1955">
        <v>1291.9118652</v>
      </c>
      <c r="I1955">
        <v>1381.8771973</v>
      </c>
      <c r="J1955">
        <v>1366.4031981999999</v>
      </c>
      <c r="K1955">
        <v>0</v>
      </c>
      <c r="L1955">
        <v>1875</v>
      </c>
      <c r="M1955">
        <v>1875</v>
      </c>
      <c r="N1955">
        <v>0</v>
      </c>
    </row>
    <row r="1956" spans="1:14" x14ac:dyDescent="0.25">
      <c r="A1956">
        <v>1340.6395689999999</v>
      </c>
      <c r="B1956" s="1">
        <f>DATE(2013,12,31) + TIME(15,20,58)</f>
        <v>41639.639560185184</v>
      </c>
      <c r="C1956">
        <v>80</v>
      </c>
      <c r="D1956">
        <v>73.045158385999997</v>
      </c>
      <c r="E1956">
        <v>50</v>
      </c>
      <c r="F1956">
        <v>49.968547821000001</v>
      </c>
      <c r="G1956">
        <v>1302.4727783000001</v>
      </c>
      <c r="H1956">
        <v>1291.6268310999999</v>
      </c>
      <c r="I1956">
        <v>1381.8393555</v>
      </c>
      <c r="J1956">
        <v>1366.3707274999999</v>
      </c>
      <c r="K1956">
        <v>0</v>
      </c>
      <c r="L1956">
        <v>1875</v>
      </c>
      <c r="M1956">
        <v>1875</v>
      </c>
      <c r="N1956">
        <v>0</v>
      </c>
    </row>
    <row r="1957" spans="1:14" x14ac:dyDescent="0.25">
      <c r="A1957">
        <v>1342.817</v>
      </c>
      <c r="B1957" s="1">
        <f>DATE(2014,1,2) + TIME(19,36,28)</f>
        <v>41641.816990740743</v>
      </c>
      <c r="C1957">
        <v>80</v>
      </c>
      <c r="D1957">
        <v>72.869789123999993</v>
      </c>
      <c r="E1957">
        <v>50</v>
      </c>
      <c r="F1957">
        <v>49.968582153</v>
      </c>
      <c r="G1957">
        <v>1302.2584228999999</v>
      </c>
      <c r="H1957">
        <v>1291.3309326000001</v>
      </c>
      <c r="I1957">
        <v>1381.8018798999999</v>
      </c>
      <c r="J1957">
        <v>1366.338501</v>
      </c>
      <c r="K1957">
        <v>0</v>
      </c>
      <c r="L1957">
        <v>1875</v>
      </c>
      <c r="M1957">
        <v>1875</v>
      </c>
      <c r="N1957">
        <v>0</v>
      </c>
    </row>
    <row r="1958" spans="1:14" x14ac:dyDescent="0.25">
      <c r="A1958">
        <v>1345.0181130000001</v>
      </c>
      <c r="B1958" s="1">
        <f>DATE(2014,1,5) + TIME(0,26,4)</f>
        <v>41644.018101851849</v>
      </c>
      <c r="C1958">
        <v>80</v>
      </c>
      <c r="D1958">
        <v>72.687789917000003</v>
      </c>
      <c r="E1958">
        <v>50</v>
      </c>
      <c r="F1958">
        <v>49.968620299999998</v>
      </c>
      <c r="G1958">
        <v>1302.0379639</v>
      </c>
      <c r="H1958">
        <v>1291.0255127</v>
      </c>
      <c r="I1958">
        <v>1381.7648925999999</v>
      </c>
      <c r="J1958">
        <v>1366.3066406</v>
      </c>
      <c r="K1958">
        <v>0</v>
      </c>
      <c r="L1958">
        <v>1875</v>
      </c>
      <c r="M1958">
        <v>1875</v>
      </c>
      <c r="N1958">
        <v>0</v>
      </c>
    </row>
    <row r="1959" spans="1:14" x14ac:dyDescent="0.25">
      <c r="A1959">
        <v>1347.247347</v>
      </c>
      <c r="B1959" s="1">
        <f>DATE(2014,1,7) + TIME(5,56,10)</f>
        <v>41646.247337962966</v>
      </c>
      <c r="C1959">
        <v>80</v>
      </c>
      <c r="D1959">
        <v>72.498786925999994</v>
      </c>
      <c r="E1959">
        <v>50</v>
      </c>
      <c r="F1959">
        <v>49.968658447000003</v>
      </c>
      <c r="G1959">
        <v>1301.8117675999999</v>
      </c>
      <c r="H1959">
        <v>1290.7110596</v>
      </c>
      <c r="I1959">
        <v>1381.7283935999999</v>
      </c>
      <c r="J1959">
        <v>1366.2752685999999</v>
      </c>
      <c r="K1959">
        <v>0</v>
      </c>
      <c r="L1959">
        <v>1875</v>
      </c>
      <c r="M1959">
        <v>1875</v>
      </c>
      <c r="N1959">
        <v>0</v>
      </c>
    </row>
    <row r="1960" spans="1:14" x14ac:dyDescent="0.25">
      <c r="A1960">
        <v>1349.508998</v>
      </c>
      <c r="B1960" s="1">
        <f>DATE(2014,1,9) + TIME(12,12,57)</f>
        <v>41648.508993055555</v>
      </c>
      <c r="C1960">
        <v>80</v>
      </c>
      <c r="D1960">
        <v>72.302017211999996</v>
      </c>
      <c r="E1960">
        <v>50</v>
      </c>
      <c r="F1960">
        <v>49.968696594000001</v>
      </c>
      <c r="G1960">
        <v>1301.5793457</v>
      </c>
      <c r="H1960">
        <v>1290.387207</v>
      </c>
      <c r="I1960">
        <v>1381.6922606999999</v>
      </c>
      <c r="J1960">
        <v>1366.2443848</v>
      </c>
      <c r="K1960">
        <v>0</v>
      </c>
      <c r="L1960">
        <v>1875</v>
      </c>
      <c r="M1960">
        <v>1875</v>
      </c>
      <c r="N1960">
        <v>0</v>
      </c>
    </row>
    <row r="1961" spans="1:14" x14ac:dyDescent="0.25">
      <c r="A1961">
        <v>1351.807372</v>
      </c>
      <c r="B1961" s="1">
        <f>DATE(2014,1,11) + TIME(19,22,36)</f>
        <v>41650.80736111111</v>
      </c>
      <c r="C1961">
        <v>80</v>
      </c>
      <c r="D1961">
        <v>72.096588135000005</v>
      </c>
      <c r="E1961">
        <v>50</v>
      </c>
      <c r="F1961">
        <v>49.968734740999999</v>
      </c>
      <c r="G1961">
        <v>1301.3405762</v>
      </c>
      <c r="H1961">
        <v>1290.0533447</v>
      </c>
      <c r="I1961">
        <v>1381.6566161999999</v>
      </c>
      <c r="J1961">
        <v>1366.2136230000001</v>
      </c>
      <c r="K1961">
        <v>0</v>
      </c>
      <c r="L1961">
        <v>1875</v>
      </c>
      <c r="M1961">
        <v>1875</v>
      </c>
      <c r="N1961">
        <v>0</v>
      </c>
    </row>
    <row r="1962" spans="1:14" x14ac:dyDescent="0.25">
      <c r="A1962">
        <v>1354.139801</v>
      </c>
      <c r="B1962" s="1">
        <f>DATE(2014,1,14) + TIME(3,21,18)</f>
        <v>41653.139791666668</v>
      </c>
      <c r="C1962">
        <v>80</v>
      </c>
      <c r="D1962">
        <v>71.881675720000004</v>
      </c>
      <c r="E1962">
        <v>50</v>
      </c>
      <c r="F1962">
        <v>49.968772887999997</v>
      </c>
      <c r="G1962">
        <v>1301.0950928</v>
      </c>
      <c r="H1962">
        <v>1289.7089844</v>
      </c>
      <c r="I1962">
        <v>1381.6210937999999</v>
      </c>
      <c r="J1962">
        <v>1366.1831055</v>
      </c>
      <c r="K1962">
        <v>0</v>
      </c>
      <c r="L1962">
        <v>1875</v>
      </c>
      <c r="M1962">
        <v>1875</v>
      </c>
      <c r="N1962">
        <v>0</v>
      </c>
    </row>
    <row r="1963" spans="1:14" x14ac:dyDescent="0.25">
      <c r="A1963">
        <v>1356.497337</v>
      </c>
      <c r="B1963" s="1">
        <f>DATE(2014,1,16) + TIME(11,56,9)</f>
        <v>41655.49732638889</v>
      </c>
      <c r="C1963">
        <v>80</v>
      </c>
      <c r="D1963">
        <v>71.656951903999996</v>
      </c>
      <c r="E1963">
        <v>50</v>
      </c>
      <c r="F1963">
        <v>49.968811035000002</v>
      </c>
      <c r="G1963">
        <v>1300.8430175999999</v>
      </c>
      <c r="H1963">
        <v>1289.3546143000001</v>
      </c>
      <c r="I1963">
        <v>1381.5858154</v>
      </c>
      <c r="J1963">
        <v>1366.1527100000001</v>
      </c>
      <c r="K1963">
        <v>0</v>
      </c>
      <c r="L1963">
        <v>1875</v>
      </c>
      <c r="M1963">
        <v>1875</v>
      </c>
      <c r="N1963">
        <v>0</v>
      </c>
    </row>
    <row r="1964" spans="1:14" x14ac:dyDescent="0.25">
      <c r="A1964">
        <v>1358.884783</v>
      </c>
      <c r="B1964" s="1">
        <f>DATE(2014,1,18) + TIME(21,14,5)</f>
        <v>41657.884780092594</v>
      </c>
      <c r="C1964">
        <v>80</v>
      </c>
      <c r="D1964">
        <v>71.422096252000003</v>
      </c>
      <c r="E1964">
        <v>50</v>
      </c>
      <c r="F1964">
        <v>49.968852996999999</v>
      </c>
      <c r="G1964">
        <v>1300.5853271000001</v>
      </c>
      <c r="H1964">
        <v>1288.9909668</v>
      </c>
      <c r="I1964">
        <v>1381.5509033000001</v>
      </c>
      <c r="J1964">
        <v>1366.1228027</v>
      </c>
      <c r="K1964">
        <v>0</v>
      </c>
      <c r="L1964">
        <v>1875</v>
      </c>
      <c r="M1964">
        <v>1875</v>
      </c>
      <c r="N1964">
        <v>0</v>
      </c>
    </row>
    <row r="1965" spans="1:14" x14ac:dyDescent="0.25">
      <c r="A1965">
        <v>1361.306744</v>
      </c>
      <c r="B1965" s="1">
        <f>DATE(2014,1,21) + TIME(7,21,42)</f>
        <v>41660.30673611111</v>
      </c>
      <c r="C1965">
        <v>80</v>
      </c>
      <c r="D1965">
        <v>71.176277161000002</v>
      </c>
      <c r="E1965">
        <v>50</v>
      </c>
      <c r="F1965">
        <v>49.968891143999997</v>
      </c>
      <c r="G1965">
        <v>1300.3216553</v>
      </c>
      <c r="H1965">
        <v>1288.6179199000001</v>
      </c>
      <c r="I1965">
        <v>1381.5162353999999</v>
      </c>
      <c r="J1965">
        <v>1366.0930175999999</v>
      </c>
      <c r="K1965">
        <v>0</v>
      </c>
      <c r="L1965">
        <v>1875</v>
      </c>
      <c r="M1965">
        <v>1875</v>
      </c>
      <c r="N1965">
        <v>0</v>
      </c>
    </row>
    <row r="1966" spans="1:14" x14ac:dyDescent="0.25">
      <c r="A1966">
        <v>1363.7677779999999</v>
      </c>
      <c r="B1966" s="1">
        <f>DATE(2014,1,23) + TIME(18,25,36)</f>
        <v>41662.767777777779</v>
      </c>
      <c r="C1966">
        <v>80</v>
      </c>
      <c r="D1966">
        <v>70.918472289999997</v>
      </c>
      <c r="E1966">
        <v>50</v>
      </c>
      <c r="F1966">
        <v>49.968933104999998</v>
      </c>
      <c r="G1966">
        <v>1300.0518798999999</v>
      </c>
      <c r="H1966">
        <v>1288.2348632999999</v>
      </c>
      <c r="I1966">
        <v>1381.4819336</v>
      </c>
      <c r="J1966">
        <v>1366.0633545000001</v>
      </c>
      <c r="K1966">
        <v>0</v>
      </c>
      <c r="L1966">
        <v>1875</v>
      </c>
      <c r="M1966">
        <v>1875</v>
      </c>
      <c r="N1966">
        <v>0</v>
      </c>
    </row>
    <row r="1967" spans="1:14" x14ac:dyDescent="0.25">
      <c r="A1967">
        <v>1366.2725359999999</v>
      </c>
      <c r="B1967" s="1">
        <f>DATE(2014,1,26) + TIME(6,32,27)</f>
        <v>41665.272534722222</v>
      </c>
      <c r="C1967">
        <v>80</v>
      </c>
      <c r="D1967">
        <v>70.647560119999994</v>
      </c>
      <c r="E1967">
        <v>50</v>
      </c>
      <c r="F1967">
        <v>49.968975067000002</v>
      </c>
      <c r="G1967">
        <v>1299.7753906</v>
      </c>
      <c r="H1967">
        <v>1287.8413086</v>
      </c>
      <c r="I1967">
        <v>1381.4476318</v>
      </c>
      <c r="J1967">
        <v>1366.0338135</v>
      </c>
      <c r="K1967">
        <v>0</v>
      </c>
      <c r="L1967">
        <v>1875</v>
      </c>
      <c r="M1967">
        <v>1875</v>
      </c>
      <c r="N1967">
        <v>0</v>
      </c>
    </row>
    <row r="1968" spans="1:14" x14ac:dyDescent="0.25">
      <c r="A1968">
        <v>1368.822895</v>
      </c>
      <c r="B1968" s="1">
        <f>DATE(2014,1,28) + TIME(19,44,58)</f>
        <v>41667.822893518518</v>
      </c>
      <c r="C1968">
        <v>80</v>
      </c>
      <c r="D1968">
        <v>70.362525939999998</v>
      </c>
      <c r="E1968">
        <v>50</v>
      </c>
      <c r="F1968">
        <v>49.969017029</v>
      </c>
      <c r="G1968">
        <v>1299.4919434000001</v>
      </c>
      <c r="H1968">
        <v>1287.4365233999999</v>
      </c>
      <c r="I1968">
        <v>1381.4133300999999</v>
      </c>
      <c r="J1968">
        <v>1366.0042725000001</v>
      </c>
      <c r="K1968">
        <v>0</v>
      </c>
      <c r="L1968">
        <v>1875</v>
      </c>
      <c r="M1968">
        <v>1875</v>
      </c>
      <c r="N1968">
        <v>0</v>
      </c>
    </row>
    <row r="1969" spans="1:14" x14ac:dyDescent="0.25">
      <c r="A1969">
        <v>1371.405724</v>
      </c>
      <c r="B1969" s="1">
        <f>DATE(2014,1,31) + TIME(9,44,14)</f>
        <v>41670.405717592592</v>
      </c>
      <c r="C1969">
        <v>80</v>
      </c>
      <c r="D1969">
        <v>70.062828064000001</v>
      </c>
      <c r="E1969">
        <v>50</v>
      </c>
      <c r="F1969">
        <v>49.969058990000001</v>
      </c>
      <c r="G1969">
        <v>1299.2014160000001</v>
      </c>
      <c r="H1969">
        <v>1287.0203856999999</v>
      </c>
      <c r="I1969">
        <v>1381.3790283000001</v>
      </c>
      <c r="J1969">
        <v>1365.9747314000001</v>
      </c>
      <c r="K1969">
        <v>0</v>
      </c>
      <c r="L1969">
        <v>1875</v>
      </c>
      <c r="M1969">
        <v>1875</v>
      </c>
      <c r="N1969">
        <v>0</v>
      </c>
    </row>
    <row r="1970" spans="1:14" x14ac:dyDescent="0.25">
      <c r="A1970">
        <v>1374.0263319999999</v>
      </c>
      <c r="B1970" s="1">
        <f>DATE(2014,2,3) + TIME(0,37,55)</f>
        <v>41673.026331018518</v>
      </c>
      <c r="C1970">
        <v>80</v>
      </c>
      <c r="D1970">
        <v>69.748039246000005</v>
      </c>
      <c r="E1970">
        <v>50</v>
      </c>
      <c r="F1970">
        <v>49.969104766999997</v>
      </c>
      <c r="G1970">
        <v>1298.9050293</v>
      </c>
      <c r="H1970">
        <v>1286.5947266000001</v>
      </c>
      <c r="I1970">
        <v>1381.3449707</v>
      </c>
      <c r="J1970">
        <v>1365.9453125</v>
      </c>
      <c r="K1970">
        <v>0</v>
      </c>
      <c r="L1970">
        <v>1875</v>
      </c>
      <c r="M1970">
        <v>1875</v>
      </c>
      <c r="N1970">
        <v>0</v>
      </c>
    </row>
    <row r="1971" spans="1:14" x14ac:dyDescent="0.25">
      <c r="A1971">
        <v>1376</v>
      </c>
      <c r="B1971" s="1">
        <f>DATE(2014,2,5) + TIME(0,0,0)</f>
        <v>41675</v>
      </c>
      <c r="C1971">
        <v>80</v>
      </c>
      <c r="D1971">
        <v>69.445320128999995</v>
      </c>
      <c r="E1971">
        <v>50</v>
      </c>
      <c r="F1971">
        <v>49.969135283999996</v>
      </c>
      <c r="G1971">
        <v>1298.6068115</v>
      </c>
      <c r="H1971">
        <v>1286.1706543</v>
      </c>
      <c r="I1971">
        <v>1381.3105469</v>
      </c>
      <c r="J1971">
        <v>1365.9156493999999</v>
      </c>
      <c r="K1971">
        <v>0</v>
      </c>
      <c r="L1971">
        <v>1875</v>
      </c>
      <c r="M1971">
        <v>1875</v>
      </c>
      <c r="N1971">
        <v>0</v>
      </c>
    </row>
    <row r="1972" spans="1:14" x14ac:dyDescent="0.25">
      <c r="A1972">
        <v>1376.0000010000001</v>
      </c>
      <c r="B1972" s="1">
        <f>DATE(2014,2,5) + TIME(0,0,0)</f>
        <v>41675</v>
      </c>
      <c r="C1972">
        <v>80</v>
      </c>
      <c r="D1972">
        <v>69.445365906000006</v>
      </c>
      <c r="E1972">
        <v>50</v>
      </c>
      <c r="F1972">
        <v>49.969089508000003</v>
      </c>
      <c r="G1972">
        <v>1298.9819336</v>
      </c>
      <c r="H1972">
        <v>1298.9819336</v>
      </c>
      <c r="I1972">
        <v>1365.5645752</v>
      </c>
      <c r="J1972">
        <v>1365.5645752</v>
      </c>
      <c r="K1972">
        <v>0</v>
      </c>
      <c r="L1972">
        <v>0</v>
      </c>
      <c r="M1972">
        <v>0</v>
      </c>
      <c r="N1972">
        <v>0</v>
      </c>
    </row>
    <row r="1973" spans="1:14" x14ac:dyDescent="0.25">
      <c r="A1973">
        <v>1376.000004</v>
      </c>
      <c r="B1973" s="1">
        <f>DATE(2014,2,5) + TIME(0,0,0)</f>
        <v>41675</v>
      </c>
      <c r="C1973">
        <v>80</v>
      </c>
      <c r="D1973">
        <v>69.445503235000004</v>
      </c>
      <c r="E1973">
        <v>50</v>
      </c>
      <c r="F1973">
        <v>49.968971252000003</v>
      </c>
      <c r="G1973">
        <v>1299.9489745999999</v>
      </c>
      <c r="H1973">
        <v>1299.9489745999999</v>
      </c>
      <c r="I1973">
        <v>1364.6280518000001</v>
      </c>
      <c r="J1973">
        <v>1364.6280518000001</v>
      </c>
      <c r="K1973">
        <v>0</v>
      </c>
      <c r="L1973">
        <v>0</v>
      </c>
      <c r="M1973">
        <v>0</v>
      </c>
      <c r="N1973">
        <v>0</v>
      </c>
    </row>
    <row r="1974" spans="1:14" x14ac:dyDescent="0.25">
      <c r="A1974">
        <v>1376.0000130000001</v>
      </c>
      <c r="B1974" s="1">
        <f>DATE(2014,2,5) + TIME(0,0,1)</f>
        <v>41675.000011574077</v>
      </c>
      <c r="C1974">
        <v>80</v>
      </c>
      <c r="D1974">
        <v>69.445777892999999</v>
      </c>
      <c r="E1974">
        <v>50</v>
      </c>
      <c r="F1974">
        <v>49.968708038000003</v>
      </c>
      <c r="G1974">
        <v>1301.9768065999999</v>
      </c>
      <c r="H1974">
        <v>1301.9768065999999</v>
      </c>
      <c r="I1974">
        <v>1362.5274658000001</v>
      </c>
      <c r="J1974">
        <v>1362.5274658000001</v>
      </c>
      <c r="K1974">
        <v>0</v>
      </c>
      <c r="L1974">
        <v>0</v>
      </c>
      <c r="M1974">
        <v>0</v>
      </c>
      <c r="N1974">
        <v>0</v>
      </c>
    </row>
    <row r="1975" spans="1:14" x14ac:dyDescent="0.25">
      <c r="A1975">
        <v>1376.0000399999999</v>
      </c>
      <c r="B1975" s="1">
        <f>DATE(2014,2,5) + TIME(0,0,3)</f>
        <v>41675.000034722223</v>
      </c>
      <c r="C1975">
        <v>80</v>
      </c>
      <c r="D1975">
        <v>69.446197510000005</v>
      </c>
      <c r="E1975">
        <v>50</v>
      </c>
      <c r="F1975">
        <v>49.968265533</v>
      </c>
      <c r="G1975">
        <v>1305.078125</v>
      </c>
      <c r="H1975">
        <v>1305.078125</v>
      </c>
      <c r="I1975">
        <v>1359.0180664</v>
      </c>
      <c r="J1975">
        <v>1359.0180664</v>
      </c>
      <c r="K1975">
        <v>0</v>
      </c>
      <c r="L1975">
        <v>0</v>
      </c>
      <c r="M1975">
        <v>0</v>
      </c>
      <c r="N1975">
        <v>0</v>
      </c>
    </row>
    <row r="1976" spans="1:14" x14ac:dyDescent="0.25">
      <c r="A1976">
        <v>1376.000121</v>
      </c>
      <c r="B1976" s="1">
        <f>DATE(2014,2,5) + TIME(0,0,10)</f>
        <v>41675.000115740739</v>
      </c>
      <c r="C1976">
        <v>80</v>
      </c>
      <c r="D1976">
        <v>69.446678161999998</v>
      </c>
      <c r="E1976">
        <v>50</v>
      </c>
      <c r="F1976">
        <v>49.967723845999998</v>
      </c>
      <c r="G1976">
        <v>1308.6392822</v>
      </c>
      <c r="H1976">
        <v>1308.6392822</v>
      </c>
      <c r="I1976">
        <v>1354.7351074000001</v>
      </c>
      <c r="J1976">
        <v>1354.7351074000001</v>
      </c>
      <c r="K1976">
        <v>0</v>
      </c>
      <c r="L1976">
        <v>0</v>
      </c>
      <c r="M1976">
        <v>0</v>
      </c>
      <c r="N1976">
        <v>0</v>
      </c>
    </row>
    <row r="1977" spans="1:14" x14ac:dyDescent="0.25">
      <c r="A1977">
        <v>1376.000364</v>
      </c>
      <c r="B1977" s="1">
        <f>DATE(2014,2,5) + TIME(0,0,31)</f>
        <v>41675.000358796293</v>
      </c>
      <c r="C1977">
        <v>80</v>
      </c>
      <c r="D1977">
        <v>69.447158813000001</v>
      </c>
      <c r="E1977">
        <v>50</v>
      </c>
      <c r="F1977">
        <v>49.967159271</v>
      </c>
      <c r="G1977">
        <v>1312.2789307</v>
      </c>
      <c r="H1977">
        <v>1312.2789307</v>
      </c>
      <c r="I1977">
        <v>1350.3270264</v>
      </c>
      <c r="J1977">
        <v>1350.3270264</v>
      </c>
      <c r="K1977">
        <v>0</v>
      </c>
      <c r="L1977">
        <v>0</v>
      </c>
      <c r="M1977">
        <v>0</v>
      </c>
      <c r="N1977">
        <v>0</v>
      </c>
    </row>
    <row r="1978" spans="1:14" x14ac:dyDescent="0.25">
      <c r="A1978">
        <v>1376.0010930000001</v>
      </c>
      <c r="B1978" s="1">
        <f>DATE(2014,2,5) + TIME(0,1,34)</f>
        <v>41675.001087962963</v>
      </c>
      <c r="C1978">
        <v>80</v>
      </c>
      <c r="D1978">
        <v>69.447654724000003</v>
      </c>
      <c r="E1978">
        <v>50</v>
      </c>
      <c r="F1978">
        <v>49.966579437</v>
      </c>
      <c r="G1978">
        <v>1316.057251</v>
      </c>
      <c r="H1978">
        <v>1316.057251</v>
      </c>
      <c r="I1978">
        <v>1345.9101562000001</v>
      </c>
      <c r="J1978">
        <v>1345.9101562000001</v>
      </c>
      <c r="K1978">
        <v>0</v>
      </c>
      <c r="L1978">
        <v>0</v>
      </c>
      <c r="M1978">
        <v>0</v>
      </c>
      <c r="N1978">
        <v>0</v>
      </c>
    </row>
    <row r="1979" spans="1:14" x14ac:dyDescent="0.25">
      <c r="A1979">
        <v>1376.0032799999999</v>
      </c>
      <c r="B1979" s="1">
        <f>DATE(2014,2,5) + TIME(0,4,43)</f>
        <v>41675.003275462965</v>
      </c>
      <c r="C1979">
        <v>80</v>
      </c>
      <c r="D1979">
        <v>69.448158264</v>
      </c>
      <c r="E1979">
        <v>50</v>
      </c>
      <c r="F1979">
        <v>49.965942382999998</v>
      </c>
      <c r="G1979">
        <v>1320.2463379000001</v>
      </c>
      <c r="H1979">
        <v>1320.2463379000001</v>
      </c>
      <c r="I1979">
        <v>1341.3779297000001</v>
      </c>
      <c r="J1979">
        <v>1341.3779297000001</v>
      </c>
      <c r="K1979">
        <v>0</v>
      </c>
      <c r="L1979">
        <v>0</v>
      </c>
      <c r="M1979">
        <v>0</v>
      </c>
      <c r="N1979">
        <v>0</v>
      </c>
    </row>
    <row r="1980" spans="1:14" x14ac:dyDescent="0.25">
      <c r="A1980">
        <v>1376.0098410000001</v>
      </c>
      <c r="B1980" s="1">
        <f>DATE(2014,2,5) + TIME(0,14,10)</f>
        <v>41675.009837962964</v>
      </c>
      <c r="C1980">
        <v>80</v>
      </c>
      <c r="D1980">
        <v>69.448608398000005</v>
      </c>
      <c r="E1980">
        <v>50</v>
      </c>
      <c r="F1980">
        <v>49.965164184999999</v>
      </c>
      <c r="G1980">
        <v>1324.8146973</v>
      </c>
      <c r="H1980">
        <v>1324.8146973</v>
      </c>
      <c r="I1980">
        <v>1336.7886963000001</v>
      </c>
      <c r="J1980">
        <v>1336.7886963000001</v>
      </c>
      <c r="K1980">
        <v>0</v>
      </c>
      <c r="L1980">
        <v>0</v>
      </c>
      <c r="M1980">
        <v>0</v>
      </c>
      <c r="N1980">
        <v>0</v>
      </c>
    </row>
    <row r="1981" spans="1:14" x14ac:dyDescent="0.25">
      <c r="A1981">
        <v>1376.029524</v>
      </c>
      <c r="B1981" s="1">
        <f>DATE(2014,2,5) + TIME(0,42,30)</f>
        <v>41675.029513888891</v>
      </c>
      <c r="C1981">
        <v>80</v>
      </c>
      <c r="D1981">
        <v>69.448783875000004</v>
      </c>
      <c r="E1981">
        <v>50</v>
      </c>
      <c r="F1981">
        <v>49.964103698999999</v>
      </c>
      <c r="G1981">
        <v>1328.7825928</v>
      </c>
      <c r="H1981">
        <v>1328.7825928</v>
      </c>
      <c r="I1981">
        <v>1333.0374756000001</v>
      </c>
      <c r="J1981">
        <v>1333.0374756000001</v>
      </c>
      <c r="K1981">
        <v>0</v>
      </c>
      <c r="L1981">
        <v>0</v>
      </c>
      <c r="M1981">
        <v>0</v>
      </c>
      <c r="N1981">
        <v>0</v>
      </c>
    </row>
    <row r="1982" spans="1:14" x14ac:dyDescent="0.25">
      <c r="A1982">
        <v>1376.088573</v>
      </c>
      <c r="B1982" s="1">
        <f>DATE(2014,2,5) + TIME(2,7,32)</f>
        <v>41675.088564814818</v>
      </c>
      <c r="C1982">
        <v>80</v>
      </c>
      <c r="D1982">
        <v>69.448234557999996</v>
      </c>
      <c r="E1982">
        <v>50</v>
      </c>
      <c r="F1982">
        <v>49.962139129999997</v>
      </c>
      <c r="G1982">
        <v>1330.9847411999999</v>
      </c>
      <c r="H1982">
        <v>1330.9847411999999</v>
      </c>
      <c r="I1982">
        <v>1331.2969971</v>
      </c>
      <c r="J1982">
        <v>1331.2969971</v>
      </c>
      <c r="K1982">
        <v>0</v>
      </c>
      <c r="L1982">
        <v>0</v>
      </c>
      <c r="M1982">
        <v>0</v>
      </c>
      <c r="N1982">
        <v>0</v>
      </c>
    </row>
    <row r="1983" spans="1:14" x14ac:dyDescent="0.25">
      <c r="A1983">
        <v>1376.2657200000001</v>
      </c>
      <c r="B1983" s="1">
        <f>DATE(2014,2,5) + TIME(6,22,38)</f>
        <v>41675.265717592592</v>
      </c>
      <c r="C1983">
        <v>80</v>
      </c>
      <c r="D1983">
        <v>69.445960998999993</v>
      </c>
      <c r="E1983">
        <v>50</v>
      </c>
      <c r="F1983">
        <v>49.956867217999999</v>
      </c>
      <c r="G1983">
        <v>1331.6165771000001</v>
      </c>
      <c r="H1983">
        <v>1331.6165771000001</v>
      </c>
      <c r="I1983">
        <v>1331.0124512</v>
      </c>
      <c r="J1983">
        <v>1331.0124512</v>
      </c>
      <c r="K1983">
        <v>0</v>
      </c>
      <c r="L1983">
        <v>0</v>
      </c>
      <c r="M1983">
        <v>0</v>
      </c>
      <c r="N1983">
        <v>0</v>
      </c>
    </row>
    <row r="1984" spans="1:14" x14ac:dyDescent="0.25">
      <c r="A1984">
        <v>1376.797161</v>
      </c>
      <c r="B1984" s="1">
        <f>DATE(2014,2,5) + TIME(19,7,54)</f>
        <v>41675.797152777777</v>
      </c>
      <c r="C1984">
        <v>80</v>
      </c>
      <c r="D1984">
        <v>69.438941955999994</v>
      </c>
      <c r="E1984">
        <v>50</v>
      </c>
      <c r="F1984">
        <v>49.941200256000002</v>
      </c>
      <c r="G1984">
        <v>1331.6984863</v>
      </c>
      <c r="H1984">
        <v>1331.6984863</v>
      </c>
      <c r="I1984">
        <v>1331.0129394999999</v>
      </c>
      <c r="J1984">
        <v>1331.0129394999999</v>
      </c>
      <c r="K1984">
        <v>0</v>
      </c>
      <c r="L1984">
        <v>0</v>
      </c>
      <c r="M1984">
        <v>0</v>
      </c>
      <c r="N1984">
        <v>0</v>
      </c>
    </row>
    <row r="1985" spans="1:14" x14ac:dyDescent="0.25">
      <c r="A1985">
        <v>1378.391484</v>
      </c>
      <c r="B1985" s="1">
        <f>DATE(2014,2,7) + TIME(9,23,44)</f>
        <v>41677.391481481478</v>
      </c>
      <c r="C1985">
        <v>80</v>
      </c>
      <c r="D1985">
        <v>69.417709350999999</v>
      </c>
      <c r="E1985">
        <v>50</v>
      </c>
      <c r="F1985">
        <v>49.894641876000001</v>
      </c>
      <c r="G1985">
        <v>1331.7021483999999</v>
      </c>
      <c r="H1985">
        <v>1331.7021483999999</v>
      </c>
      <c r="I1985">
        <v>1331.0145264</v>
      </c>
      <c r="J1985">
        <v>1331.0145264</v>
      </c>
      <c r="K1985">
        <v>0</v>
      </c>
      <c r="L1985">
        <v>0</v>
      </c>
      <c r="M1985">
        <v>0</v>
      </c>
      <c r="N1985">
        <v>0</v>
      </c>
    </row>
    <row r="1986" spans="1:14" x14ac:dyDescent="0.25">
      <c r="A1986">
        <v>1381</v>
      </c>
      <c r="B1986" s="1">
        <f>DATE(2014,2,10) + TIME(0,0,0)</f>
        <v>41680</v>
      </c>
      <c r="C1986">
        <v>80</v>
      </c>
      <c r="D1986">
        <v>69.382644653</v>
      </c>
      <c r="E1986">
        <v>50</v>
      </c>
      <c r="F1986">
        <v>49.81961441</v>
      </c>
      <c r="G1986">
        <v>1331.7000731999999</v>
      </c>
      <c r="H1986">
        <v>1331.7000731999999</v>
      </c>
      <c r="I1986">
        <v>1331.0140381000001</v>
      </c>
      <c r="J1986">
        <v>1331.0140381000001</v>
      </c>
      <c r="K1986">
        <v>0</v>
      </c>
      <c r="L1986">
        <v>0</v>
      </c>
      <c r="M1986">
        <v>0</v>
      </c>
      <c r="N1986">
        <v>0</v>
      </c>
    </row>
    <row r="1987" spans="1:14" x14ac:dyDescent="0.25">
      <c r="A1987">
        <v>1381.0000010000001</v>
      </c>
      <c r="B1987" s="1">
        <f>DATE(2014,2,10) + TIME(0,0,0)</f>
        <v>41680</v>
      </c>
      <c r="C1987">
        <v>80</v>
      </c>
      <c r="D1987">
        <v>69.382598877000007</v>
      </c>
      <c r="E1987">
        <v>50</v>
      </c>
      <c r="F1987">
        <v>49.819656371999997</v>
      </c>
      <c r="G1987">
        <v>1331.3665771000001</v>
      </c>
      <c r="H1987">
        <v>1320.3389893000001</v>
      </c>
      <c r="I1987">
        <v>1346.6934814000001</v>
      </c>
      <c r="J1987">
        <v>1331.3629149999999</v>
      </c>
      <c r="K1987">
        <v>0</v>
      </c>
      <c r="L1987">
        <v>1825</v>
      </c>
      <c r="M1987">
        <v>1825</v>
      </c>
      <c r="N1987">
        <v>0</v>
      </c>
    </row>
    <row r="1988" spans="1:14" x14ac:dyDescent="0.25">
      <c r="A1988">
        <v>1381.000004</v>
      </c>
      <c r="B1988" s="1">
        <f>DATE(2014,2,10) + TIME(0,0,0)</f>
        <v>41680</v>
      </c>
      <c r="C1988">
        <v>80</v>
      </c>
      <c r="D1988">
        <v>69.382476807000003</v>
      </c>
      <c r="E1988">
        <v>50</v>
      </c>
      <c r="F1988">
        <v>49.819774627999998</v>
      </c>
      <c r="G1988">
        <v>1330.5051269999999</v>
      </c>
      <c r="H1988">
        <v>1319.4600829999999</v>
      </c>
      <c r="I1988">
        <v>1347.5805664</v>
      </c>
      <c r="J1988">
        <v>1332.2908935999999</v>
      </c>
      <c r="K1988">
        <v>0</v>
      </c>
      <c r="L1988">
        <v>1825</v>
      </c>
      <c r="M1988">
        <v>1825</v>
      </c>
      <c r="N1988">
        <v>0</v>
      </c>
    </row>
    <row r="1989" spans="1:14" x14ac:dyDescent="0.25">
      <c r="A1989">
        <v>1381.0000130000001</v>
      </c>
      <c r="B1989" s="1">
        <f>DATE(2014,2,10) + TIME(0,0,1)</f>
        <v>41680.000011574077</v>
      </c>
      <c r="C1989">
        <v>80</v>
      </c>
      <c r="D1989">
        <v>69.382232665999993</v>
      </c>
      <c r="E1989">
        <v>50</v>
      </c>
      <c r="F1989">
        <v>49.820037841999998</v>
      </c>
      <c r="G1989">
        <v>1328.6829834</v>
      </c>
      <c r="H1989">
        <v>1317.5627440999999</v>
      </c>
      <c r="I1989">
        <v>1349.5706786999999</v>
      </c>
      <c r="J1989">
        <v>1334.3609618999999</v>
      </c>
      <c r="K1989">
        <v>0</v>
      </c>
      <c r="L1989">
        <v>1825</v>
      </c>
      <c r="M1989">
        <v>1825</v>
      </c>
      <c r="N1989">
        <v>0</v>
      </c>
    </row>
    <row r="1990" spans="1:14" x14ac:dyDescent="0.25">
      <c r="A1990">
        <v>1381.0000399999999</v>
      </c>
      <c r="B1990" s="1">
        <f>DATE(2014,2,10) + TIME(0,0,3)</f>
        <v>41680.000034722223</v>
      </c>
      <c r="C1990">
        <v>80</v>
      </c>
      <c r="D1990">
        <v>69.381828307999996</v>
      </c>
      <c r="E1990">
        <v>50</v>
      </c>
      <c r="F1990">
        <v>49.820472717000001</v>
      </c>
      <c r="G1990">
        <v>1325.8283690999999</v>
      </c>
      <c r="H1990">
        <v>1314.5338135</v>
      </c>
      <c r="I1990">
        <v>1352.8957519999999</v>
      </c>
      <c r="J1990">
        <v>1337.7888184000001</v>
      </c>
      <c r="K1990">
        <v>0</v>
      </c>
      <c r="L1990">
        <v>1825</v>
      </c>
      <c r="M1990">
        <v>1825</v>
      </c>
      <c r="N1990">
        <v>0</v>
      </c>
    </row>
    <row r="1991" spans="1:14" x14ac:dyDescent="0.25">
      <c r="A1991">
        <v>1381.000121</v>
      </c>
      <c r="B1991" s="1">
        <f>DATE(2014,2,10) + TIME(0,0,10)</f>
        <v>41680.000115740739</v>
      </c>
      <c r="C1991">
        <v>80</v>
      </c>
      <c r="D1991">
        <v>69.381340026999993</v>
      </c>
      <c r="E1991">
        <v>50</v>
      </c>
      <c r="F1991">
        <v>49.821002960000001</v>
      </c>
      <c r="G1991">
        <v>1322.4289550999999</v>
      </c>
      <c r="H1991">
        <v>1310.9289550999999</v>
      </c>
      <c r="I1991">
        <v>1356.9536132999999</v>
      </c>
      <c r="J1991">
        <v>1341.9326172000001</v>
      </c>
      <c r="K1991">
        <v>0</v>
      </c>
      <c r="L1991">
        <v>1825</v>
      </c>
      <c r="M1991">
        <v>1825</v>
      </c>
      <c r="N1991">
        <v>0</v>
      </c>
    </row>
    <row r="1992" spans="1:14" x14ac:dyDescent="0.25">
      <c r="A1992">
        <v>1381.000364</v>
      </c>
      <c r="B1992" s="1">
        <f>DATE(2014,2,10) + TIME(0,0,31)</f>
        <v>41680.000358796293</v>
      </c>
      <c r="C1992">
        <v>80</v>
      </c>
      <c r="D1992">
        <v>69.380760193</v>
      </c>
      <c r="E1992">
        <v>50</v>
      </c>
      <c r="F1992">
        <v>49.821571349999999</v>
      </c>
      <c r="G1992">
        <v>1318.8460693</v>
      </c>
      <c r="H1992">
        <v>1307.1757812000001</v>
      </c>
      <c r="I1992">
        <v>1361.1318358999999</v>
      </c>
      <c r="J1992">
        <v>1346.1701660000001</v>
      </c>
      <c r="K1992">
        <v>0</v>
      </c>
      <c r="L1992">
        <v>1825</v>
      </c>
      <c r="M1992">
        <v>1825</v>
      </c>
      <c r="N1992">
        <v>0</v>
      </c>
    </row>
    <row r="1993" spans="1:14" x14ac:dyDescent="0.25">
      <c r="A1993">
        <v>1381.0010930000001</v>
      </c>
      <c r="B1993" s="1">
        <f>DATE(2014,2,10) + TIME(0,1,34)</f>
        <v>41680.001087962963</v>
      </c>
      <c r="C1993">
        <v>80</v>
      </c>
      <c r="D1993">
        <v>69.379966736</v>
      </c>
      <c r="E1993">
        <v>50</v>
      </c>
      <c r="F1993">
        <v>49.822204589999998</v>
      </c>
      <c r="G1993">
        <v>1315.0412598</v>
      </c>
      <c r="H1993">
        <v>1303.2185059000001</v>
      </c>
      <c r="I1993">
        <v>1365.3376464999999</v>
      </c>
      <c r="J1993">
        <v>1350.4117432</v>
      </c>
      <c r="K1993">
        <v>0</v>
      </c>
      <c r="L1993">
        <v>1825</v>
      </c>
      <c r="M1993">
        <v>1825</v>
      </c>
      <c r="N1993">
        <v>0</v>
      </c>
    </row>
    <row r="1994" spans="1:14" x14ac:dyDescent="0.25">
      <c r="A1994">
        <v>1381.0032799999999</v>
      </c>
      <c r="B1994" s="1">
        <f>DATE(2014,2,10) + TIME(0,4,43)</f>
        <v>41680.003275462965</v>
      </c>
      <c r="C1994">
        <v>80</v>
      </c>
      <c r="D1994">
        <v>69.378532410000005</v>
      </c>
      <c r="E1994">
        <v>50</v>
      </c>
      <c r="F1994">
        <v>49.823051452999998</v>
      </c>
      <c r="G1994">
        <v>1310.7772216999999</v>
      </c>
      <c r="H1994">
        <v>1298.8148193</v>
      </c>
      <c r="I1994">
        <v>1369.7277832</v>
      </c>
      <c r="J1994">
        <v>1354.8028564000001</v>
      </c>
      <c r="K1994">
        <v>0</v>
      </c>
      <c r="L1994">
        <v>1825</v>
      </c>
      <c r="M1994">
        <v>1825</v>
      </c>
      <c r="N1994">
        <v>0</v>
      </c>
    </row>
    <row r="1995" spans="1:14" x14ac:dyDescent="0.25">
      <c r="A1995">
        <v>1381.0098410000001</v>
      </c>
      <c r="B1995" s="1">
        <f>DATE(2014,2,10) + TIME(0,14,10)</f>
        <v>41680.009837962964</v>
      </c>
      <c r="C1995">
        <v>80</v>
      </c>
      <c r="D1995">
        <v>69.375305175999998</v>
      </c>
      <c r="E1995">
        <v>50</v>
      </c>
      <c r="F1995">
        <v>49.824501038000001</v>
      </c>
      <c r="G1995">
        <v>1306.1481934000001</v>
      </c>
      <c r="H1995">
        <v>1294.0804443</v>
      </c>
      <c r="I1995">
        <v>1374.2600098</v>
      </c>
      <c r="J1995">
        <v>1359.3052978999999</v>
      </c>
      <c r="K1995">
        <v>0</v>
      </c>
      <c r="L1995">
        <v>1825</v>
      </c>
      <c r="M1995">
        <v>1825</v>
      </c>
      <c r="N1995">
        <v>0</v>
      </c>
    </row>
    <row r="1996" spans="1:14" x14ac:dyDescent="0.25">
      <c r="A1996">
        <v>1381.029524</v>
      </c>
      <c r="B1996" s="1">
        <f>DATE(2014,2,10) + TIME(0,42,30)</f>
        <v>41680.029513888891</v>
      </c>
      <c r="C1996">
        <v>80</v>
      </c>
      <c r="D1996">
        <v>69.366920471</v>
      </c>
      <c r="E1996">
        <v>50</v>
      </c>
      <c r="F1996">
        <v>49.827560425000001</v>
      </c>
      <c r="G1996">
        <v>1302.1730957</v>
      </c>
      <c r="H1996">
        <v>1290.0461425999999</v>
      </c>
      <c r="I1996">
        <v>1377.9812012</v>
      </c>
      <c r="J1996">
        <v>1362.9982910000001</v>
      </c>
      <c r="K1996">
        <v>0</v>
      </c>
      <c r="L1996">
        <v>1825</v>
      </c>
      <c r="M1996">
        <v>1825</v>
      </c>
      <c r="N1996">
        <v>0</v>
      </c>
    </row>
    <row r="1997" spans="1:14" x14ac:dyDescent="0.25">
      <c r="A1997">
        <v>1381.088573</v>
      </c>
      <c r="B1997" s="1">
        <f>DATE(2014,2,10) + TIME(2,7,32)</f>
        <v>41680.088564814818</v>
      </c>
      <c r="C1997">
        <v>80</v>
      </c>
      <c r="D1997">
        <v>69.343948363999999</v>
      </c>
      <c r="E1997">
        <v>50</v>
      </c>
      <c r="F1997">
        <v>49.835144043</v>
      </c>
      <c r="G1997">
        <v>1299.9840088000001</v>
      </c>
      <c r="H1997">
        <v>1287.8308105000001</v>
      </c>
      <c r="I1997">
        <v>1379.7036132999999</v>
      </c>
      <c r="J1997">
        <v>1364.7095947</v>
      </c>
      <c r="K1997">
        <v>0</v>
      </c>
      <c r="L1997">
        <v>1825</v>
      </c>
      <c r="M1997">
        <v>1825</v>
      </c>
      <c r="N1997">
        <v>0</v>
      </c>
    </row>
    <row r="1998" spans="1:14" x14ac:dyDescent="0.25">
      <c r="A1998">
        <v>1381.2657200000001</v>
      </c>
      <c r="B1998" s="1">
        <f>DATE(2014,2,10) + TIME(6,22,38)</f>
        <v>41680.265717592592</v>
      </c>
      <c r="C1998">
        <v>80</v>
      </c>
      <c r="D1998">
        <v>69.284858704000001</v>
      </c>
      <c r="E1998">
        <v>50</v>
      </c>
      <c r="F1998">
        <v>49.854133605999998</v>
      </c>
      <c r="G1998">
        <v>1299.3447266000001</v>
      </c>
      <c r="H1998">
        <v>1287.1705322</v>
      </c>
      <c r="I1998">
        <v>1379.9840088000001</v>
      </c>
      <c r="J1998">
        <v>1364.9895019999999</v>
      </c>
      <c r="K1998">
        <v>0</v>
      </c>
      <c r="L1998">
        <v>1825</v>
      </c>
      <c r="M1998">
        <v>1825</v>
      </c>
      <c r="N1998">
        <v>0</v>
      </c>
    </row>
    <row r="1999" spans="1:14" x14ac:dyDescent="0.25">
      <c r="A1999">
        <v>1381.797161</v>
      </c>
      <c r="B1999" s="1">
        <f>DATE(2014,2,10) + TIME(19,7,54)</f>
        <v>41680.797152777777</v>
      </c>
      <c r="C1999">
        <v>80</v>
      </c>
      <c r="D1999">
        <v>69.161819457999997</v>
      </c>
      <c r="E1999">
        <v>50</v>
      </c>
      <c r="F1999">
        <v>49.892086028999998</v>
      </c>
      <c r="G1999">
        <v>1299.2287598</v>
      </c>
      <c r="H1999">
        <v>1287.0178223</v>
      </c>
      <c r="I1999">
        <v>1379.9794922000001</v>
      </c>
      <c r="J1999">
        <v>1364.9884033000001</v>
      </c>
      <c r="K1999">
        <v>0</v>
      </c>
      <c r="L1999">
        <v>1825</v>
      </c>
      <c r="M1999">
        <v>1825</v>
      </c>
      <c r="N1999">
        <v>0</v>
      </c>
    </row>
    <row r="2000" spans="1:14" x14ac:dyDescent="0.25">
      <c r="A2000">
        <v>1383.391484</v>
      </c>
      <c r="B2000" s="1">
        <f>DATE(2014,2,12) + TIME(9,23,44)</f>
        <v>41682.391481481478</v>
      </c>
      <c r="C2000">
        <v>80</v>
      </c>
      <c r="D2000">
        <v>68.977531432999996</v>
      </c>
      <c r="E2000">
        <v>50</v>
      </c>
      <c r="F2000">
        <v>49.937767029</v>
      </c>
      <c r="G2000">
        <v>1299.1448975000001</v>
      </c>
      <c r="H2000">
        <v>1286.8734131000001</v>
      </c>
      <c r="I2000">
        <v>1379.9688721</v>
      </c>
      <c r="J2000">
        <v>1364.9824219</v>
      </c>
      <c r="K2000">
        <v>0</v>
      </c>
      <c r="L2000">
        <v>1825</v>
      </c>
      <c r="M2000">
        <v>1825</v>
      </c>
      <c r="N2000">
        <v>0</v>
      </c>
    </row>
    <row r="2001" spans="1:14" x14ac:dyDescent="0.25">
      <c r="A2001">
        <v>1386.2366529999999</v>
      </c>
      <c r="B2001" s="1">
        <f>DATE(2014,2,15) + TIME(5,40,46)</f>
        <v>41685.236643518518</v>
      </c>
      <c r="C2001">
        <v>80</v>
      </c>
      <c r="D2001">
        <v>68.733604431000003</v>
      </c>
      <c r="E2001">
        <v>50</v>
      </c>
      <c r="F2001">
        <v>49.960105896000002</v>
      </c>
      <c r="G2001">
        <v>1298.9660644999999</v>
      </c>
      <c r="H2001">
        <v>1286.6074219</v>
      </c>
      <c r="I2001">
        <v>1379.9483643000001</v>
      </c>
      <c r="J2001">
        <v>1364.965332</v>
      </c>
      <c r="K2001">
        <v>0</v>
      </c>
      <c r="L2001">
        <v>1825</v>
      </c>
      <c r="M2001">
        <v>1825</v>
      </c>
      <c r="N2001">
        <v>0</v>
      </c>
    </row>
    <row r="2002" spans="1:14" x14ac:dyDescent="0.25">
      <c r="A2002">
        <v>1389.116951</v>
      </c>
      <c r="B2002" s="1">
        <f>DATE(2014,2,18) + TIME(2,48,24)</f>
        <v>41688.116944444446</v>
      </c>
      <c r="C2002">
        <v>80</v>
      </c>
      <c r="D2002">
        <v>68.381271362000007</v>
      </c>
      <c r="E2002">
        <v>50</v>
      </c>
      <c r="F2002">
        <v>49.966266632</v>
      </c>
      <c r="G2002">
        <v>1298.6694336</v>
      </c>
      <c r="H2002">
        <v>1286.1860352000001</v>
      </c>
      <c r="I2002">
        <v>1379.9132079999999</v>
      </c>
      <c r="J2002">
        <v>1364.934082</v>
      </c>
      <c r="K2002">
        <v>0</v>
      </c>
      <c r="L2002">
        <v>1825</v>
      </c>
      <c r="M2002">
        <v>1825</v>
      </c>
      <c r="N2002">
        <v>0</v>
      </c>
    </row>
    <row r="2003" spans="1:14" x14ac:dyDescent="0.25">
      <c r="A2003">
        <v>1392.0421120000001</v>
      </c>
      <c r="B2003" s="1">
        <f>DATE(2014,2,21) + TIME(1,0,38)</f>
        <v>41691.04210648148</v>
      </c>
      <c r="C2003">
        <v>80</v>
      </c>
      <c r="D2003">
        <v>67.988853454999997</v>
      </c>
      <c r="E2003">
        <v>50</v>
      </c>
      <c r="F2003">
        <v>49.967975615999997</v>
      </c>
      <c r="G2003">
        <v>1298.3544922000001</v>
      </c>
      <c r="H2003">
        <v>1285.7290039</v>
      </c>
      <c r="I2003">
        <v>1379.8789062000001</v>
      </c>
      <c r="J2003">
        <v>1364.9036865</v>
      </c>
      <c r="K2003">
        <v>0</v>
      </c>
      <c r="L2003">
        <v>1825</v>
      </c>
      <c r="M2003">
        <v>1825</v>
      </c>
      <c r="N2003">
        <v>0</v>
      </c>
    </row>
    <row r="2004" spans="1:14" x14ac:dyDescent="0.25">
      <c r="A2004">
        <v>1395.0181580000001</v>
      </c>
      <c r="B2004" s="1">
        <f>DATE(2014,2,24) + TIME(0,26,8)</f>
        <v>41694.018148148149</v>
      </c>
      <c r="C2004">
        <v>80</v>
      </c>
      <c r="D2004">
        <v>67.572067261000001</v>
      </c>
      <c r="E2004">
        <v>50</v>
      </c>
      <c r="F2004">
        <v>49.968471526999998</v>
      </c>
      <c r="G2004">
        <v>1298.0306396000001</v>
      </c>
      <c r="H2004">
        <v>1285.2554932</v>
      </c>
      <c r="I2004">
        <v>1379.8447266000001</v>
      </c>
      <c r="J2004">
        <v>1364.8736572</v>
      </c>
      <c r="K2004">
        <v>0</v>
      </c>
      <c r="L2004">
        <v>1825</v>
      </c>
      <c r="M2004">
        <v>1825</v>
      </c>
      <c r="N2004">
        <v>0</v>
      </c>
    </row>
    <row r="2005" spans="1:14" x14ac:dyDescent="0.25">
      <c r="A2005">
        <v>1398.0512799999999</v>
      </c>
      <c r="B2005" s="1">
        <f>DATE(2014,2,27) + TIME(1,13,50)</f>
        <v>41697.05127314815</v>
      </c>
      <c r="C2005">
        <v>80</v>
      </c>
      <c r="D2005">
        <v>67.133979796999995</v>
      </c>
      <c r="E2005">
        <v>50</v>
      </c>
      <c r="F2005">
        <v>49.968643188000001</v>
      </c>
      <c r="G2005">
        <v>1297.7000731999999</v>
      </c>
      <c r="H2005">
        <v>1284.7702637</v>
      </c>
      <c r="I2005">
        <v>1379.8104248</v>
      </c>
      <c r="J2005">
        <v>1364.84375</v>
      </c>
      <c r="K2005">
        <v>0</v>
      </c>
      <c r="L2005">
        <v>1825</v>
      </c>
      <c r="M2005">
        <v>1825</v>
      </c>
      <c r="N2005">
        <v>0</v>
      </c>
    </row>
    <row r="2006" spans="1:14" x14ac:dyDescent="0.25">
      <c r="A2006">
        <v>1401.1480039999999</v>
      </c>
      <c r="B2006" s="1">
        <f>DATE(2014,3,2) + TIME(3,33,7)</f>
        <v>41700.147997685184</v>
      </c>
      <c r="C2006">
        <v>80</v>
      </c>
      <c r="D2006">
        <v>66.674377441000004</v>
      </c>
      <c r="E2006">
        <v>50</v>
      </c>
      <c r="F2006">
        <v>49.968723296999997</v>
      </c>
      <c r="G2006">
        <v>1297.3631591999999</v>
      </c>
      <c r="H2006">
        <v>1284.2738036999999</v>
      </c>
      <c r="I2006">
        <v>1379.7761230000001</v>
      </c>
      <c r="J2006">
        <v>1364.8135986</v>
      </c>
      <c r="K2006">
        <v>0</v>
      </c>
      <c r="L2006">
        <v>1825</v>
      </c>
      <c r="M2006">
        <v>1825</v>
      </c>
      <c r="N2006">
        <v>0</v>
      </c>
    </row>
    <row r="2007" spans="1:14" x14ac:dyDescent="0.25">
      <c r="A2007">
        <v>1404.3152669999999</v>
      </c>
      <c r="B2007" s="1">
        <f>DATE(2014,3,5) + TIME(7,33,59)</f>
        <v>41703.315266203703</v>
      </c>
      <c r="C2007">
        <v>80</v>
      </c>
      <c r="D2007">
        <v>66.192169188999998</v>
      </c>
      <c r="E2007">
        <v>50</v>
      </c>
      <c r="F2007">
        <v>49.968784331999998</v>
      </c>
      <c r="G2007">
        <v>1297.0197754000001</v>
      </c>
      <c r="H2007">
        <v>1283.7659911999999</v>
      </c>
      <c r="I2007">
        <v>1379.7414550999999</v>
      </c>
      <c r="J2007">
        <v>1364.7833252</v>
      </c>
      <c r="K2007">
        <v>0</v>
      </c>
      <c r="L2007">
        <v>1825</v>
      </c>
      <c r="M2007">
        <v>1825</v>
      </c>
      <c r="N2007">
        <v>0</v>
      </c>
    </row>
    <row r="2008" spans="1:14" x14ac:dyDescent="0.25">
      <c r="A2008">
        <v>1407.537376</v>
      </c>
      <c r="B2008" s="1">
        <f>DATE(2014,3,8) + TIME(12,53,49)</f>
        <v>41706.537372685183</v>
      </c>
      <c r="C2008">
        <v>80</v>
      </c>
      <c r="D2008">
        <v>65.686782836999996</v>
      </c>
      <c r="E2008">
        <v>50</v>
      </c>
      <c r="F2008">
        <v>49.968837737999998</v>
      </c>
      <c r="G2008">
        <v>1296.6696777</v>
      </c>
      <c r="H2008">
        <v>1283.2463379000001</v>
      </c>
      <c r="I2008">
        <v>1379.7064209</v>
      </c>
      <c r="J2008">
        <v>1364.7528076000001</v>
      </c>
      <c r="K2008">
        <v>0</v>
      </c>
      <c r="L2008">
        <v>1825</v>
      </c>
      <c r="M2008">
        <v>1825</v>
      </c>
      <c r="N2008">
        <v>0</v>
      </c>
    </row>
    <row r="2009" spans="1:14" x14ac:dyDescent="0.25">
      <c r="A2009">
        <v>1410.821445</v>
      </c>
      <c r="B2009" s="1">
        <f>DATE(2014,3,11) + TIME(19,42,52)</f>
        <v>41709.821435185186</v>
      </c>
      <c r="C2009">
        <v>80</v>
      </c>
      <c r="D2009">
        <v>65.159286499000004</v>
      </c>
      <c r="E2009">
        <v>50</v>
      </c>
      <c r="F2009">
        <v>49.968891143999997</v>
      </c>
      <c r="G2009">
        <v>1296.3145752</v>
      </c>
      <c r="H2009">
        <v>1282.7172852000001</v>
      </c>
      <c r="I2009">
        <v>1379.6712646000001</v>
      </c>
      <c r="J2009">
        <v>1364.7219238</v>
      </c>
      <c r="K2009">
        <v>0</v>
      </c>
      <c r="L2009">
        <v>1825</v>
      </c>
      <c r="M2009">
        <v>1825</v>
      </c>
      <c r="N2009">
        <v>0</v>
      </c>
    </row>
    <row r="2010" spans="1:14" x14ac:dyDescent="0.25">
      <c r="A2010">
        <v>1414.175123</v>
      </c>
      <c r="B2010" s="1">
        <f>DATE(2014,3,15) + TIME(4,12,10)</f>
        <v>41713.175115740742</v>
      </c>
      <c r="C2010">
        <v>80</v>
      </c>
      <c r="D2010">
        <v>64.609214782999999</v>
      </c>
      <c r="E2010">
        <v>50</v>
      </c>
      <c r="F2010">
        <v>49.968944550000003</v>
      </c>
      <c r="G2010">
        <v>1295.9543457</v>
      </c>
      <c r="H2010">
        <v>1282.1785889</v>
      </c>
      <c r="I2010">
        <v>1379.6357422000001</v>
      </c>
      <c r="J2010">
        <v>1364.6907959</v>
      </c>
      <c r="K2010">
        <v>0</v>
      </c>
      <c r="L2010">
        <v>1825</v>
      </c>
      <c r="M2010">
        <v>1825</v>
      </c>
      <c r="N2010">
        <v>0</v>
      </c>
    </row>
    <row r="2011" spans="1:14" x14ac:dyDescent="0.25">
      <c r="A2011">
        <v>1416</v>
      </c>
      <c r="B2011" s="1">
        <f>DATE(2014,3,17) + TIME(0,0,0)</f>
        <v>41715</v>
      </c>
      <c r="C2011">
        <v>80</v>
      </c>
      <c r="D2011">
        <v>64.125663756999998</v>
      </c>
      <c r="E2011">
        <v>50</v>
      </c>
      <c r="F2011">
        <v>49.968971252000003</v>
      </c>
      <c r="G2011">
        <v>1295.5960693</v>
      </c>
      <c r="H2011">
        <v>1281.6606445</v>
      </c>
      <c r="I2011">
        <v>1379.5993652</v>
      </c>
      <c r="J2011">
        <v>1364.6589355000001</v>
      </c>
      <c r="K2011">
        <v>0</v>
      </c>
      <c r="L2011">
        <v>1825</v>
      </c>
      <c r="M2011">
        <v>1825</v>
      </c>
      <c r="N2011">
        <v>0</v>
      </c>
    </row>
    <row r="2012" spans="1:14" x14ac:dyDescent="0.25">
      <c r="A2012">
        <v>1416.0000010000001</v>
      </c>
      <c r="B2012" s="1">
        <f>DATE(2014,3,17) + TIME(0,0,0)</f>
        <v>41715</v>
      </c>
      <c r="C2012">
        <v>80</v>
      </c>
      <c r="D2012">
        <v>64.125717163000004</v>
      </c>
      <c r="E2012">
        <v>50</v>
      </c>
      <c r="F2012">
        <v>49.968929291000002</v>
      </c>
      <c r="G2012">
        <v>1295.9869385</v>
      </c>
      <c r="H2012">
        <v>1295.9869385</v>
      </c>
      <c r="I2012">
        <v>1364.3182373</v>
      </c>
      <c r="J2012">
        <v>1364.3182373</v>
      </c>
      <c r="K2012">
        <v>0</v>
      </c>
      <c r="L2012">
        <v>0</v>
      </c>
      <c r="M2012">
        <v>0</v>
      </c>
      <c r="N2012">
        <v>0</v>
      </c>
    </row>
    <row r="2013" spans="1:14" x14ac:dyDescent="0.25">
      <c r="A2013">
        <v>1416.000004</v>
      </c>
      <c r="B2013" s="1">
        <f>DATE(2014,3,17) + TIME(0,0,0)</f>
        <v>41715</v>
      </c>
      <c r="C2013">
        <v>80</v>
      </c>
      <c r="D2013">
        <v>64.125854492000002</v>
      </c>
      <c r="E2013">
        <v>50</v>
      </c>
      <c r="F2013">
        <v>49.968814850000001</v>
      </c>
      <c r="G2013">
        <v>1297.0047606999999</v>
      </c>
      <c r="H2013">
        <v>1297.0047606999999</v>
      </c>
      <c r="I2013">
        <v>1363.4094238</v>
      </c>
      <c r="J2013">
        <v>1363.4094238</v>
      </c>
      <c r="K2013">
        <v>0</v>
      </c>
      <c r="L2013">
        <v>0</v>
      </c>
      <c r="M2013">
        <v>0</v>
      </c>
      <c r="N2013">
        <v>0</v>
      </c>
    </row>
    <row r="2014" spans="1:14" x14ac:dyDescent="0.25">
      <c r="A2014">
        <v>1416.0000130000001</v>
      </c>
      <c r="B2014" s="1">
        <f>DATE(2014,3,17) + TIME(0,0,1)</f>
        <v>41715.000011574077</v>
      </c>
      <c r="C2014">
        <v>80</v>
      </c>
      <c r="D2014">
        <v>64.126136779999996</v>
      </c>
      <c r="E2014">
        <v>50</v>
      </c>
      <c r="F2014">
        <v>49.968555449999997</v>
      </c>
      <c r="G2014">
        <v>1299.1791992000001</v>
      </c>
      <c r="H2014">
        <v>1299.1791992000001</v>
      </c>
      <c r="I2014">
        <v>1361.3708495999999</v>
      </c>
      <c r="J2014">
        <v>1361.3708495999999</v>
      </c>
      <c r="K2014">
        <v>0</v>
      </c>
      <c r="L2014">
        <v>0</v>
      </c>
      <c r="M2014">
        <v>0</v>
      </c>
      <c r="N2014">
        <v>0</v>
      </c>
    </row>
    <row r="2015" spans="1:14" x14ac:dyDescent="0.25">
      <c r="A2015">
        <v>1416.0000399999999</v>
      </c>
      <c r="B2015" s="1">
        <f>DATE(2014,3,17) + TIME(0,0,3)</f>
        <v>41715.000034722223</v>
      </c>
      <c r="C2015">
        <v>80</v>
      </c>
      <c r="D2015">
        <v>64.126586914000001</v>
      </c>
      <c r="E2015">
        <v>50</v>
      </c>
      <c r="F2015">
        <v>49.968128204000003</v>
      </c>
      <c r="G2015">
        <v>1302.5836182</v>
      </c>
      <c r="H2015">
        <v>1302.5836182</v>
      </c>
      <c r="I2015">
        <v>1357.9648437999999</v>
      </c>
      <c r="J2015">
        <v>1357.9648437999999</v>
      </c>
      <c r="K2015">
        <v>0</v>
      </c>
      <c r="L2015">
        <v>0</v>
      </c>
      <c r="M2015">
        <v>0</v>
      </c>
      <c r="N2015">
        <v>0</v>
      </c>
    </row>
    <row r="2016" spans="1:14" x14ac:dyDescent="0.25">
      <c r="A2016">
        <v>1416.000121</v>
      </c>
      <c r="B2016" s="1">
        <f>DATE(2014,3,17) + TIME(0,0,10)</f>
        <v>41715.000115740739</v>
      </c>
      <c r="C2016">
        <v>80</v>
      </c>
      <c r="D2016">
        <v>64.127113342000001</v>
      </c>
      <c r="E2016">
        <v>50</v>
      </c>
      <c r="F2016">
        <v>49.967601776000002</v>
      </c>
      <c r="G2016">
        <v>1306.5531006000001</v>
      </c>
      <c r="H2016">
        <v>1306.5531006000001</v>
      </c>
      <c r="I2016">
        <v>1353.8081055</v>
      </c>
      <c r="J2016">
        <v>1353.8081055</v>
      </c>
      <c r="K2016">
        <v>0</v>
      </c>
      <c r="L2016">
        <v>0</v>
      </c>
      <c r="M2016">
        <v>0</v>
      </c>
      <c r="N2016">
        <v>0</v>
      </c>
    </row>
    <row r="2017" spans="1:14" x14ac:dyDescent="0.25">
      <c r="A2017">
        <v>1416.000364</v>
      </c>
      <c r="B2017" s="1">
        <f>DATE(2014,3,17) + TIME(0,0,31)</f>
        <v>41715.000358796293</v>
      </c>
      <c r="C2017">
        <v>80</v>
      </c>
      <c r="D2017">
        <v>64.127632141000007</v>
      </c>
      <c r="E2017">
        <v>50</v>
      </c>
      <c r="F2017">
        <v>49.967056274000001</v>
      </c>
      <c r="G2017">
        <v>1310.6218262</v>
      </c>
      <c r="H2017">
        <v>1310.6218262</v>
      </c>
      <c r="I2017">
        <v>1349.5300293</v>
      </c>
      <c r="J2017">
        <v>1349.5300293</v>
      </c>
      <c r="K2017">
        <v>0</v>
      </c>
      <c r="L2017">
        <v>0</v>
      </c>
      <c r="M2017">
        <v>0</v>
      </c>
      <c r="N2017">
        <v>0</v>
      </c>
    </row>
    <row r="2018" spans="1:14" x14ac:dyDescent="0.25">
      <c r="A2018">
        <v>1416.0010930000001</v>
      </c>
      <c r="B2018" s="1">
        <f>DATE(2014,3,17) + TIME(0,1,34)</f>
        <v>41715.001087962963</v>
      </c>
      <c r="C2018">
        <v>80</v>
      </c>
      <c r="D2018">
        <v>64.128158568999993</v>
      </c>
      <c r="E2018">
        <v>50</v>
      </c>
      <c r="F2018">
        <v>49.966495514000002</v>
      </c>
      <c r="G2018">
        <v>1314.8212891000001</v>
      </c>
      <c r="H2018">
        <v>1314.8212891000001</v>
      </c>
      <c r="I2018">
        <v>1345.2530518000001</v>
      </c>
      <c r="J2018">
        <v>1345.2530518000001</v>
      </c>
      <c r="K2018">
        <v>0</v>
      </c>
      <c r="L2018">
        <v>0</v>
      </c>
      <c r="M2018">
        <v>0</v>
      </c>
      <c r="N2018">
        <v>0</v>
      </c>
    </row>
    <row r="2019" spans="1:14" x14ac:dyDescent="0.25">
      <c r="A2019">
        <v>1416.0032799999999</v>
      </c>
      <c r="B2019" s="1">
        <f>DATE(2014,3,17) + TIME(0,4,43)</f>
        <v>41715.003275462965</v>
      </c>
      <c r="C2019">
        <v>80</v>
      </c>
      <c r="D2019">
        <v>64.128669739000003</v>
      </c>
      <c r="E2019">
        <v>50</v>
      </c>
      <c r="F2019">
        <v>49.965881348000003</v>
      </c>
      <c r="G2019">
        <v>1319.3757324000001</v>
      </c>
      <c r="H2019">
        <v>1319.3757324000001</v>
      </c>
      <c r="I2019">
        <v>1340.90625</v>
      </c>
      <c r="J2019">
        <v>1340.90625</v>
      </c>
      <c r="K2019">
        <v>0</v>
      </c>
      <c r="L2019">
        <v>0</v>
      </c>
      <c r="M2019">
        <v>0</v>
      </c>
      <c r="N2019">
        <v>0</v>
      </c>
    </row>
    <row r="2020" spans="1:14" x14ac:dyDescent="0.25">
      <c r="A2020">
        <v>1416.0098410000001</v>
      </c>
      <c r="B2020" s="1">
        <f>DATE(2014,3,17) + TIME(0,14,10)</f>
        <v>41715.009837962964</v>
      </c>
      <c r="C2020">
        <v>80</v>
      </c>
      <c r="D2020">
        <v>64.129074097</v>
      </c>
      <c r="E2020">
        <v>50</v>
      </c>
      <c r="F2020">
        <v>49.965141295999999</v>
      </c>
      <c r="G2020">
        <v>1324.1776123</v>
      </c>
      <c r="H2020">
        <v>1324.1776123</v>
      </c>
      <c r="I2020">
        <v>1336.5527344</v>
      </c>
      <c r="J2020">
        <v>1336.5527344</v>
      </c>
      <c r="K2020">
        <v>0</v>
      </c>
      <c r="L2020">
        <v>0</v>
      </c>
      <c r="M2020">
        <v>0</v>
      </c>
      <c r="N2020">
        <v>0</v>
      </c>
    </row>
    <row r="2021" spans="1:14" x14ac:dyDescent="0.25">
      <c r="A2021">
        <v>1416.029524</v>
      </c>
      <c r="B2021" s="1">
        <f>DATE(2014,3,17) + TIME(0,42,30)</f>
        <v>41715.029513888891</v>
      </c>
      <c r="C2021">
        <v>80</v>
      </c>
      <c r="D2021">
        <v>64.129150390999996</v>
      </c>
      <c r="E2021">
        <v>50</v>
      </c>
      <c r="F2021">
        <v>49.964118958</v>
      </c>
      <c r="G2021">
        <v>1328.2321777</v>
      </c>
      <c r="H2021">
        <v>1328.2321777</v>
      </c>
      <c r="I2021">
        <v>1333.0001221</v>
      </c>
      <c r="J2021">
        <v>1333.0001221</v>
      </c>
      <c r="K2021">
        <v>0</v>
      </c>
      <c r="L2021">
        <v>0</v>
      </c>
      <c r="M2021">
        <v>0</v>
      </c>
      <c r="N2021">
        <v>0</v>
      </c>
    </row>
    <row r="2022" spans="1:14" x14ac:dyDescent="0.25">
      <c r="A2022">
        <v>1416.088573</v>
      </c>
      <c r="B2022" s="1">
        <f>DATE(2014,3,17) + TIME(2,7,32)</f>
        <v>41715.088564814818</v>
      </c>
      <c r="C2022">
        <v>80</v>
      </c>
      <c r="D2022">
        <v>64.128540039000001</v>
      </c>
      <c r="E2022">
        <v>50</v>
      </c>
      <c r="F2022">
        <v>49.962207794000001</v>
      </c>
      <c r="G2022">
        <v>1330.4537353999999</v>
      </c>
      <c r="H2022">
        <v>1330.4537353999999</v>
      </c>
      <c r="I2022">
        <v>1331.3518065999999</v>
      </c>
      <c r="J2022">
        <v>1331.3518065999999</v>
      </c>
      <c r="K2022">
        <v>0</v>
      </c>
      <c r="L2022">
        <v>0</v>
      </c>
      <c r="M2022">
        <v>0</v>
      </c>
      <c r="N2022">
        <v>0</v>
      </c>
    </row>
    <row r="2023" spans="1:14" x14ac:dyDescent="0.25">
      <c r="A2023">
        <v>1416.2657200000001</v>
      </c>
      <c r="B2023" s="1">
        <f>DATE(2014,3,17) + TIME(6,22,38)</f>
        <v>41715.265717592592</v>
      </c>
      <c r="C2023">
        <v>80</v>
      </c>
      <c r="D2023">
        <v>64.126220703000001</v>
      </c>
      <c r="E2023">
        <v>50</v>
      </c>
      <c r="F2023">
        <v>49.957065581999998</v>
      </c>
      <c r="G2023">
        <v>1331.0919189000001</v>
      </c>
      <c r="H2023">
        <v>1331.0919189000001</v>
      </c>
      <c r="I2023">
        <v>1331.0870361</v>
      </c>
      <c r="J2023">
        <v>1331.0870361</v>
      </c>
      <c r="K2023">
        <v>0</v>
      </c>
      <c r="L2023">
        <v>0</v>
      </c>
      <c r="M2023">
        <v>0</v>
      </c>
      <c r="N2023">
        <v>0</v>
      </c>
    </row>
    <row r="2024" spans="1:14" x14ac:dyDescent="0.25">
      <c r="A2024">
        <v>1416.797161</v>
      </c>
      <c r="B2024" s="1">
        <f>DATE(2014,3,17) + TIME(19,7,54)</f>
        <v>41715.797152777777</v>
      </c>
      <c r="C2024">
        <v>80</v>
      </c>
      <c r="D2024">
        <v>64.119018554999997</v>
      </c>
      <c r="E2024">
        <v>50</v>
      </c>
      <c r="F2024">
        <v>49.941780090000002</v>
      </c>
      <c r="G2024">
        <v>1331.1751709</v>
      </c>
      <c r="H2024">
        <v>1331.1751709</v>
      </c>
      <c r="I2024">
        <v>1331.0893555</v>
      </c>
      <c r="J2024">
        <v>1331.0893555</v>
      </c>
      <c r="K2024">
        <v>0</v>
      </c>
      <c r="L2024">
        <v>0</v>
      </c>
      <c r="M2024">
        <v>0</v>
      </c>
      <c r="N2024">
        <v>0</v>
      </c>
    </row>
    <row r="2025" spans="1:14" x14ac:dyDescent="0.25">
      <c r="A2025">
        <v>1418.391484</v>
      </c>
      <c r="B2025" s="1">
        <f>DATE(2014,3,19) + TIME(9,23,44)</f>
        <v>41717.391481481478</v>
      </c>
      <c r="C2025">
        <v>80</v>
      </c>
      <c r="D2025">
        <v>64.097213745000005</v>
      </c>
      <c r="E2025">
        <v>50</v>
      </c>
      <c r="F2025">
        <v>49.896350861000002</v>
      </c>
      <c r="G2025">
        <v>1331.1791992000001</v>
      </c>
      <c r="H2025">
        <v>1331.1791992000001</v>
      </c>
      <c r="I2025">
        <v>1331.0910644999999</v>
      </c>
      <c r="J2025">
        <v>1331.0910644999999</v>
      </c>
      <c r="K2025">
        <v>0</v>
      </c>
      <c r="L2025">
        <v>0</v>
      </c>
      <c r="M2025">
        <v>0</v>
      </c>
      <c r="N2025">
        <v>0</v>
      </c>
    </row>
    <row r="2026" spans="1:14" x14ac:dyDescent="0.25">
      <c r="A2026">
        <v>1421</v>
      </c>
      <c r="B2026" s="1">
        <f>DATE(2014,3,22) + TIME(0,0,0)</f>
        <v>41720</v>
      </c>
      <c r="C2026">
        <v>80</v>
      </c>
      <c r="D2026">
        <v>64.061149596999996</v>
      </c>
      <c r="E2026">
        <v>50</v>
      </c>
      <c r="F2026">
        <v>49.823101043999998</v>
      </c>
      <c r="G2026">
        <v>1331.1777344</v>
      </c>
      <c r="H2026">
        <v>1331.1777344</v>
      </c>
      <c r="I2026">
        <v>1331.0905762</v>
      </c>
      <c r="J2026">
        <v>1331.0905762</v>
      </c>
      <c r="K2026">
        <v>0</v>
      </c>
      <c r="L2026">
        <v>0</v>
      </c>
      <c r="M2026">
        <v>0</v>
      </c>
      <c r="N2026">
        <v>0</v>
      </c>
    </row>
    <row r="2027" spans="1:14" x14ac:dyDescent="0.25">
      <c r="A2027">
        <v>1421.0000010000001</v>
      </c>
      <c r="B2027" s="1">
        <f>DATE(2014,3,22) + TIME(0,0,0)</f>
        <v>41720</v>
      </c>
      <c r="C2027">
        <v>80</v>
      </c>
      <c r="D2027">
        <v>64.061096191000004</v>
      </c>
      <c r="E2027">
        <v>50</v>
      </c>
      <c r="F2027">
        <v>49.823146819999998</v>
      </c>
      <c r="G2027">
        <v>1330.8051757999999</v>
      </c>
      <c r="H2027">
        <v>1317.5717772999999</v>
      </c>
      <c r="I2027">
        <v>1346.6933594</v>
      </c>
      <c r="J2027">
        <v>1331.4377440999999</v>
      </c>
      <c r="K2027">
        <v>0</v>
      </c>
      <c r="L2027">
        <v>1825</v>
      </c>
      <c r="M2027">
        <v>1825</v>
      </c>
      <c r="N2027">
        <v>0</v>
      </c>
    </row>
    <row r="2028" spans="1:14" x14ac:dyDescent="0.25">
      <c r="A2028">
        <v>1421.000004</v>
      </c>
      <c r="B2028" s="1">
        <f>DATE(2014,3,22) + TIME(0,0,0)</f>
        <v>41720</v>
      </c>
      <c r="C2028">
        <v>80</v>
      </c>
      <c r="D2028">
        <v>64.060966492000006</v>
      </c>
      <c r="E2028">
        <v>50</v>
      </c>
      <c r="F2028">
        <v>49.823261260999999</v>
      </c>
      <c r="G2028">
        <v>1329.8397216999999</v>
      </c>
      <c r="H2028">
        <v>1316.6701660000001</v>
      </c>
      <c r="I2028">
        <v>1347.5804443</v>
      </c>
      <c r="J2028">
        <v>1332.3614502</v>
      </c>
      <c r="K2028">
        <v>0</v>
      </c>
      <c r="L2028">
        <v>1825</v>
      </c>
      <c r="M2028">
        <v>1825</v>
      </c>
      <c r="N2028">
        <v>0</v>
      </c>
    </row>
    <row r="2029" spans="1:14" x14ac:dyDescent="0.25">
      <c r="A2029">
        <v>1421.0000130000001</v>
      </c>
      <c r="B2029" s="1">
        <f>DATE(2014,3,22) + TIME(0,0,1)</f>
        <v>41720.000011574077</v>
      </c>
      <c r="C2029">
        <v>80</v>
      </c>
      <c r="D2029">
        <v>64.060691833000007</v>
      </c>
      <c r="E2029">
        <v>50</v>
      </c>
      <c r="F2029">
        <v>49.823524474999999</v>
      </c>
      <c r="G2029">
        <v>1327.7860106999999</v>
      </c>
      <c r="H2029">
        <v>1314.6680908000001</v>
      </c>
      <c r="I2029">
        <v>1349.5704346</v>
      </c>
      <c r="J2029">
        <v>1334.4232178</v>
      </c>
      <c r="K2029">
        <v>0</v>
      </c>
      <c r="L2029">
        <v>1825</v>
      </c>
      <c r="M2029">
        <v>1825</v>
      </c>
      <c r="N2029">
        <v>0</v>
      </c>
    </row>
    <row r="2030" spans="1:14" x14ac:dyDescent="0.25">
      <c r="A2030">
        <v>1421.0000399999999</v>
      </c>
      <c r="B2030" s="1">
        <f>DATE(2014,3,22) + TIME(0,0,3)</f>
        <v>41720.000034722223</v>
      </c>
      <c r="C2030">
        <v>80</v>
      </c>
      <c r="D2030">
        <v>64.060249329000001</v>
      </c>
      <c r="E2030">
        <v>50</v>
      </c>
      <c r="F2030">
        <v>49.823955536</v>
      </c>
      <c r="G2030">
        <v>1324.5390625</v>
      </c>
      <c r="H2030">
        <v>1311.3435059000001</v>
      </c>
      <c r="I2030">
        <v>1352.8955077999999</v>
      </c>
      <c r="J2030">
        <v>1337.8408202999999</v>
      </c>
      <c r="K2030">
        <v>0</v>
      </c>
      <c r="L2030">
        <v>1825</v>
      </c>
      <c r="M2030">
        <v>1825</v>
      </c>
      <c r="N2030">
        <v>0</v>
      </c>
    </row>
    <row r="2031" spans="1:14" x14ac:dyDescent="0.25">
      <c r="A2031">
        <v>1421.000121</v>
      </c>
      <c r="B2031" s="1">
        <f>DATE(2014,3,22) + TIME(0,0,10)</f>
        <v>41720.000115740739</v>
      </c>
      <c r="C2031">
        <v>80</v>
      </c>
      <c r="D2031">
        <v>64.059684752999999</v>
      </c>
      <c r="E2031">
        <v>50</v>
      </c>
      <c r="F2031">
        <v>49.824489593999999</v>
      </c>
      <c r="G2031">
        <v>1320.6405029</v>
      </c>
      <c r="H2031">
        <v>1307.2635498</v>
      </c>
      <c r="I2031">
        <v>1356.9533690999999</v>
      </c>
      <c r="J2031">
        <v>1341.9760742000001</v>
      </c>
      <c r="K2031">
        <v>0</v>
      </c>
      <c r="L2031">
        <v>1825</v>
      </c>
      <c r="M2031">
        <v>1825</v>
      </c>
      <c r="N2031">
        <v>0</v>
      </c>
    </row>
    <row r="2032" spans="1:14" x14ac:dyDescent="0.25">
      <c r="A2032">
        <v>1421.000364</v>
      </c>
      <c r="B2032" s="1">
        <f>DATE(2014,3,22) + TIME(0,0,31)</f>
        <v>41720.000358796293</v>
      </c>
      <c r="C2032">
        <v>80</v>
      </c>
      <c r="D2032">
        <v>64.059005737000007</v>
      </c>
      <c r="E2032">
        <v>50</v>
      </c>
      <c r="F2032">
        <v>49.825054168999998</v>
      </c>
      <c r="G2032">
        <v>1316.5311279</v>
      </c>
      <c r="H2032">
        <v>1302.987793</v>
      </c>
      <c r="I2032">
        <v>1361.1301269999999</v>
      </c>
      <c r="J2032">
        <v>1346.2071533000001</v>
      </c>
      <c r="K2032">
        <v>0</v>
      </c>
      <c r="L2032">
        <v>1825</v>
      </c>
      <c r="M2032">
        <v>1825</v>
      </c>
      <c r="N2032">
        <v>0</v>
      </c>
    </row>
    <row r="2033" spans="1:14" x14ac:dyDescent="0.25">
      <c r="A2033">
        <v>1421.0010930000001</v>
      </c>
      <c r="B2033" s="1">
        <f>DATE(2014,3,22) + TIME(0,1,34)</f>
        <v>41720.001087962963</v>
      </c>
      <c r="C2033">
        <v>80</v>
      </c>
      <c r="D2033">
        <v>64.058029175000001</v>
      </c>
      <c r="E2033">
        <v>50</v>
      </c>
      <c r="F2033">
        <v>49.825683593999997</v>
      </c>
      <c r="G2033">
        <v>1312.2149658000001</v>
      </c>
      <c r="H2033">
        <v>1298.5297852000001</v>
      </c>
      <c r="I2033">
        <v>1365.3203125</v>
      </c>
      <c r="J2033">
        <v>1350.4317627</v>
      </c>
      <c r="K2033">
        <v>0</v>
      </c>
      <c r="L2033">
        <v>1825</v>
      </c>
      <c r="M2033">
        <v>1825</v>
      </c>
      <c r="N2033">
        <v>0</v>
      </c>
    </row>
    <row r="2034" spans="1:14" x14ac:dyDescent="0.25">
      <c r="A2034">
        <v>1421.0032799999999</v>
      </c>
      <c r="B2034" s="1">
        <f>DATE(2014,3,22) + TIME(0,4,43)</f>
        <v>41720.003275462965</v>
      </c>
      <c r="C2034">
        <v>80</v>
      </c>
      <c r="D2034">
        <v>64.056175232000001</v>
      </c>
      <c r="E2034">
        <v>50</v>
      </c>
      <c r="F2034">
        <v>49.826515198000003</v>
      </c>
      <c r="G2034">
        <v>1307.4974365</v>
      </c>
      <c r="H2034">
        <v>1293.6870117000001</v>
      </c>
      <c r="I2034">
        <v>1369.6416016000001</v>
      </c>
      <c r="J2034">
        <v>1354.7574463000001</v>
      </c>
      <c r="K2034">
        <v>0</v>
      </c>
      <c r="L2034">
        <v>1825</v>
      </c>
      <c r="M2034">
        <v>1825</v>
      </c>
      <c r="N2034">
        <v>0</v>
      </c>
    </row>
    <row r="2035" spans="1:14" x14ac:dyDescent="0.25">
      <c r="A2035">
        <v>1421.0098410000001</v>
      </c>
      <c r="B2035" s="1">
        <f>DATE(2014,3,22) + TIME(0,14,10)</f>
        <v>41720.009837962964</v>
      </c>
      <c r="C2035">
        <v>80</v>
      </c>
      <c r="D2035">
        <v>64.051757812000005</v>
      </c>
      <c r="E2035">
        <v>50</v>
      </c>
      <c r="F2035">
        <v>49.827930449999997</v>
      </c>
      <c r="G2035">
        <v>1302.5334473</v>
      </c>
      <c r="H2035">
        <v>1288.6265868999999</v>
      </c>
      <c r="I2035">
        <v>1374.0500488</v>
      </c>
      <c r="J2035">
        <v>1359.1408690999999</v>
      </c>
      <c r="K2035">
        <v>0</v>
      </c>
      <c r="L2035">
        <v>1825</v>
      </c>
      <c r="M2035">
        <v>1825</v>
      </c>
      <c r="N2035">
        <v>0</v>
      </c>
    </row>
    <row r="2036" spans="1:14" x14ac:dyDescent="0.25">
      <c r="A2036">
        <v>1421.029524</v>
      </c>
      <c r="B2036" s="1">
        <f>DATE(2014,3,22) + TIME(0,42,30)</f>
        <v>41720.029513888891</v>
      </c>
      <c r="C2036">
        <v>80</v>
      </c>
      <c r="D2036">
        <v>64.039794921999999</v>
      </c>
      <c r="E2036">
        <v>50</v>
      </c>
      <c r="F2036">
        <v>49.830917358000001</v>
      </c>
      <c r="G2036">
        <v>1298.3731689000001</v>
      </c>
      <c r="H2036">
        <v>1284.4089355000001</v>
      </c>
      <c r="I2036">
        <v>1377.6628418</v>
      </c>
      <c r="J2036">
        <v>1362.7293701000001</v>
      </c>
      <c r="K2036">
        <v>0</v>
      </c>
      <c r="L2036">
        <v>1825</v>
      </c>
      <c r="M2036">
        <v>1825</v>
      </c>
      <c r="N2036">
        <v>0</v>
      </c>
    </row>
    <row r="2037" spans="1:14" x14ac:dyDescent="0.25">
      <c r="A2037">
        <v>1421.088573</v>
      </c>
      <c r="B2037" s="1">
        <f>DATE(2014,3,22) + TIME(2,7,32)</f>
        <v>41720.088564814818</v>
      </c>
      <c r="C2037">
        <v>80</v>
      </c>
      <c r="D2037">
        <v>64.006446838000002</v>
      </c>
      <c r="E2037">
        <v>50</v>
      </c>
      <c r="F2037">
        <v>49.838333130000002</v>
      </c>
      <c r="G2037">
        <v>1296.1092529</v>
      </c>
      <c r="H2037">
        <v>1282.1168213000001</v>
      </c>
      <c r="I2037">
        <v>1379.3341064000001</v>
      </c>
      <c r="J2037">
        <v>1364.3911132999999</v>
      </c>
      <c r="K2037">
        <v>0</v>
      </c>
      <c r="L2037">
        <v>1825</v>
      </c>
      <c r="M2037">
        <v>1825</v>
      </c>
      <c r="N2037">
        <v>0</v>
      </c>
    </row>
    <row r="2038" spans="1:14" x14ac:dyDescent="0.25">
      <c r="A2038">
        <v>1421.2657200000001</v>
      </c>
      <c r="B2038" s="1">
        <f>DATE(2014,3,22) + TIME(6,22,38)</f>
        <v>41720.265717592592</v>
      </c>
      <c r="C2038">
        <v>80</v>
      </c>
      <c r="D2038">
        <v>63.921134948999999</v>
      </c>
      <c r="E2038">
        <v>50</v>
      </c>
      <c r="F2038">
        <v>49.856906891000001</v>
      </c>
      <c r="G2038">
        <v>1295.4503173999999</v>
      </c>
      <c r="H2038">
        <v>1281.4313964999999</v>
      </c>
      <c r="I2038">
        <v>1379.6004639</v>
      </c>
      <c r="J2038">
        <v>1364.6574707</v>
      </c>
      <c r="K2038">
        <v>0</v>
      </c>
      <c r="L2038">
        <v>1825</v>
      </c>
      <c r="M2038">
        <v>1825</v>
      </c>
      <c r="N2038">
        <v>0</v>
      </c>
    </row>
    <row r="2039" spans="1:14" x14ac:dyDescent="0.25">
      <c r="A2039">
        <v>1421.797161</v>
      </c>
      <c r="B2039" s="1">
        <f>DATE(2014,3,22) + TIME(19,7,54)</f>
        <v>41720.797152777777</v>
      </c>
      <c r="C2039">
        <v>80</v>
      </c>
      <c r="D2039">
        <v>63.747722625999998</v>
      </c>
      <c r="E2039">
        <v>50</v>
      </c>
      <c r="F2039">
        <v>49.894069672000001</v>
      </c>
      <c r="G2039">
        <v>1295.3355713000001</v>
      </c>
      <c r="H2039">
        <v>1281.2687988</v>
      </c>
      <c r="I2039">
        <v>1379.5941161999999</v>
      </c>
      <c r="J2039">
        <v>1364.6544189000001</v>
      </c>
      <c r="K2039">
        <v>0</v>
      </c>
      <c r="L2039">
        <v>1825</v>
      </c>
      <c r="M2039">
        <v>1825</v>
      </c>
      <c r="N2039">
        <v>0</v>
      </c>
    </row>
    <row r="2040" spans="1:14" x14ac:dyDescent="0.25">
      <c r="A2040">
        <v>1423.391484</v>
      </c>
      <c r="B2040" s="1">
        <f>DATE(2014,3,24) + TIME(9,23,44)</f>
        <v>41722.391481481478</v>
      </c>
      <c r="C2040">
        <v>80</v>
      </c>
      <c r="D2040">
        <v>63.497703551999997</v>
      </c>
      <c r="E2040">
        <v>50</v>
      </c>
      <c r="F2040">
        <v>49.938892365000001</v>
      </c>
      <c r="G2040">
        <v>1295.2568358999999</v>
      </c>
      <c r="H2040">
        <v>1281.1159668</v>
      </c>
      <c r="I2040">
        <v>1379.5841064000001</v>
      </c>
      <c r="J2040">
        <v>1364.6486815999999</v>
      </c>
      <c r="K2040">
        <v>0</v>
      </c>
      <c r="L2040">
        <v>1825</v>
      </c>
      <c r="M2040">
        <v>1825</v>
      </c>
      <c r="N2040">
        <v>0</v>
      </c>
    </row>
    <row r="2041" spans="1:14" x14ac:dyDescent="0.25">
      <c r="A2041">
        <v>1426.9418539999999</v>
      </c>
      <c r="B2041" s="1">
        <f>DATE(2014,3,27) + TIME(22,36,16)</f>
        <v>41725.941851851851</v>
      </c>
      <c r="C2041">
        <v>80</v>
      </c>
      <c r="D2041">
        <v>63.156459808000001</v>
      </c>
      <c r="E2041">
        <v>50</v>
      </c>
      <c r="F2041">
        <v>49.962169647000003</v>
      </c>
      <c r="G2041">
        <v>1295.0816649999999</v>
      </c>
      <c r="H2041">
        <v>1280.8378906</v>
      </c>
      <c r="I2041">
        <v>1379.5655518000001</v>
      </c>
      <c r="J2041">
        <v>1364.6331786999999</v>
      </c>
      <c r="K2041">
        <v>0</v>
      </c>
      <c r="L2041">
        <v>1825</v>
      </c>
      <c r="M2041">
        <v>1825</v>
      </c>
      <c r="N2041">
        <v>0</v>
      </c>
    </row>
    <row r="2042" spans="1:14" x14ac:dyDescent="0.25">
      <c r="A2042">
        <v>1430.52853</v>
      </c>
      <c r="B2042" s="1">
        <f>DATE(2014,3,31) + TIME(12,41,4)</f>
        <v>41729.52851851852</v>
      </c>
      <c r="C2042">
        <v>80</v>
      </c>
      <c r="D2042">
        <v>62.580482482999997</v>
      </c>
      <c r="E2042">
        <v>50</v>
      </c>
      <c r="F2042">
        <v>49.967605591000002</v>
      </c>
      <c r="G2042">
        <v>1294.7271728999999</v>
      </c>
      <c r="H2042">
        <v>1280.3171387</v>
      </c>
      <c r="I2042">
        <v>1379.5264893000001</v>
      </c>
      <c r="J2042">
        <v>1364.5974120999999</v>
      </c>
      <c r="K2042">
        <v>0</v>
      </c>
      <c r="L2042">
        <v>1825</v>
      </c>
      <c r="M2042">
        <v>1825</v>
      </c>
      <c r="N2042">
        <v>0</v>
      </c>
    </row>
    <row r="2043" spans="1:14" x14ac:dyDescent="0.25">
      <c r="A2043">
        <v>1431</v>
      </c>
      <c r="B2043" s="1">
        <f>DATE(2014,4,1) + TIME(0,0,0)</f>
        <v>41730</v>
      </c>
      <c r="C2043">
        <v>80</v>
      </c>
      <c r="D2043">
        <v>62.308769226000003</v>
      </c>
      <c r="E2043">
        <v>50</v>
      </c>
      <c r="F2043">
        <v>49.968097686999997</v>
      </c>
      <c r="G2043">
        <v>1294.3729248</v>
      </c>
      <c r="H2043">
        <v>1279.8648682</v>
      </c>
      <c r="I2043">
        <v>1379.487793</v>
      </c>
      <c r="J2043">
        <v>1364.5623779</v>
      </c>
      <c r="K2043">
        <v>0</v>
      </c>
      <c r="L2043">
        <v>1825</v>
      </c>
      <c r="M2043">
        <v>1825</v>
      </c>
      <c r="N2043">
        <v>0</v>
      </c>
    </row>
    <row r="2044" spans="1:14" x14ac:dyDescent="0.25">
      <c r="A2044">
        <v>1431.0000010000001</v>
      </c>
      <c r="B2044" s="1">
        <f>DATE(2014,4,1) + TIME(0,0,0)</f>
        <v>41730</v>
      </c>
      <c r="C2044">
        <v>80</v>
      </c>
      <c r="D2044">
        <v>62.308818817000002</v>
      </c>
      <c r="E2044">
        <v>50</v>
      </c>
      <c r="F2044">
        <v>49.968055724999999</v>
      </c>
      <c r="G2044">
        <v>1294.7709961</v>
      </c>
      <c r="H2044">
        <v>1294.7709961</v>
      </c>
      <c r="I2044">
        <v>1364.2220459</v>
      </c>
      <c r="J2044">
        <v>1364.2220459</v>
      </c>
      <c r="K2044">
        <v>0</v>
      </c>
      <c r="L2044">
        <v>0</v>
      </c>
      <c r="M2044">
        <v>0</v>
      </c>
      <c r="N2044">
        <v>0</v>
      </c>
    </row>
    <row r="2045" spans="1:14" x14ac:dyDescent="0.25">
      <c r="A2045">
        <v>1431.000004</v>
      </c>
      <c r="B2045" s="1">
        <f>DATE(2014,4,1) + TIME(0,0,0)</f>
        <v>41730</v>
      </c>
      <c r="C2045">
        <v>80</v>
      </c>
      <c r="D2045">
        <v>62.308956146</v>
      </c>
      <c r="E2045">
        <v>50</v>
      </c>
      <c r="F2045">
        <v>49.967941283999998</v>
      </c>
      <c r="G2045">
        <v>1295.8110352000001</v>
      </c>
      <c r="H2045">
        <v>1295.8110352000001</v>
      </c>
      <c r="I2045">
        <v>1363.3142089999999</v>
      </c>
      <c r="J2045">
        <v>1363.3142089999999</v>
      </c>
      <c r="K2045">
        <v>0</v>
      </c>
      <c r="L2045">
        <v>0</v>
      </c>
      <c r="M2045">
        <v>0</v>
      </c>
      <c r="N2045">
        <v>0</v>
      </c>
    </row>
    <row r="2046" spans="1:14" x14ac:dyDescent="0.25">
      <c r="A2046">
        <v>1431.0000130000001</v>
      </c>
      <c r="B2046" s="1">
        <f>DATE(2014,4,1) + TIME(0,0,1)</f>
        <v>41730.000011574077</v>
      </c>
      <c r="C2046">
        <v>80</v>
      </c>
      <c r="D2046">
        <v>62.309249878000003</v>
      </c>
      <c r="E2046">
        <v>50</v>
      </c>
      <c r="F2046">
        <v>49.967681884999998</v>
      </c>
      <c r="G2046">
        <v>1298.0474853999999</v>
      </c>
      <c r="H2046">
        <v>1298.0474853999999</v>
      </c>
      <c r="I2046">
        <v>1361.2777100000001</v>
      </c>
      <c r="J2046">
        <v>1361.2777100000001</v>
      </c>
      <c r="K2046">
        <v>0</v>
      </c>
      <c r="L2046">
        <v>0</v>
      </c>
      <c r="M2046">
        <v>0</v>
      </c>
      <c r="N2046">
        <v>0</v>
      </c>
    </row>
    <row r="2047" spans="1:14" x14ac:dyDescent="0.25">
      <c r="A2047">
        <v>1431.0000399999999</v>
      </c>
      <c r="B2047" s="1">
        <f>DATE(2014,4,1) + TIME(0,0,3)</f>
        <v>41730.000034722223</v>
      </c>
      <c r="C2047">
        <v>80</v>
      </c>
      <c r="D2047">
        <v>62.309711456000002</v>
      </c>
      <c r="E2047">
        <v>50</v>
      </c>
      <c r="F2047">
        <v>49.967254638999997</v>
      </c>
      <c r="G2047">
        <v>1301.5787353999999</v>
      </c>
      <c r="H2047">
        <v>1301.5787353999999</v>
      </c>
      <c r="I2047">
        <v>1357.8751221</v>
      </c>
      <c r="J2047">
        <v>1357.8751221</v>
      </c>
      <c r="K2047">
        <v>0</v>
      </c>
      <c r="L2047">
        <v>0</v>
      </c>
      <c r="M2047">
        <v>0</v>
      </c>
      <c r="N2047">
        <v>0</v>
      </c>
    </row>
    <row r="2048" spans="1:14" x14ac:dyDescent="0.25">
      <c r="A2048">
        <v>1431.000121</v>
      </c>
      <c r="B2048" s="1">
        <f>DATE(2014,4,1) + TIME(0,0,10)</f>
        <v>41730.000115740739</v>
      </c>
      <c r="C2048">
        <v>80</v>
      </c>
      <c r="D2048">
        <v>62.310249329000001</v>
      </c>
      <c r="E2048">
        <v>50</v>
      </c>
      <c r="F2048">
        <v>49.966728209999999</v>
      </c>
      <c r="G2048">
        <v>1305.7204589999999</v>
      </c>
      <c r="H2048">
        <v>1305.7204589999999</v>
      </c>
      <c r="I2048">
        <v>1353.722168</v>
      </c>
      <c r="J2048">
        <v>1353.722168</v>
      </c>
      <c r="K2048">
        <v>0</v>
      </c>
      <c r="L2048">
        <v>0</v>
      </c>
      <c r="M2048">
        <v>0</v>
      </c>
      <c r="N2048">
        <v>0</v>
      </c>
    </row>
    <row r="2049" spans="1:14" x14ac:dyDescent="0.25">
      <c r="A2049">
        <v>1431.000364</v>
      </c>
      <c r="B2049" s="1">
        <f>DATE(2014,4,1) + TIME(0,0,31)</f>
        <v>41730.000358796293</v>
      </c>
      <c r="C2049">
        <v>80</v>
      </c>
      <c r="D2049">
        <v>62.310794829999999</v>
      </c>
      <c r="E2049">
        <v>50</v>
      </c>
      <c r="F2049">
        <v>49.966182709000002</v>
      </c>
      <c r="G2049">
        <v>1309.9708252</v>
      </c>
      <c r="H2049">
        <v>1309.9708252</v>
      </c>
      <c r="I2049">
        <v>1349.4475098</v>
      </c>
      <c r="J2049">
        <v>1349.4475098</v>
      </c>
      <c r="K2049">
        <v>0</v>
      </c>
      <c r="L2049">
        <v>0</v>
      </c>
      <c r="M2049">
        <v>0</v>
      </c>
      <c r="N2049">
        <v>0</v>
      </c>
    </row>
    <row r="2050" spans="1:14" x14ac:dyDescent="0.25">
      <c r="A2050">
        <v>1431.0010930000001</v>
      </c>
      <c r="B2050" s="1">
        <f>DATE(2014,4,1) + TIME(0,1,34)</f>
        <v>41730.001087962963</v>
      </c>
      <c r="C2050">
        <v>80</v>
      </c>
      <c r="D2050">
        <v>62.311332702999998</v>
      </c>
      <c r="E2050">
        <v>50</v>
      </c>
      <c r="F2050">
        <v>49.965621947999999</v>
      </c>
      <c r="G2050">
        <v>1314.3476562000001</v>
      </c>
      <c r="H2050">
        <v>1314.3476562000001</v>
      </c>
      <c r="I2050">
        <v>1345.1751709</v>
      </c>
      <c r="J2050">
        <v>1345.1751709</v>
      </c>
      <c r="K2050">
        <v>0</v>
      </c>
      <c r="L2050">
        <v>0</v>
      </c>
      <c r="M2050">
        <v>0</v>
      </c>
      <c r="N2050">
        <v>0</v>
      </c>
    </row>
    <row r="2051" spans="1:14" x14ac:dyDescent="0.25">
      <c r="A2051">
        <v>1431.0032799999999</v>
      </c>
      <c r="B2051" s="1">
        <f>DATE(2014,4,1) + TIME(0,4,43)</f>
        <v>41730.003275462965</v>
      </c>
      <c r="C2051">
        <v>80</v>
      </c>
      <c r="D2051">
        <v>62.311847686999997</v>
      </c>
      <c r="E2051">
        <v>50</v>
      </c>
      <c r="F2051">
        <v>49.965011597</v>
      </c>
      <c r="G2051">
        <v>1319.0552978999999</v>
      </c>
      <c r="H2051">
        <v>1319.0552978999999</v>
      </c>
      <c r="I2051">
        <v>1340.8431396000001</v>
      </c>
      <c r="J2051">
        <v>1340.8431396000001</v>
      </c>
      <c r="K2051">
        <v>0</v>
      </c>
      <c r="L2051">
        <v>0</v>
      </c>
      <c r="M2051">
        <v>0</v>
      </c>
      <c r="N2051">
        <v>0</v>
      </c>
    </row>
    <row r="2052" spans="1:14" x14ac:dyDescent="0.25">
      <c r="A2052">
        <v>1431.0098410000001</v>
      </c>
      <c r="B2052" s="1">
        <f>DATE(2014,4,1) + TIME(0,14,10)</f>
        <v>41730.009837962964</v>
      </c>
      <c r="C2052">
        <v>80</v>
      </c>
      <c r="D2052">
        <v>62.312244415000002</v>
      </c>
      <c r="E2052">
        <v>50</v>
      </c>
      <c r="F2052">
        <v>49.964275360000002</v>
      </c>
      <c r="G2052">
        <v>1323.963501</v>
      </c>
      <c r="H2052">
        <v>1323.963501</v>
      </c>
      <c r="I2052">
        <v>1336.5192870999999</v>
      </c>
      <c r="J2052">
        <v>1336.5192870999999</v>
      </c>
      <c r="K2052">
        <v>0</v>
      </c>
      <c r="L2052">
        <v>0</v>
      </c>
      <c r="M2052">
        <v>0</v>
      </c>
      <c r="N2052">
        <v>0</v>
      </c>
    </row>
    <row r="2053" spans="1:14" x14ac:dyDescent="0.25">
      <c r="A2053">
        <v>1431.029524</v>
      </c>
      <c r="B2053" s="1">
        <f>DATE(2014,4,1) + TIME(0,42,30)</f>
        <v>41730.029513888891</v>
      </c>
      <c r="C2053">
        <v>80</v>
      </c>
      <c r="D2053">
        <v>62.312309265000003</v>
      </c>
      <c r="E2053">
        <v>50</v>
      </c>
      <c r="F2053">
        <v>49.963264465000002</v>
      </c>
      <c r="G2053">
        <v>1328.0717772999999</v>
      </c>
      <c r="H2053">
        <v>1328.0717772999999</v>
      </c>
      <c r="I2053">
        <v>1332.9963379000001</v>
      </c>
      <c r="J2053">
        <v>1332.9963379000001</v>
      </c>
      <c r="K2053">
        <v>0</v>
      </c>
      <c r="L2053">
        <v>0</v>
      </c>
      <c r="M2053">
        <v>0</v>
      </c>
      <c r="N2053">
        <v>0</v>
      </c>
    </row>
    <row r="2054" spans="1:14" x14ac:dyDescent="0.25">
      <c r="A2054">
        <v>1431.088573</v>
      </c>
      <c r="B2054" s="1">
        <f>DATE(2014,4,1) + TIME(2,7,32)</f>
        <v>41730.088564814818</v>
      </c>
      <c r="C2054">
        <v>80</v>
      </c>
      <c r="D2054">
        <v>62.311710357999999</v>
      </c>
      <c r="E2054">
        <v>50</v>
      </c>
      <c r="F2054">
        <v>49.961368561</v>
      </c>
      <c r="G2054">
        <v>1330.3144531</v>
      </c>
      <c r="H2054">
        <v>1330.3144531</v>
      </c>
      <c r="I2054">
        <v>1331.3643798999999</v>
      </c>
      <c r="J2054">
        <v>1331.3643798999999</v>
      </c>
      <c r="K2054">
        <v>0</v>
      </c>
      <c r="L2054">
        <v>0</v>
      </c>
      <c r="M2054">
        <v>0</v>
      </c>
      <c r="N2054">
        <v>0</v>
      </c>
    </row>
    <row r="2055" spans="1:14" x14ac:dyDescent="0.25">
      <c r="A2055">
        <v>1431.2657200000001</v>
      </c>
      <c r="B2055" s="1">
        <f>DATE(2014,4,1) + TIME(6,22,38)</f>
        <v>41730.265717592592</v>
      </c>
      <c r="C2055">
        <v>80</v>
      </c>
      <c r="D2055">
        <v>62.309471129999999</v>
      </c>
      <c r="E2055">
        <v>50</v>
      </c>
      <c r="F2055">
        <v>49.956272124999998</v>
      </c>
      <c r="G2055">
        <v>1330.9593506000001</v>
      </c>
      <c r="H2055">
        <v>1330.9593506000001</v>
      </c>
      <c r="I2055">
        <v>1331.1047363</v>
      </c>
      <c r="J2055">
        <v>1331.1047363</v>
      </c>
      <c r="K2055">
        <v>0</v>
      </c>
      <c r="L2055">
        <v>0</v>
      </c>
      <c r="M2055">
        <v>0</v>
      </c>
      <c r="N2055">
        <v>0</v>
      </c>
    </row>
    <row r="2056" spans="1:14" x14ac:dyDescent="0.25">
      <c r="A2056">
        <v>1431.797161</v>
      </c>
      <c r="B2056" s="1">
        <f>DATE(2014,4,1) + TIME(19,7,54)</f>
        <v>41730.797152777777</v>
      </c>
      <c r="C2056">
        <v>80</v>
      </c>
      <c r="D2056">
        <v>62.302497864000003</v>
      </c>
      <c r="E2056">
        <v>50</v>
      </c>
      <c r="F2056">
        <v>49.941123961999999</v>
      </c>
      <c r="G2056">
        <v>1331.0435791</v>
      </c>
      <c r="H2056">
        <v>1331.0435791</v>
      </c>
      <c r="I2056">
        <v>1331.1077881000001</v>
      </c>
      <c r="J2056">
        <v>1331.1077881000001</v>
      </c>
      <c r="K2056">
        <v>0</v>
      </c>
      <c r="L2056">
        <v>0</v>
      </c>
      <c r="M2056">
        <v>0</v>
      </c>
      <c r="N2056">
        <v>0</v>
      </c>
    </row>
    <row r="2057" spans="1:14" x14ac:dyDescent="0.25">
      <c r="A2057">
        <v>1433.391484</v>
      </c>
      <c r="B2057" s="1">
        <f>DATE(2014,4,3) + TIME(9,23,44)</f>
        <v>41732.391481481478</v>
      </c>
      <c r="C2057">
        <v>80</v>
      </c>
      <c r="D2057">
        <v>62.281394958</v>
      </c>
      <c r="E2057">
        <v>50</v>
      </c>
      <c r="F2057">
        <v>49.896091460999997</v>
      </c>
      <c r="G2057">
        <v>1331.0477295000001</v>
      </c>
      <c r="H2057">
        <v>1331.0477295000001</v>
      </c>
      <c r="I2057">
        <v>1331.1096190999999</v>
      </c>
      <c r="J2057">
        <v>1331.1096190999999</v>
      </c>
      <c r="K2057">
        <v>0</v>
      </c>
      <c r="L2057">
        <v>0</v>
      </c>
      <c r="M2057">
        <v>0</v>
      </c>
      <c r="N2057">
        <v>0</v>
      </c>
    </row>
    <row r="2058" spans="1:14" x14ac:dyDescent="0.25">
      <c r="A2058">
        <v>1436</v>
      </c>
      <c r="B2058" s="1">
        <f>DATE(2014,4,6) + TIME(0,0,0)</f>
        <v>41735</v>
      </c>
      <c r="C2058">
        <v>80</v>
      </c>
      <c r="D2058">
        <v>62.246494292999998</v>
      </c>
      <c r="E2058">
        <v>50</v>
      </c>
      <c r="F2058">
        <v>49.823482513000002</v>
      </c>
      <c r="G2058">
        <v>1331.0465088000001</v>
      </c>
      <c r="H2058">
        <v>1331.0465088000001</v>
      </c>
      <c r="I2058">
        <v>1331.1091309000001</v>
      </c>
      <c r="J2058">
        <v>1331.1091309000001</v>
      </c>
      <c r="K2058">
        <v>0</v>
      </c>
      <c r="L2058">
        <v>0</v>
      </c>
      <c r="M2058">
        <v>0</v>
      </c>
      <c r="N2058">
        <v>0</v>
      </c>
    </row>
    <row r="2059" spans="1:14" x14ac:dyDescent="0.25">
      <c r="A2059">
        <v>1436.0000010000001</v>
      </c>
      <c r="B2059" s="1">
        <f>DATE(2014,4,6) + TIME(0,0,0)</f>
        <v>41735</v>
      </c>
      <c r="C2059">
        <v>80</v>
      </c>
      <c r="D2059">
        <v>62.246459960999999</v>
      </c>
      <c r="E2059">
        <v>50</v>
      </c>
      <c r="F2059">
        <v>49.823513030999997</v>
      </c>
      <c r="G2059">
        <v>1330.8018798999999</v>
      </c>
      <c r="H2059">
        <v>1321.8901367000001</v>
      </c>
      <c r="I2059">
        <v>1341.7067870999999</v>
      </c>
      <c r="J2059">
        <v>1331.3448486</v>
      </c>
      <c r="K2059">
        <v>0</v>
      </c>
      <c r="L2059">
        <v>1215</v>
      </c>
      <c r="M2059">
        <v>1215</v>
      </c>
      <c r="N2059">
        <v>0</v>
      </c>
    </row>
    <row r="2060" spans="1:14" x14ac:dyDescent="0.25">
      <c r="A2060">
        <v>1436.000004</v>
      </c>
      <c r="B2060" s="1">
        <f>DATE(2014,4,6) + TIME(0,0,0)</f>
        <v>41735</v>
      </c>
      <c r="C2060">
        <v>80</v>
      </c>
      <c r="D2060">
        <v>62.246376038000001</v>
      </c>
      <c r="E2060">
        <v>50</v>
      </c>
      <c r="F2060">
        <v>49.82359314</v>
      </c>
      <c r="G2060">
        <v>1330.1651611</v>
      </c>
      <c r="H2060">
        <v>1321.2885742000001</v>
      </c>
      <c r="I2060">
        <v>1342.2973632999999</v>
      </c>
      <c r="J2060">
        <v>1331.9715576000001</v>
      </c>
      <c r="K2060">
        <v>0</v>
      </c>
      <c r="L2060">
        <v>1215</v>
      </c>
      <c r="M2060">
        <v>1215</v>
      </c>
      <c r="N2060">
        <v>0</v>
      </c>
    </row>
    <row r="2061" spans="1:14" x14ac:dyDescent="0.25">
      <c r="A2061">
        <v>1436.0000130000001</v>
      </c>
      <c r="B2061" s="1">
        <f>DATE(2014,4,6) + TIME(0,0,1)</f>
        <v>41735.000011574077</v>
      </c>
      <c r="C2061">
        <v>80</v>
      </c>
      <c r="D2061">
        <v>62.246192932</v>
      </c>
      <c r="E2061">
        <v>50</v>
      </c>
      <c r="F2061">
        <v>49.823768616000002</v>
      </c>
      <c r="G2061">
        <v>1328.7988281</v>
      </c>
      <c r="H2061">
        <v>1319.9403076000001</v>
      </c>
      <c r="I2061">
        <v>1343.6221923999999</v>
      </c>
      <c r="J2061">
        <v>1333.3669434000001</v>
      </c>
      <c r="K2061">
        <v>0</v>
      </c>
      <c r="L2061">
        <v>1215</v>
      </c>
      <c r="M2061">
        <v>1215</v>
      </c>
      <c r="N2061">
        <v>0</v>
      </c>
    </row>
    <row r="2062" spans="1:14" x14ac:dyDescent="0.25">
      <c r="A2062">
        <v>1436.0000399999999</v>
      </c>
      <c r="B2062" s="1">
        <f>DATE(2014,4,6) + TIME(0,0,3)</f>
        <v>41735.000034722223</v>
      </c>
      <c r="C2062">
        <v>80</v>
      </c>
      <c r="D2062">
        <v>62.245895386000001</v>
      </c>
      <c r="E2062">
        <v>50</v>
      </c>
      <c r="F2062">
        <v>49.824062347000002</v>
      </c>
      <c r="G2062">
        <v>1326.6104736</v>
      </c>
      <c r="H2062">
        <v>1317.6726074000001</v>
      </c>
      <c r="I2062">
        <v>1345.8359375</v>
      </c>
      <c r="J2062">
        <v>1335.6706543</v>
      </c>
      <c r="K2062">
        <v>0</v>
      </c>
      <c r="L2062">
        <v>1215</v>
      </c>
      <c r="M2062">
        <v>1215</v>
      </c>
      <c r="N2062">
        <v>0</v>
      </c>
    </row>
    <row r="2063" spans="1:14" x14ac:dyDescent="0.25">
      <c r="A2063">
        <v>1436.000121</v>
      </c>
      <c r="B2063" s="1">
        <f>DATE(2014,4,6) + TIME(0,0,10)</f>
        <v>41735.000115740739</v>
      </c>
      <c r="C2063">
        <v>80</v>
      </c>
      <c r="D2063">
        <v>62.245513916</v>
      </c>
      <c r="E2063">
        <v>50</v>
      </c>
      <c r="F2063">
        <v>49.824417113999999</v>
      </c>
      <c r="G2063">
        <v>1323.9522704999999</v>
      </c>
      <c r="H2063">
        <v>1314.8623047000001</v>
      </c>
      <c r="I2063">
        <v>1348.5374756000001</v>
      </c>
      <c r="J2063">
        <v>1338.4468993999999</v>
      </c>
      <c r="K2063">
        <v>0</v>
      </c>
      <c r="L2063">
        <v>1215</v>
      </c>
      <c r="M2063">
        <v>1215</v>
      </c>
      <c r="N2063">
        <v>0</v>
      </c>
    </row>
    <row r="2064" spans="1:14" x14ac:dyDescent="0.25">
      <c r="A2064">
        <v>1436.000364</v>
      </c>
      <c r="B2064" s="1">
        <f>DATE(2014,4,6) + TIME(0,0,31)</f>
        <v>41735.000358796293</v>
      </c>
      <c r="C2064">
        <v>80</v>
      </c>
      <c r="D2064">
        <v>62.245048523000001</v>
      </c>
      <c r="E2064">
        <v>50</v>
      </c>
      <c r="F2064">
        <v>49.824794769</v>
      </c>
      <c r="G2064">
        <v>1321.1350098</v>
      </c>
      <c r="H2064">
        <v>1311.9107666</v>
      </c>
      <c r="I2064">
        <v>1351.3184814000001</v>
      </c>
      <c r="J2064">
        <v>1341.2795410000001</v>
      </c>
      <c r="K2064">
        <v>0</v>
      </c>
      <c r="L2064">
        <v>1215</v>
      </c>
      <c r="M2064">
        <v>1215</v>
      </c>
      <c r="N2064">
        <v>0</v>
      </c>
    </row>
    <row r="2065" spans="1:14" x14ac:dyDescent="0.25">
      <c r="A2065">
        <v>1436.0010930000001</v>
      </c>
      <c r="B2065" s="1">
        <f>DATE(2014,4,6) + TIME(0,1,34)</f>
        <v>41735.001087962963</v>
      </c>
      <c r="C2065">
        <v>80</v>
      </c>
      <c r="D2065">
        <v>62.244365692000002</v>
      </c>
      <c r="E2065">
        <v>50</v>
      </c>
      <c r="F2065">
        <v>49.825206756999997</v>
      </c>
      <c r="G2065">
        <v>1318.1767577999999</v>
      </c>
      <c r="H2065">
        <v>1308.84375</v>
      </c>
      <c r="I2065">
        <v>1354.1072998</v>
      </c>
      <c r="J2065">
        <v>1344.1018065999999</v>
      </c>
      <c r="K2065">
        <v>0</v>
      </c>
      <c r="L2065">
        <v>1215</v>
      </c>
      <c r="M2065">
        <v>1215</v>
      </c>
      <c r="N2065">
        <v>0</v>
      </c>
    </row>
    <row r="2066" spans="1:14" x14ac:dyDescent="0.25">
      <c r="A2066">
        <v>1436.0032799999999</v>
      </c>
      <c r="B2066" s="1">
        <f>DATE(2014,4,6) + TIME(0,4,43)</f>
        <v>41735.003275462965</v>
      </c>
      <c r="C2066">
        <v>80</v>
      </c>
      <c r="D2066">
        <v>62.243053435999997</v>
      </c>
      <c r="E2066">
        <v>50</v>
      </c>
      <c r="F2066">
        <v>49.825744628999999</v>
      </c>
      <c r="G2066">
        <v>1314.9591064000001</v>
      </c>
      <c r="H2066">
        <v>1305.5354004000001</v>
      </c>
      <c r="I2066">
        <v>1356.9768065999999</v>
      </c>
      <c r="J2066">
        <v>1346.9804687999999</v>
      </c>
      <c r="K2066">
        <v>0</v>
      </c>
      <c r="L2066">
        <v>1215</v>
      </c>
      <c r="M2066">
        <v>1215</v>
      </c>
      <c r="N2066">
        <v>0</v>
      </c>
    </row>
    <row r="2067" spans="1:14" x14ac:dyDescent="0.25">
      <c r="A2067">
        <v>1436.0098410000001</v>
      </c>
      <c r="B2067" s="1">
        <f>DATE(2014,4,6) + TIME(0,14,10)</f>
        <v>41735.009837962964</v>
      </c>
      <c r="C2067">
        <v>80</v>
      </c>
      <c r="D2067">
        <v>62.239887238000001</v>
      </c>
      <c r="E2067">
        <v>50</v>
      </c>
      <c r="F2067">
        <v>49.826637267999999</v>
      </c>
      <c r="G2067">
        <v>1311.5979004000001</v>
      </c>
      <c r="H2067">
        <v>1302.1069336</v>
      </c>
      <c r="I2067">
        <v>1359.8936768000001</v>
      </c>
      <c r="J2067">
        <v>1349.8839111</v>
      </c>
      <c r="K2067">
        <v>0</v>
      </c>
      <c r="L2067">
        <v>1215</v>
      </c>
      <c r="M2067">
        <v>1215</v>
      </c>
      <c r="N2067">
        <v>0</v>
      </c>
    </row>
    <row r="2068" spans="1:14" x14ac:dyDescent="0.25">
      <c r="A2068">
        <v>1436.029524</v>
      </c>
      <c r="B2068" s="1">
        <f>DATE(2014,4,6) + TIME(0,42,30)</f>
        <v>41735.029513888891</v>
      </c>
      <c r="C2068">
        <v>80</v>
      </c>
      <c r="D2068">
        <v>62.231170654000003</v>
      </c>
      <c r="E2068">
        <v>50</v>
      </c>
      <c r="F2068">
        <v>49.828487396</v>
      </c>
      <c r="G2068">
        <v>1308.7980957</v>
      </c>
      <c r="H2068">
        <v>1299.2687988</v>
      </c>
      <c r="I2068">
        <v>1362.2800293</v>
      </c>
      <c r="J2068">
        <v>1352.2553711</v>
      </c>
      <c r="K2068">
        <v>0</v>
      </c>
      <c r="L2068">
        <v>1215</v>
      </c>
      <c r="M2068">
        <v>1215</v>
      </c>
      <c r="N2068">
        <v>0</v>
      </c>
    </row>
    <row r="2069" spans="1:14" x14ac:dyDescent="0.25">
      <c r="A2069">
        <v>1436.088573</v>
      </c>
      <c r="B2069" s="1">
        <f>DATE(2014,4,6) + TIME(2,7,32)</f>
        <v>41735.088564814818</v>
      </c>
      <c r="C2069">
        <v>80</v>
      </c>
      <c r="D2069">
        <v>62.206344604000002</v>
      </c>
      <c r="E2069">
        <v>50</v>
      </c>
      <c r="F2069">
        <v>49.833122252999999</v>
      </c>
      <c r="G2069">
        <v>1307.2797852000001</v>
      </c>
      <c r="H2069">
        <v>1297.7330322</v>
      </c>
      <c r="I2069">
        <v>1363.3825684000001</v>
      </c>
      <c r="J2069">
        <v>1353.3518065999999</v>
      </c>
      <c r="K2069">
        <v>0</v>
      </c>
      <c r="L2069">
        <v>1215</v>
      </c>
      <c r="M2069">
        <v>1215</v>
      </c>
      <c r="N2069">
        <v>0</v>
      </c>
    </row>
    <row r="2070" spans="1:14" x14ac:dyDescent="0.25">
      <c r="A2070">
        <v>1436.2657200000001</v>
      </c>
      <c r="B2070" s="1">
        <f>DATE(2014,4,6) + TIME(6,22,38)</f>
        <v>41735.265717592592</v>
      </c>
      <c r="C2070">
        <v>80</v>
      </c>
      <c r="D2070">
        <v>62.139617919999999</v>
      </c>
      <c r="E2070">
        <v>50</v>
      </c>
      <c r="F2070">
        <v>49.845279693999998</v>
      </c>
      <c r="G2070">
        <v>1306.8394774999999</v>
      </c>
      <c r="H2070">
        <v>1297.2783202999999</v>
      </c>
      <c r="I2070">
        <v>1363.5573730000001</v>
      </c>
      <c r="J2070">
        <v>1353.5262451000001</v>
      </c>
      <c r="K2070">
        <v>0</v>
      </c>
      <c r="L2070">
        <v>1215</v>
      </c>
      <c r="M2070">
        <v>1215</v>
      </c>
      <c r="N2070">
        <v>0</v>
      </c>
    </row>
    <row r="2071" spans="1:14" x14ac:dyDescent="0.25">
      <c r="A2071">
        <v>1436.797161</v>
      </c>
      <c r="B2071" s="1">
        <f>DATE(2014,4,6) + TIME(19,7,54)</f>
        <v>41735.797152777777</v>
      </c>
      <c r="C2071">
        <v>80</v>
      </c>
      <c r="D2071">
        <v>61.989055634000003</v>
      </c>
      <c r="E2071">
        <v>50</v>
      </c>
      <c r="F2071">
        <v>49.872550963999998</v>
      </c>
      <c r="G2071">
        <v>1306.7674560999999</v>
      </c>
      <c r="H2071">
        <v>1297.1784668</v>
      </c>
      <c r="I2071">
        <v>1363.5535889</v>
      </c>
      <c r="J2071">
        <v>1353.5241699000001</v>
      </c>
      <c r="K2071">
        <v>0</v>
      </c>
      <c r="L2071">
        <v>1215</v>
      </c>
      <c r="M2071">
        <v>1215</v>
      </c>
      <c r="N2071">
        <v>0</v>
      </c>
    </row>
    <row r="2072" spans="1:14" x14ac:dyDescent="0.25">
      <c r="A2072">
        <v>1438.391484</v>
      </c>
      <c r="B2072" s="1">
        <f>DATE(2014,4,8) + TIME(9,23,44)</f>
        <v>41737.391481481478</v>
      </c>
      <c r="C2072">
        <v>80</v>
      </c>
      <c r="D2072">
        <v>61.743865966999998</v>
      </c>
      <c r="E2072">
        <v>50</v>
      </c>
      <c r="F2072">
        <v>49.913410186999997</v>
      </c>
      <c r="G2072">
        <v>1306.7253418</v>
      </c>
      <c r="H2072">
        <v>1297.0882568</v>
      </c>
      <c r="I2072">
        <v>1363.5485839999999</v>
      </c>
      <c r="J2072">
        <v>1353.5218506000001</v>
      </c>
      <c r="K2072">
        <v>0</v>
      </c>
      <c r="L2072">
        <v>1215</v>
      </c>
      <c r="M2072">
        <v>1215</v>
      </c>
      <c r="N2072">
        <v>0</v>
      </c>
    </row>
    <row r="2073" spans="1:14" x14ac:dyDescent="0.25">
      <c r="A2073">
        <v>1442.821263</v>
      </c>
      <c r="B2073" s="1">
        <f>DATE(2014,4,12) + TIME(19,42,37)</f>
        <v>41741.821261574078</v>
      </c>
      <c r="C2073">
        <v>80</v>
      </c>
      <c r="D2073">
        <v>61.428466796999999</v>
      </c>
      <c r="E2073">
        <v>50</v>
      </c>
      <c r="F2073">
        <v>49.943565368999998</v>
      </c>
      <c r="G2073">
        <v>1306.6347656</v>
      </c>
      <c r="H2073">
        <v>1296.9329834</v>
      </c>
      <c r="I2073">
        <v>1363.5407714999999</v>
      </c>
      <c r="J2073">
        <v>1353.5167236</v>
      </c>
      <c r="K2073">
        <v>0</v>
      </c>
      <c r="L2073">
        <v>1215</v>
      </c>
      <c r="M2073">
        <v>1215</v>
      </c>
      <c r="N2073">
        <v>0</v>
      </c>
    </row>
    <row r="2074" spans="1:14" x14ac:dyDescent="0.25">
      <c r="A2074">
        <v>1448.425968</v>
      </c>
      <c r="B2074" s="1">
        <f>DATE(2014,4,18) + TIME(10,13,23)</f>
        <v>41747.42596064815</v>
      </c>
      <c r="C2074">
        <v>80</v>
      </c>
      <c r="D2074">
        <v>60.903614044000001</v>
      </c>
      <c r="E2074">
        <v>50</v>
      </c>
      <c r="F2074">
        <v>49.952121734999999</v>
      </c>
      <c r="G2074">
        <v>1306.427124</v>
      </c>
      <c r="H2074">
        <v>1296.6268310999999</v>
      </c>
      <c r="I2074">
        <v>1363.5212402</v>
      </c>
      <c r="J2074">
        <v>1353.5</v>
      </c>
      <c r="K2074">
        <v>0</v>
      </c>
      <c r="L2074">
        <v>1215</v>
      </c>
      <c r="M2074">
        <v>1215</v>
      </c>
      <c r="N2074">
        <v>0</v>
      </c>
    </row>
    <row r="2075" spans="1:14" x14ac:dyDescent="0.25">
      <c r="A2075">
        <v>1454.121273</v>
      </c>
      <c r="B2075" s="1">
        <f>DATE(2014,4,24) + TIME(2,54,37)</f>
        <v>41753.121261574073</v>
      </c>
      <c r="C2075">
        <v>80</v>
      </c>
      <c r="D2075">
        <v>60.235958099000001</v>
      </c>
      <c r="E2075">
        <v>50</v>
      </c>
      <c r="F2075">
        <v>49.954116821</v>
      </c>
      <c r="G2075">
        <v>1306.1605225000001</v>
      </c>
      <c r="H2075">
        <v>1296.2301024999999</v>
      </c>
      <c r="I2075">
        <v>1363.4967041</v>
      </c>
      <c r="J2075">
        <v>1353.479126</v>
      </c>
      <c r="K2075">
        <v>0</v>
      </c>
      <c r="L2075">
        <v>1215</v>
      </c>
      <c r="M2075">
        <v>1215</v>
      </c>
      <c r="N2075">
        <v>0</v>
      </c>
    </row>
    <row r="2076" spans="1:14" x14ac:dyDescent="0.25">
      <c r="A2076">
        <v>1459.936561</v>
      </c>
      <c r="B2076" s="1">
        <f>DATE(2014,4,29) + TIME(22,28,38)</f>
        <v>41758.936550925922</v>
      </c>
      <c r="C2076">
        <v>80</v>
      </c>
      <c r="D2076">
        <v>59.527469635000003</v>
      </c>
      <c r="E2076">
        <v>50</v>
      </c>
      <c r="F2076">
        <v>49.954658508000001</v>
      </c>
      <c r="G2076">
        <v>1305.8842772999999</v>
      </c>
      <c r="H2076">
        <v>1295.8107910000001</v>
      </c>
      <c r="I2076">
        <v>1363.4720459</v>
      </c>
      <c r="J2076">
        <v>1353.4581298999999</v>
      </c>
      <c r="K2076">
        <v>0</v>
      </c>
      <c r="L2076">
        <v>1215</v>
      </c>
      <c r="M2076">
        <v>1215</v>
      </c>
      <c r="N2076">
        <v>0</v>
      </c>
    </row>
    <row r="2077" spans="1:14" x14ac:dyDescent="0.25">
      <c r="A2077">
        <v>1461</v>
      </c>
      <c r="B2077" s="1">
        <f>DATE(2014,5,1) + TIME(0,0,0)</f>
        <v>41760</v>
      </c>
      <c r="C2077">
        <v>80</v>
      </c>
      <c r="D2077">
        <v>59.134170531999999</v>
      </c>
      <c r="E2077">
        <v>50</v>
      </c>
      <c r="F2077">
        <v>49.954719543000003</v>
      </c>
      <c r="G2077">
        <v>1305.6143798999999</v>
      </c>
      <c r="H2077">
        <v>1295.4527588000001</v>
      </c>
      <c r="I2077">
        <v>1363.4465332</v>
      </c>
      <c r="J2077">
        <v>1353.4361572</v>
      </c>
      <c r="K2077">
        <v>0</v>
      </c>
      <c r="L2077">
        <v>1215</v>
      </c>
      <c r="M2077">
        <v>1215</v>
      </c>
      <c r="N2077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2022-06-20T13:15:33Z</dcterms:created>
  <dcterms:modified xsi:type="dcterms:W3CDTF">2022-06-20T13:16:14Z</dcterms:modified>
</cp:coreProperties>
</file>