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22_5_months_loading/"/>
    </mc:Choice>
  </mc:AlternateContent>
  <xr:revisionPtr revIDLastSave="0" documentId="8_{5B5131D3-B322-49D1-AC22-5BA1F16D1B39}" xr6:coauthVersionLast="47" xr6:coauthVersionMax="47" xr10:uidLastSave="{00000000-0000-0000-0000-000000000000}"/>
  <bookViews>
    <workbookView xWindow="1905" yWindow="765" windowWidth="21600" windowHeight="11385" xr2:uid="{696CB5AC-0CE7-4DDD-B3D2-820035BF2866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48" i="1" l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<sst xmlns="http://schemas.openxmlformats.org/spreadsheetml/2006/main" count="15" uniqueCount="15">
  <si>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MODEL\SCENARIOS\2022\S22_5_months_loading\S20_5_months_loading.sr3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</si>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</sst>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2B2F38-C336-41DA-B36E-2CFD9405FD18}" name="Table1" displayName="Table1" ref="A3:N2148" totalsRowShown="0">
  <autoFilter ref="A3:N2148" xr:uid="{2C2B2F38-C336-41DA-B36E-2CFD9405FD18}"/>
  <tableColumns count="14">
    <tableColumn id="1" xr3:uid="{009C0C3E-7B45-48CD-A9FD-5C1F405C3E48}" name="Time (day)"/>
    <tableColumn id="2" xr3:uid="{9540B16F-8280-4AF9-8E71-3CE535A31EBC}" name="Date" dataDxfId="0"/>
    <tableColumn id="3" xr3:uid="{3D669E8B-0613-4263-B632-13DBEAB146DC}" name="Hot well INJ-Well bottom hole temperature (C)"/>
    <tableColumn id="4" xr3:uid="{5880C456-DF1C-4A84-B16D-F1F4FA336FF1}" name="Hot well PROD-Well bottom hole temperature (C)"/>
    <tableColumn id="5" xr3:uid="{6B4CB91D-5E7C-4608-988D-9E2A616DED1C}" name="Warm well INJ-Well bottom hole temperature (C)"/>
    <tableColumn id="6" xr3:uid="{5AB1EDD3-EFA7-4346-A373-6D73F1B2D246}" name="Warm well PROD-Well bottom hole temperature (C)"/>
    <tableColumn id="7" xr3:uid="{8FFAF3D9-8299-4A8A-B882-BCA166BAEF68}" name="Hot well INJ-Well Bottom-hole Pressure (kPa)"/>
    <tableColumn id="8" xr3:uid="{D6B4919A-6113-455F-A6DE-F48CAB77DD0C}" name="Hot well PROD-Well Bottom-hole Pressure (kPa)"/>
    <tableColumn id="9" xr3:uid="{9F44A374-18E8-48F6-BA4B-64911A0B6C6E}" name="Warm well INJ-Well Bottom-hole Pressure (kPa)"/>
    <tableColumn id="10" xr3:uid="{36EC68FC-8DF8-43DD-8C82-E47F3D90820A}" name="Warm well PROD-Well Bottom-hole Pressure (kPa)"/>
    <tableColumn id="11" xr3:uid="{90401F09-684C-44C7-9F38-2D287338E6F0}" name="Hot well INJ-Fluid Rate SC (m³/day)"/>
    <tableColumn id="12" xr3:uid="{21067C13-9701-4A73-A53A-D9CC2C0C3B57}" name="Hot well PROD-Fluid Rate SC (m³/day)"/>
    <tableColumn id="13" xr3:uid="{E66EF889-BD5F-4116-8F08-7DC5DCC2582D}" name="Warm well INJ-Fluid Rate SC (m³/day)"/>
    <tableColumn id="14" xr3:uid="{5452DE1D-5F9F-4739-B834-F24AFF02D052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D76E2-5659-4948-A399-BCA249DBA0AC}">
  <dimension ref="A1:N2148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15.000142096999999</v>
      </c>
      <c r="E4">
        <v>50</v>
      </c>
      <c r="F4">
        <v>14.999946594000001</v>
      </c>
      <c r="G4">
        <v>1377.1634521000001</v>
      </c>
      <c r="H4">
        <v>1329.9357910000001</v>
      </c>
      <c r="I4">
        <v>1328.8857422000001</v>
      </c>
      <c r="J4">
        <v>1281.6571045000001</v>
      </c>
      <c r="K4">
        <v>2875</v>
      </c>
      <c r="L4">
        <v>0</v>
      </c>
      <c r="M4">
        <v>0</v>
      </c>
      <c r="N4">
        <v>2875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15.000558852999999</v>
      </c>
      <c r="E5">
        <v>50</v>
      </c>
      <c r="F5">
        <v>14.999794006</v>
      </c>
      <c r="G5">
        <v>1378.6507568</v>
      </c>
      <c r="H5">
        <v>1331.4235839999999</v>
      </c>
      <c r="I5">
        <v>1327.4045410000001</v>
      </c>
      <c r="J5">
        <v>1280.1756591999999</v>
      </c>
      <c r="K5">
        <v>2875</v>
      </c>
      <c r="L5">
        <v>0</v>
      </c>
      <c r="M5">
        <v>0</v>
      </c>
      <c r="N5">
        <v>2875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15.001740456</v>
      </c>
      <c r="E6">
        <v>50</v>
      </c>
      <c r="F6">
        <v>14.999403954</v>
      </c>
      <c r="G6">
        <v>1382.4538574000001</v>
      </c>
      <c r="H6">
        <v>1335.2280272999999</v>
      </c>
      <c r="I6">
        <v>1323.6166992000001</v>
      </c>
      <c r="J6">
        <v>1276.3870850000001</v>
      </c>
      <c r="K6">
        <v>2875</v>
      </c>
      <c r="L6">
        <v>0</v>
      </c>
      <c r="M6">
        <v>0</v>
      </c>
      <c r="N6">
        <v>2875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15.004920959</v>
      </c>
      <c r="E7">
        <v>50</v>
      </c>
      <c r="F7">
        <v>14.998600006</v>
      </c>
      <c r="G7">
        <v>1390.3077393000001</v>
      </c>
      <c r="H7">
        <v>1343.0856934000001</v>
      </c>
      <c r="I7">
        <v>1315.7929687999999</v>
      </c>
      <c r="J7">
        <v>1268.5621338000001</v>
      </c>
      <c r="K7">
        <v>2875</v>
      </c>
      <c r="L7">
        <v>0</v>
      </c>
      <c r="M7">
        <v>0</v>
      </c>
      <c r="N7">
        <v>2875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15.013249396999999</v>
      </c>
      <c r="E8">
        <v>50</v>
      </c>
      <c r="F8">
        <v>14.997390747000001</v>
      </c>
      <c r="G8">
        <v>1402.1014404</v>
      </c>
      <c r="H8">
        <v>1354.8897704999999</v>
      </c>
      <c r="I8">
        <v>1304.0378418</v>
      </c>
      <c r="J8">
        <v>1256.8051757999999</v>
      </c>
      <c r="K8">
        <v>2875</v>
      </c>
      <c r="L8">
        <v>0</v>
      </c>
      <c r="M8">
        <v>0</v>
      </c>
      <c r="N8">
        <v>2875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15.035964012000001</v>
      </c>
      <c r="E9">
        <v>50</v>
      </c>
      <c r="F9">
        <v>14.996021271</v>
      </c>
      <c r="G9">
        <v>1415.4577637</v>
      </c>
      <c r="H9">
        <v>1368.2745361</v>
      </c>
      <c r="I9">
        <v>1290.6989745999999</v>
      </c>
      <c r="J9">
        <v>1243.4644774999999</v>
      </c>
      <c r="K9">
        <v>2875</v>
      </c>
      <c r="L9">
        <v>0</v>
      </c>
      <c r="M9">
        <v>0</v>
      </c>
      <c r="N9">
        <v>2875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15.101301192999999</v>
      </c>
      <c r="E10">
        <v>50</v>
      </c>
      <c r="F10">
        <v>14.994638442999999</v>
      </c>
      <c r="G10">
        <v>1428.8742675999999</v>
      </c>
      <c r="H10">
        <v>1381.7722168</v>
      </c>
      <c r="I10">
        <v>1277.2174072</v>
      </c>
      <c r="J10">
        <v>1229.9812012</v>
      </c>
      <c r="K10">
        <v>2875</v>
      </c>
      <c r="L10">
        <v>0</v>
      </c>
      <c r="M10">
        <v>0</v>
      </c>
      <c r="N10">
        <v>2875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15.293982506000001</v>
      </c>
      <c r="E11">
        <v>50</v>
      </c>
      <c r="F11">
        <v>14.993270874</v>
      </c>
      <c r="G11">
        <v>1441.9902344</v>
      </c>
      <c r="H11">
        <v>1395.1259766000001</v>
      </c>
      <c r="I11">
        <v>1263.793457</v>
      </c>
      <c r="J11">
        <v>1216.5554199000001</v>
      </c>
      <c r="K11">
        <v>2875</v>
      </c>
      <c r="L11">
        <v>0</v>
      </c>
      <c r="M11">
        <v>0</v>
      </c>
      <c r="N11">
        <v>2875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15.864394188</v>
      </c>
      <c r="E12">
        <v>50</v>
      </c>
      <c r="F12">
        <v>14.991979599</v>
      </c>
      <c r="G12">
        <v>1453.8829346</v>
      </c>
      <c r="H12">
        <v>1407.7100829999999</v>
      </c>
      <c r="I12">
        <v>1250.8974608999999</v>
      </c>
      <c r="J12">
        <v>1203.6577147999999</v>
      </c>
      <c r="K12">
        <v>2875</v>
      </c>
      <c r="L12">
        <v>0</v>
      </c>
      <c r="M12">
        <v>0</v>
      </c>
      <c r="N12">
        <v>2875</v>
      </c>
    </row>
    <row r="13" spans="1:14" x14ac:dyDescent="0.25">
      <c r="A13">
        <v>2.1343000000000001E-2</v>
      </c>
      <c r="B13" s="1">
        <f>DATE(2010,5,1) + TIME(0,30,44)</f>
        <v>40299.02134259259</v>
      </c>
      <c r="C13">
        <v>80</v>
      </c>
      <c r="D13">
        <v>16.850305556999999</v>
      </c>
      <c r="E13">
        <v>50</v>
      </c>
      <c r="F13">
        <v>14.991189003000001</v>
      </c>
      <c r="G13">
        <v>1460.4499512</v>
      </c>
      <c r="H13">
        <v>1415.4294434000001</v>
      </c>
      <c r="I13">
        <v>1242.6901855000001</v>
      </c>
      <c r="J13">
        <v>1195.4494629000001</v>
      </c>
      <c r="K13">
        <v>2875</v>
      </c>
      <c r="L13">
        <v>0</v>
      </c>
      <c r="M13">
        <v>0</v>
      </c>
      <c r="N13">
        <v>2875</v>
      </c>
    </row>
    <row r="14" spans="1:14" x14ac:dyDescent="0.25">
      <c r="A14">
        <v>3.3009999999999998E-2</v>
      </c>
      <c r="B14" s="1">
        <f>DATE(2010,5,1) + TIME(0,47,32)</f>
        <v>40299.033009259256</v>
      </c>
      <c r="C14">
        <v>80</v>
      </c>
      <c r="D14">
        <v>17.836296082</v>
      </c>
      <c r="E14">
        <v>50</v>
      </c>
      <c r="F14">
        <v>14.990841866</v>
      </c>
      <c r="G14">
        <v>1462.7542725000001</v>
      </c>
      <c r="H14">
        <v>1418.8322754000001</v>
      </c>
      <c r="I14">
        <v>1238.8613281</v>
      </c>
      <c r="J14">
        <v>1191.6201172000001</v>
      </c>
      <c r="K14">
        <v>2875</v>
      </c>
      <c r="L14">
        <v>0</v>
      </c>
      <c r="M14">
        <v>0</v>
      </c>
      <c r="N14">
        <v>2875</v>
      </c>
    </row>
    <row r="15" spans="1:14" x14ac:dyDescent="0.25">
      <c r="A15">
        <v>4.4842E-2</v>
      </c>
      <c r="B15" s="1">
        <f>DATE(2010,5,1) + TIME(1,4,34)</f>
        <v>40299.04483796296</v>
      </c>
      <c r="C15">
        <v>80</v>
      </c>
      <c r="D15">
        <v>18.822677612</v>
      </c>
      <c r="E15">
        <v>50</v>
      </c>
      <c r="F15">
        <v>14.990680695</v>
      </c>
      <c r="G15">
        <v>1463.3232422000001</v>
      </c>
      <c r="H15">
        <v>1420.4549560999999</v>
      </c>
      <c r="I15">
        <v>1236.8708495999999</v>
      </c>
      <c r="J15">
        <v>1189.6292725000001</v>
      </c>
      <c r="K15">
        <v>2875</v>
      </c>
      <c r="L15">
        <v>0</v>
      </c>
      <c r="M15">
        <v>0</v>
      </c>
      <c r="N15">
        <v>2875</v>
      </c>
    </row>
    <row r="16" spans="1:14" x14ac:dyDescent="0.25">
      <c r="A16">
        <v>5.6838E-2</v>
      </c>
      <c r="B16" s="1">
        <f>DATE(2010,5,1) + TIME(1,21,50)</f>
        <v>40299.056828703702</v>
      </c>
      <c r="C16">
        <v>80</v>
      </c>
      <c r="D16">
        <v>19.808887481999999</v>
      </c>
      <c r="E16">
        <v>50</v>
      </c>
      <c r="F16">
        <v>14.990611076</v>
      </c>
      <c r="G16">
        <v>1463.0644531</v>
      </c>
      <c r="H16">
        <v>1421.2069091999999</v>
      </c>
      <c r="I16">
        <v>1235.7857666</v>
      </c>
      <c r="J16">
        <v>1188.5440673999999</v>
      </c>
      <c r="K16">
        <v>2875</v>
      </c>
      <c r="L16">
        <v>0</v>
      </c>
      <c r="M16">
        <v>0</v>
      </c>
      <c r="N16">
        <v>2875</v>
      </c>
    </row>
    <row r="17" spans="1:14" x14ac:dyDescent="0.25">
      <c r="A17">
        <v>6.9001000000000007E-2</v>
      </c>
      <c r="B17" s="1">
        <f>DATE(2010,5,1) + TIME(1,39,21)</f>
        <v>40299.068993055553</v>
      </c>
      <c r="C17">
        <v>80</v>
      </c>
      <c r="D17">
        <v>20.795574188</v>
      </c>
      <c r="E17">
        <v>50</v>
      </c>
      <c r="F17">
        <v>14.990590096</v>
      </c>
      <c r="G17">
        <v>1462.3769531</v>
      </c>
      <c r="H17">
        <v>1421.4899902</v>
      </c>
      <c r="I17">
        <v>1235.1862793</v>
      </c>
      <c r="J17">
        <v>1187.9445800999999</v>
      </c>
      <c r="K17">
        <v>2875</v>
      </c>
      <c r="L17">
        <v>0</v>
      </c>
      <c r="M17">
        <v>0</v>
      </c>
      <c r="N17">
        <v>2875</v>
      </c>
    </row>
    <row r="18" spans="1:14" x14ac:dyDescent="0.25">
      <c r="A18">
        <v>8.1328999999999999E-2</v>
      </c>
      <c r="B18" s="1">
        <f>DATE(2010,5,1) + TIME(1,57,6)</f>
        <v>40299.081319444442</v>
      </c>
      <c r="C18">
        <v>80</v>
      </c>
      <c r="D18">
        <v>21.781492233000002</v>
      </c>
      <c r="E18">
        <v>50</v>
      </c>
      <c r="F18">
        <v>14.990596771</v>
      </c>
      <c r="G18">
        <v>1461.4617920000001</v>
      </c>
      <c r="H18">
        <v>1421.5059814000001</v>
      </c>
      <c r="I18">
        <v>1234.8586425999999</v>
      </c>
      <c r="J18">
        <v>1187.6169434000001</v>
      </c>
      <c r="K18">
        <v>2875</v>
      </c>
      <c r="L18">
        <v>0</v>
      </c>
      <c r="M18">
        <v>0</v>
      </c>
      <c r="N18">
        <v>2875</v>
      </c>
    </row>
    <row r="19" spans="1:14" x14ac:dyDescent="0.25">
      <c r="A19">
        <v>9.3833E-2</v>
      </c>
      <c r="B19" s="1">
        <f>DATE(2010,5,1) + TIME(2,15,7)</f>
        <v>40299.093831018516</v>
      </c>
      <c r="C19">
        <v>80</v>
      </c>
      <c r="D19">
        <v>22.766965866</v>
      </c>
      <c r="E19">
        <v>50</v>
      </c>
      <c r="F19">
        <v>14.990618705999999</v>
      </c>
      <c r="G19">
        <v>1460.4276123</v>
      </c>
      <c r="H19">
        <v>1421.3660889</v>
      </c>
      <c r="I19">
        <v>1234.6853027</v>
      </c>
      <c r="J19">
        <v>1187.4436035000001</v>
      </c>
      <c r="K19">
        <v>2875</v>
      </c>
      <c r="L19">
        <v>0</v>
      </c>
      <c r="M19">
        <v>0</v>
      </c>
      <c r="N19">
        <v>2875</v>
      </c>
    </row>
    <row r="20" spans="1:14" x14ac:dyDescent="0.25">
      <c r="A20">
        <v>0.10652</v>
      </c>
      <c r="B20" s="1">
        <f>DATE(2010,5,1) + TIME(2,33,23)</f>
        <v>40299.106516203705</v>
      </c>
      <c r="C20">
        <v>80</v>
      </c>
      <c r="D20">
        <v>23.752151488999999</v>
      </c>
      <c r="E20">
        <v>50</v>
      </c>
      <c r="F20">
        <v>14.990650176999999</v>
      </c>
      <c r="G20">
        <v>1459.3369141000001</v>
      </c>
      <c r="H20">
        <v>1421.1346435999999</v>
      </c>
      <c r="I20">
        <v>1234.5992432</v>
      </c>
      <c r="J20">
        <v>1187.3575439000001</v>
      </c>
      <c r="K20">
        <v>2875</v>
      </c>
      <c r="L20">
        <v>0</v>
      </c>
      <c r="M20">
        <v>0</v>
      </c>
      <c r="N20">
        <v>2875</v>
      </c>
    </row>
    <row r="21" spans="1:14" x14ac:dyDescent="0.25">
      <c r="A21">
        <v>0.11939900000000001</v>
      </c>
      <c r="B21" s="1">
        <f>DATE(2010,5,1) + TIME(2,51,56)</f>
        <v>40299.119398148148</v>
      </c>
      <c r="C21">
        <v>80</v>
      </c>
      <c r="D21">
        <v>24.737033843999999</v>
      </c>
      <c r="E21">
        <v>50</v>
      </c>
      <c r="F21">
        <v>14.990686416999999</v>
      </c>
      <c r="G21">
        <v>1458.2263184000001</v>
      </c>
      <c r="H21">
        <v>1420.8503418</v>
      </c>
      <c r="I21">
        <v>1234.5618896000001</v>
      </c>
      <c r="J21">
        <v>1187.3201904</v>
      </c>
      <c r="K21">
        <v>2875</v>
      </c>
      <c r="L21">
        <v>0</v>
      </c>
      <c r="M21">
        <v>0</v>
      </c>
      <c r="N21">
        <v>2875</v>
      </c>
    </row>
    <row r="22" spans="1:14" x14ac:dyDescent="0.25">
      <c r="A22">
        <v>0.13247600000000001</v>
      </c>
      <c r="B22" s="1">
        <f>DATE(2010,5,1) + TIME(3,10,45)</f>
        <v>40299.132465277777</v>
      </c>
      <c r="C22">
        <v>80</v>
      </c>
      <c r="D22">
        <v>25.722093581999999</v>
      </c>
      <c r="E22">
        <v>50</v>
      </c>
      <c r="F22">
        <v>14.990724564000001</v>
      </c>
      <c r="G22">
        <v>1457.1176757999999</v>
      </c>
      <c r="H22">
        <v>1420.5368652</v>
      </c>
      <c r="I22">
        <v>1234.5506591999999</v>
      </c>
      <c r="J22">
        <v>1187.3089600000001</v>
      </c>
      <c r="K22">
        <v>2875</v>
      </c>
      <c r="L22">
        <v>0</v>
      </c>
      <c r="M22">
        <v>0</v>
      </c>
      <c r="N22">
        <v>2875</v>
      </c>
    </row>
    <row r="23" spans="1:14" x14ac:dyDescent="0.25">
      <c r="A23">
        <v>0.14574999999999999</v>
      </c>
      <c r="B23" s="1">
        <f>DATE(2010,5,1) + TIME(3,29,52)</f>
        <v>40299.145740740743</v>
      </c>
      <c r="C23">
        <v>80</v>
      </c>
      <c r="D23">
        <v>26.706541060999999</v>
      </c>
      <c r="E23">
        <v>50</v>
      </c>
      <c r="F23">
        <v>14.990765572000001</v>
      </c>
      <c r="G23">
        <v>1456.0247803</v>
      </c>
      <c r="H23">
        <v>1420.2088623</v>
      </c>
      <c r="I23">
        <v>1234.5528564000001</v>
      </c>
      <c r="J23">
        <v>1187.3110352000001</v>
      </c>
      <c r="K23">
        <v>2875</v>
      </c>
      <c r="L23">
        <v>0</v>
      </c>
      <c r="M23">
        <v>0</v>
      </c>
      <c r="N23">
        <v>2875</v>
      </c>
    </row>
    <row r="24" spans="1:14" x14ac:dyDescent="0.25">
      <c r="A24">
        <v>0.15923499999999999</v>
      </c>
      <c r="B24" s="1">
        <f>DATE(2010,5,1) + TIME(3,49,17)</f>
        <v>40299.159224537034</v>
      </c>
      <c r="C24">
        <v>80</v>
      </c>
      <c r="D24">
        <v>27.690483093000001</v>
      </c>
      <c r="E24">
        <v>50</v>
      </c>
      <c r="F24">
        <v>14.990805626</v>
      </c>
      <c r="G24">
        <v>1454.9549560999999</v>
      </c>
      <c r="H24">
        <v>1419.8752440999999</v>
      </c>
      <c r="I24">
        <v>1234.5610352000001</v>
      </c>
      <c r="J24">
        <v>1187.3192139</v>
      </c>
      <c r="K24">
        <v>2875</v>
      </c>
      <c r="L24">
        <v>0</v>
      </c>
      <c r="M24">
        <v>0</v>
      </c>
      <c r="N24">
        <v>2875</v>
      </c>
    </row>
    <row r="25" spans="1:14" x14ac:dyDescent="0.25">
      <c r="A25">
        <v>0.17293900000000001</v>
      </c>
      <c r="B25" s="1">
        <f>DATE(2010,5,1) + TIME(4,9,1)</f>
        <v>40299.17292824074</v>
      </c>
      <c r="C25">
        <v>80</v>
      </c>
      <c r="D25">
        <v>28.674079894999998</v>
      </c>
      <c r="E25">
        <v>50</v>
      </c>
      <c r="F25">
        <v>14.990846634</v>
      </c>
      <c r="G25">
        <v>1453.9124756000001</v>
      </c>
      <c r="H25">
        <v>1419.5418701000001</v>
      </c>
      <c r="I25">
        <v>1234.5714111</v>
      </c>
      <c r="J25">
        <v>1187.3297118999999</v>
      </c>
      <c r="K25">
        <v>2875</v>
      </c>
      <c r="L25">
        <v>0</v>
      </c>
      <c r="M25">
        <v>0</v>
      </c>
      <c r="N25">
        <v>2875</v>
      </c>
    </row>
    <row r="26" spans="1:14" x14ac:dyDescent="0.25">
      <c r="A26">
        <v>0.18687300000000001</v>
      </c>
      <c r="B26" s="1">
        <f>DATE(2010,5,1) + TIME(4,29,5)</f>
        <v>40299.186863425923</v>
      </c>
      <c r="C26">
        <v>80</v>
      </c>
      <c r="D26">
        <v>29.657321929999998</v>
      </c>
      <c r="E26">
        <v>50</v>
      </c>
      <c r="F26">
        <v>14.990887642000001</v>
      </c>
      <c r="G26">
        <v>1452.8992920000001</v>
      </c>
      <c r="H26">
        <v>1419.2119141000001</v>
      </c>
      <c r="I26">
        <v>1234.5820312000001</v>
      </c>
      <c r="J26">
        <v>1187.3402100000001</v>
      </c>
      <c r="K26">
        <v>2875</v>
      </c>
      <c r="L26">
        <v>0</v>
      </c>
      <c r="M26">
        <v>0</v>
      </c>
      <c r="N26">
        <v>2875</v>
      </c>
    </row>
    <row r="27" spans="1:14" x14ac:dyDescent="0.25">
      <c r="A27">
        <v>0.201043</v>
      </c>
      <c r="B27" s="1">
        <f>DATE(2010,5,1) + TIME(4,49,30)</f>
        <v>40299.201041666667</v>
      </c>
      <c r="C27">
        <v>80</v>
      </c>
      <c r="D27">
        <v>30.640338898</v>
      </c>
      <c r="E27">
        <v>50</v>
      </c>
      <c r="F27">
        <v>14.990928650000001</v>
      </c>
      <c r="G27">
        <v>1451.9165039</v>
      </c>
      <c r="H27">
        <v>1418.8876952999999</v>
      </c>
      <c r="I27">
        <v>1234.5919189000001</v>
      </c>
      <c r="J27">
        <v>1187.3499756000001</v>
      </c>
      <c r="K27">
        <v>2875</v>
      </c>
      <c r="L27">
        <v>0</v>
      </c>
      <c r="M27">
        <v>0</v>
      </c>
      <c r="N27">
        <v>2875</v>
      </c>
    </row>
    <row r="28" spans="1:14" x14ac:dyDescent="0.25">
      <c r="A28">
        <v>0.21545800000000001</v>
      </c>
      <c r="B28" s="1">
        <f>DATE(2010,5,1) + TIME(5,10,15)</f>
        <v>40299.215451388889</v>
      </c>
      <c r="C28">
        <v>80</v>
      </c>
      <c r="D28">
        <v>31.622913360999998</v>
      </c>
      <c r="E28">
        <v>50</v>
      </c>
      <c r="F28">
        <v>14.990969657999999</v>
      </c>
      <c r="G28">
        <v>1450.9639893000001</v>
      </c>
      <c r="H28">
        <v>1418.5704346</v>
      </c>
      <c r="I28">
        <v>1234.6005858999999</v>
      </c>
      <c r="J28">
        <v>1187.3586425999999</v>
      </c>
      <c r="K28">
        <v>2875</v>
      </c>
      <c r="L28">
        <v>0</v>
      </c>
      <c r="M28">
        <v>0</v>
      </c>
      <c r="N28">
        <v>2875</v>
      </c>
    </row>
    <row r="29" spans="1:14" x14ac:dyDescent="0.25">
      <c r="A29">
        <v>0.230129</v>
      </c>
      <c r="B29" s="1">
        <f>DATE(2010,5,1) + TIME(5,31,23)</f>
        <v>40299.230127314811</v>
      </c>
      <c r="C29">
        <v>80</v>
      </c>
      <c r="D29">
        <v>32.605014801000003</v>
      </c>
      <c r="E29">
        <v>50</v>
      </c>
      <c r="F29">
        <v>14.991010665999999</v>
      </c>
      <c r="G29">
        <v>1450.0415039</v>
      </c>
      <c r="H29">
        <v>1418.2606201000001</v>
      </c>
      <c r="I29">
        <v>1234.6080322</v>
      </c>
      <c r="J29">
        <v>1187.3660889</v>
      </c>
      <c r="K29">
        <v>2875</v>
      </c>
      <c r="L29">
        <v>0</v>
      </c>
      <c r="M29">
        <v>0</v>
      </c>
      <c r="N29">
        <v>2875</v>
      </c>
    </row>
    <row r="30" spans="1:14" x14ac:dyDescent="0.25">
      <c r="A30">
        <v>0.24506800000000001</v>
      </c>
      <c r="B30" s="1">
        <f>DATE(2010,5,1) + TIME(5,52,53)</f>
        <v>40299.245057870372</v>
      </c>
      <c r="C30">
        <v>80</v>
      </c>
      <c r="D30">
        <v>33.586704253999997</v>
      </c>
      <c r="E30">
        <v>50</v>
      </c>
      <c r="F30">
        <v>14.991051673999999</v>
      </c>
      <c r="G30">
        <v>1449.1481934000001</v>
      </c>
      <c r="H30">
        <v>1417.9584961</v>
      </c>
      <c r="I30">
        <v>1234.6143798999999</v>
      </c>
      <c r="J30">
        <v>1187.3724365</v>
      </c>
      <c r="K30">
        <v>2875</v>
      </c>
      <c r="L30">
        <v>0</v>
      </c>
      <c r="M30">
        <v>0</v>
      </c>
      <c r="N30">
        <v>2875</v>
      </c>
    </row>
    <row r="31" spans="1:14" x14ac:dyDescent="0.25">
      <c r="A31">
        <v>0.26028499999999999</v>
      </c>
      <c r="B31" s="1">
        <f>DATE(2010,5,1) + TIME(6,14,48)</f>
        <v>40299.260277777779</v>
      </c>
      <c r="C31">
        <v>80</v>
      </c>
      <c r="D31">
        <v>34.567966460999997</v>
      </c>
      <c r="E31">
        <v>50</v>
      </c>
      <c r="F31">
        <v>14.991092682</v>
      </c>
      <c r="G31">
        <v>1448.2830810999999</v>
      </c>
      <c r="H31">
        <v>1417.6644286999999</v>
      </c>
      <c r="I31">
        <v>1234.619751</v>
      </c>
      <c r="J31">
        <v>1187.3778076000001</v>
      </c>
      <c r="K31">
        <v>2875</v>
      </c>
      <c r="L31">
        <v>0</v>
      </c>
      <c r="M31">
        <v>0</v>
      </c>
      <c r="N31">
        <v>2875</v>
      </c>
    </row>
    <row r="32" spans="1:14" x14ac:dyDescent="0.25">
      <c r="A32">
        <v>0.27579300000000001</v>
      </c>
      <c r="B32" s="1">
        <f>DATE(2010,5,1) + TIME(6,37,8)</f>
        <v>40299.275787037041</v>
      </c>
      <c r="C32">
        <v>80</v>
      </c>
      <c r="D32">
        <v>35.548778534</v>
      </c>
      <c r="E32">
        <v>50</v>
      </c>
      <c r="F32">
        <v>14.99113369</v>
      </c>
      <c r="G32">
        <v>1447.4454346</v>
      </c>
      <c r="H32">
        <v>1417.3779297000001</v>
      </c>
      <c r="I32">
        <v>1234.6242675999999</v>
      </c>
      <c r="J32">
        <v>1187.3823242000001</v>
      </c>
      <c r="K32">
        <v>2875</v>
      </c>
      <c r="L32">
        <v>0</v>
      </c>
      <c r="M32">
        <v>0</v>
      </c>
      <c r="N32">
        <v>2875</v>
      </c>
    </row>
    <row r="33" spans="1:14" x14ac:dyDescent="0.25">
      <c r="A33">
        <v>0.29160399999999997</v>
      </c>
      <c r="B33" s="1">
        <f>DATE(2010,5,1) + TIME(6,59,54)</f>
        <v>40299.291597222225</v>
      </c>
      <c r="C33">
        <v>80</v>
      </c>
      <c r="D33">
        <v>36.529129028</v>
      </c>
      <c r="E33">
        <v>50</v>
      </c>
      <c r="F33">
        <v>14.991174698</v>
      </c>
      <c r="G33">
        <v>1446.6339111</v>
      </c>
      <c r="H33">
        <v>1417.098999</v>
      </c>
      <c r="I33">
        <v>1234.6281738</v>
      </c>
      <c r="J33">
        <v>1187.3862305</v>
      </c>
      <c r="K33">
        <v>2875</v>
      </c>
      <c r="L33">
        <v>0</v>
      </c>
      <c r="M33">
        <v>0</v>
      </c>
      <c r="N33">
        <v>2875</v>
      </c>
    </row>
    <row r="34" spans="1:14" x14ac:dyDescent="0.25">
      <c r="A34">
        <v>0.30773099999999998</v>
      </c>
      <c r="B34" s="1">
        <f>DATE(2010,5,1) + TIME(7,23,7)</f>
        <v>40299.307719907411</v>
      </c>
      <c r="C34">
        <v>80</v>
      </c>
      <c r="D34">
        <v>37.508995056000003</v>
      </c>
      <c r="E34">
        <v>50</v>
      </c>
      <c r="F34">
        <v>14.991215706</v>
      </c>
      <c r="G34">
        <v>1445.8475341999999</v>
      </c>
      <c r="H34">
        <v>1416.8275146000001</v>
      </c>
      <c r="I34">
        <v>1234.6315918</v>
      </c>
      <c r="J34">
        <v>1187.3895264</v>
      </c>
      <c r="K34">
        <v>2875</v>
      </c>
      <c r="L34">
        <v>0</v>
      </c>
      <c r="M34">
        <v>0</v>
      </c>
      <c r="N34">
        <v>2875</v>
      </c>
    </row>
    <row r="35" spans="1:14" x14ac:dyDescent="0.25">
      <c r="A35">
        <v>0.32419100000000001</v>
      </c>
      <c r="B35" s="1">
        <f>DATE(2010,5,1) + TIME(7,46,50)</f>
        <v>40299.324189814812</v>
      </c>
      <c r="C35">
        <v>80</v>
      </c>
      <c r="D35">
        <v>38.488357544000003</v>
      </c>
      <c r="E35">
        <v>50</v>
      </c>
      <c r="F35">
        <v>14.991256714</v>
      </c>
      <c r="G35">
        <v>1445.0853271000001</v>
      </c>
      <c r="H35">
        <v>1416.5628661999999</v>
      </c>
      <c r="I35">
        <v>1234.6345214999999</v>
      </c>
      <c r="J35">
        <v>1187.3923339999999</v>
      </c>
      <c r="K35">
        <v>2875</v>
      </c>
      <c r="L35">
        <v>0</v>
      </c>
      <c r="M35">
        <v>0</v>
      </c>
      <c r="N35">
        <v>2875</v>
      </c>
    </row>
    <row r="36" spans="1:14" x14ac:dyDescent="0.25">
      <c r="A36">
        <v>0.34099699999999999</v>
      </c>
      <c r="B36" s="1">
        <f>DATE(2010,5,1) + TIME(8,11,2)</f>
        <v>40299.340995370374</v>
      </c>
      <c r="C36">
        <v>80</v>
      </c>
      <c r="D36">
        <v>39.467189789000003</v>
      </c>
      <c r="E36">
        <v>50</v>
      </c>
      <c r="F36">
        <v>14.991297722000001</v>
      </c>
      <c r="G36">
        <v>1444.3460693</v>
      </c>
      <c r="H36">
        <v>1416.3049315999999</v>
      </c>
      <c r="I36">
        <v>1234.6370850000001</v>
      </c>
      <c r="J36">
        <v>1187.3948975000001</v>
      </c>
      <c r="K36">
        <v>2875</v>
      </c>
      <c r="L36">
        <v>0</v>
      </c>
      <c r="M36">
        <v>0</v>
      </c>
      <c r="N36">
        <v>2875</v>
      </c>
    </row>
    <row r="37" spans="1:14" x14ac:dyDescent="0.25">
      <c r="A37">
        <v>0.35816599999999998</v>
      </c>
      <c r="B37" s="1">
        <f>DATE(2010,5,1) + TIME(8,35,45)</f>
        <v>40299.358159722222</v>
      </c>
      <c r="C37">
        <v>80</v>
      </c>
      <c r="D37">
        <v>40.445571899000001</v>
      </c>
      <c r="E37">
        <v>50</v>
      </c>
      <c r="F37">
        <v>14.991338730000001</v>
      </c>
      <c r="G37">
        <v>1443.6289062000001</v>
      </c>
      <c r="H37">
        <v>1416.0533447</v>
      </c>
      <c r="I37">
        <v>1234.6392822</v>
      </c>
      <c r="J37">
        <v>1187.3970947</v>
      </c>
      <c r="K37">
        <v>2875</v>
      </c>
      <c r="L37">
        <v>0</v>
      </c>
      <c r="M37">
        <v>0</v>
      </c>
      <c r="N37">
        <v>2875</v>
      </c>
    </row>
    <row r="38" spans="1:14" x14ac:dyDescent="0.25">
      <c r="A38">
        <v>0.37571500000000002</v>
      </c>
      <c r="B38" s="1">
        <f>DATE(2010,5,1) + TIME(9,1,1)</f>
        <v>40299.375706018516</v>
      </c>
      <c r="C38">
        <v>80</v>
      </c>
      <c r="D38">
        <v>41.423404693999998</v>
      </c>
      <c r="E38">
        <v>50</v>
      </c>
      <c r="F38">
        <v>14.991380692</v>
      </c>
      <c r="G38">
        <v>1442.9327393000001</v>
      </c>
      <c r="H38">
        <v>1415.8077393000001</v>
      </c>
      <c r="I38">
        <v>1234.6413574000001</v>
      </c>
      <c r="J38">
        <v>1187.3990478999999</v>
      </c>
      <c r="K38">
        <v>2875</v>
      </c>
      <c r="L38">
        <v>0</v>
      </c>
      <c r="M38">
        <v>0</v>
      </c>
      <c r="N38">
        <v>2875</v>
      </c>
    </row>
    <row r="39" spans="1:14" x14ac:dyDescent="0.25">
      <c r="A39">
        <v>0.39366200000000001</v>
      </c>
      <c r="B39" s="1">
        <f>DATE(2010,5,1) + TIME(9,26,52)</f>
        <v>40299.393657407411</v>
      </c>
      <c r="C39">
        <v>80</v>
      </c>
      <c r="D39">
        <v>42.400508881</v>
      </c>
      <c r="E39">
        <v>50</v>
      </c>
      <c r="F39">
        <v>14.9914217</v>
      </c>
      <c r="G39">
        <v>1442.2565918</v>
      </c>
      <c r="H39">
        <v>1415.567749</v>
      </c>
      <c r="I39">
        <v>1234.6431885</v>
      </c>
      <c r="J39">
        <v>1187.4008789</v>
      </c>
      <c r="K39">
        <v>2875</v>
      </c>
      <c r="L39">
        <v>0</v>
      </c>
      <c r="M39">
        <v>0</v>
      </c>
      <c r="N39">
        <v>2875</v>
      </c>
    </row>
    <row r="40" spans="1:14" x14ac:dyDescent="0.25">
      <c r="A40">
        <v>0.41202899999999998</v>
      </c>
      <c r="B40" s="1">
        <f>DATE(2010,5,1) + TIME(9,53,19)</f>
        <v>40299.41202546296</v>
      </c>
      <c r="C40">
        <v>80</v>
      </c>
      <c r="D40">
        <v>43.376979828000003</v>
      </c>
      <c r="E40">
        <v>50</v>
      </c>
      <c r="F40">
        <v>14.991463660999999</v>
      </c>
      <c r="G40">
        <v>1441.5996094</v>
      </c>
      <c r="H40">
        <v>1415.3330077999999</v>
      </c>
      <c r="I40">
        <v>1234.6448975000001</v>
      </c>
      <c r="J40">
        <v>1187.4024658000001</v>
      </c>
      <c r="K40">
        <v>2875</v>
      </c>
      <c r="L40">
        <v>0</v>
      </c>
      <c r="M40">
        <v>0</v>
      </c>
      <c r="N40">
        <v>2875</v>
      </c>
    </row>
    <row r="41" spans="1:14" x14ac:dyDescent="0.25">
      <c r="A41">
        <v>0.43083900000000003</v>
      </c>
      <c r="B41" s="1">
        <f>DATE(2010,5,1) + TIME(10,20,24)</f>
        <v>40299.430833333332</v>
      </c>
      <c r="C41">
        <v>80</v>
      </c>
      <c r="D41">
        <v>44.352779388000002</v>
      </c>
      <c r="E41">
        <v>50</v>
      </c>
      <c r="F41">
        <v>14.991504668999999</v>
      </c>
      <c r="G41">
        <v>1440.9608154</v>
      </c>
      <c r="H41">
        <v>1415.1031493999999</v>
      </c>
      <c r="I41">
        <v>1234.6464844</v>
      </c>
      <c r="J41">
        <v>1187.4040527</v>
      </c>
      <c r="K41">
        <v>2875</v>
      </c>
      <c r="L41">
        <v>0</v>
      </c>
      <c r="M41">
        <v>0</v>
      </c>
      <c r="N41">
        <v>2875</v>
      </c>
    </row>
    <row r="42" spans="1:14" x14ac:dyDescent="0.25">
      <c r="A42">
        <v>0.45011600000000002</v>
      </c>
      <c r="B42" s="1">
        <f>DATE(2010,5,1) + TIME(10,48,9)</f>
        <v>40299.450104166666</v>
      </c>
      <c r="C42">
        <v>80</v>
      </c>
      <c r="D42">
        <v>45.327873230000002</v>
      </c>
      <c r="E42">
        <v>50</v>
      </c>
      <c r="F42">
        <v>14.991546631</v>
      </c>
      <c r="G42">
        <v>1440.3393555</v>
      </c>
      <c r="H42">
        <v>1414.8779297000001</v>
      </c>
      <c r="I42">
        <v>1234.6479492000001</v>
      </c>
      <c r="J42">
        <v>1187.4053954999999</v>
      </c>
      <c r="K42">
        <v>2875</v>
      </c>
      <c r="L42">
        <v>0</v>
      </c>
      <c r="M42">
        <v>0</v>
      </c>
      <c r="N42">
        <v>2875</v>
      </c>
    </row>
    <row r="43" spans="1:14" x14ac:dyDescent="0.25">
      <c r="A43">
        <v>0.46988400000000002</v>
      </c>
      <c r="B43" s="1">
        <f>DATE(2010,5,1) + TIME(11,16,38)</f>
        <v>40299.469884259262</v>
      </c>
      <c r="C43">
        <v>80</v>
      </c>
      <c r="D43">
        <v>46.302227019999997</v>
      </c>
      <c r="E43">
        <v>50</v>
      </c>
      <c r="F43">
        <v>14.991589546</v>
      </c>
      <c r="G43">
        <v>1439.7344971</v>
      </c>
      <c r="H43">
        <v>1414.6568603999999</v>
      </c>
      <c r="I43">
        <v>1234.6492920000001</v>
      </c>
      <c r="J43">
        <v>1187.4066161999999</v>
      </c>
      <c r="K43">
        <v>2875</v>
      </c>
      <c r="L43">
        <v>0</v>
      </c>
      <c r="M43">
        <v>0</v>
      </c>
      <c r="N43">
        <v>2875</v>
      </c>
    </row>
    <row r="44" spans="1:14" x14ac:dyDescent="0.25">
      <c r="A44">
        <v>0.490174</v>
      </c>
      <c r="B44" s="1">
        <f>DATE(2010,5,1) + TIME(11,45,50)</f>
        <v>40299.490162037036</v>
      </c>
      <c r="C44">
        <v>80</v>
      </c>
      <c r="D44">
        <v>47.275794982999997</v>
      </c>
      <c r="E44">
        <v>50</v>
      </c>
      <c r="F44">
        <v>14.991631507999999</v>
      </c>
      <c r="G44">
        <v>1439.1452637</v>
      </c>
      <c r="H44">
        <v>1414.4398193</v>
      </c>
      <c r="I44">
        <v>1234.6505127</v>
      </c>
      <c r="J44">
        <v>1187.4078368999999</v>
      </c>
      <c r="K44">
        <v>2875</v>
      </c>
      <c r="L44">
        <v>0</v>
      </c>
      <c r="M44">
        <v>0</v>
      </c>
      <c r="N44">
        <v>2875</v>
      </c>
    </row>
    <row r="45" spans="1:14" x14ac:dyDescent="0.25">
      <c r="A45">
        <v>0.51101300000000005</v>
      </c>
      <c r="B45" s="1">
        <f>DATE(2010,5,1) + TIME(12,15,51)</f>
        <v>40299.511006944442</v>
      </c>
      <c r="C45">
        <v>80</v>
      </c>
      <c r="D45">
        <v>48.248535156000003</v>
      </c>
      <c r="E45">
        <v>50</v>
      </c>
      <c r="F45">
        <v>14.991674422999999</v>
      </c>
      <c r="G45">
        <v>1438.5709228999999</v>
      </c>
      <c r="H45">
        <v>1414.2263184000001</v>
      </c>
      <c r="I45">
        <v>1234.6517334</v>
      </c>
      <c r="J45">
        <v>1187.4089355000001</v>
      </c>
      <c r="K45">
        <v>2875</v>
      </c>
      <c r="L45">
        <v>0</v>
      </c>
      <c r="M45">
        <v>0</v>
      </c>
      <c r="N45">
        <v>2875</v>
      </c>
    </row>
    <row r="46" spans="1:14" x14ac:dyDescent="0.25">
      <c r="A46">
        <v>0.53243700000000005</v>
      </c>
      <c r="B46" s="1">
        <f>DATE(2010,5,1) + TIME(12,46,42)</f>
        <v>40299.532430555555</v>
      </c>
      <c r="C46">
        <v>80</v>
      </c>
      <c r="D46">
        <v>49.220397949000002</v>
      </c>
      <c r="E46">
        <v>50</v>
      </c>
      <c r="F46">
        <v>14.991716385</v>
      </c>
      <c r="G46">
        <v>1438.0107422000001</v>
      </c>
      <c r="H46">
        <v>1414.0159911999999</v>
      </c>
      <c r="I46">
        <v>1234.652832</v>
      </c>
      <c r="J46">
        <v>1187.4099120999999</v>
      </c>
      <c r="K46">
        <v>2875</v>
      </c>
      <c r="L46">
        <v>0</v>
      </c>
      <c r="M46">
        <v>0</v>
      </c>
      <c r="N46">
        <v>2875</v>
      </c>
    </row>
    <row r="47" spans="1:14" x14ac:dyDescent="0.25">
      <c r="A47">
        <v>0.55448200000000003</v>
      </c>
      <c r="B47" s="1">
        <f>DATE(2010,5,1) + TIME(13,18,27)</f>
        <v>40299.554479166669</v>
      </c>
      <c r="C47">
        <v>80</v>
      </c>
      <c r="D47">
        <v>50.191234588999997</v>
      </c>
      <c r="E47">
        <v>50</v>
      </c>
      <c r="F47">
        <v>14.991760254000001</v>
      </c>
      <c r="G47">
        <v>1437.4641113</v>
      </c>
      <c r="H47">
        <v>1413.8085937999999</v>
      </c>
      <c r="I47">
        <v>1234.6538086</v>
      </c>
      <c r="J47">
        <v>1187.4108887</v>
      </c>
      <c r="K47">
        <v>2875</v>
      </c>
      <c r="L47">
        <v>0</v>
      </c>
      <c r="M47">
        <v>0</v>
      </c>
      <c r="N47">
        <v>2875</v>
      </c>
    </row>
    <row r="48" spans="1:14" x14ac:dyDescent="0.25">
      <c r="A48">
        <v>0.57718800000000003</v>
      </c>
      <c r="B48" s="1">
        <f>DATE(2010,5,1) + TIME(13,51,9)</f>
        <v>40299.577187499999</v>
      </c>
      <c r="C48">
        <v>80</v>
      </c>
      <c r="D48">
        <v>51.160800934000001</v>
      </c>
      <c r="E48">
        <v>50</v>
      </c>
      <c r="F48">
        <v>14.991803169000001</v>
      </c>
      <c r="G48">
        <v>1436.9301757999999</v>
      </c>
      <c r="H48">
        <v>1413.6036377</v>
      </c>
      <c r="I48">
        <v>1234.6549072</v>
      </c>
      <c r="J48">
        <v>1187.4118652</v>
      </c>
      <c r="K48">
        <v>2875</v>
      </c>
      <c r="L48">
        <v>0</v>
      </c>
      <c r="M48">
        <v>0</v>
      </c>
      <c r="N48">
        <v>2875</v>
      </c>
    </row>
    <row r="49" spans="1:14" x14ac:dyDescent="0.25">
      <c r="A49">
        <v>0.600607</v>
      </c>
      <c r="B49" s="1">
        <f>DATE(2010,5,1) + TIME(14,24,52)</f>
        <v>40299.600601851853</v>
      </c>
      <c r="C49">
        <v>80</v>
      </c>
      <c r="D49">
        <v>52.129653931</v>
      </c>
      <c r="E49">
        <v>50</v>
      </c>
      <c r="F49">
        <v>14.991847038</v>
      </c>
      <c r="G49">
        <v>1436.4082031</v>
      </c>
      <c r="H49">
        <v>1413.4011230000001</v>
      </c>
      <c r="I49">
        <v>1234.6557617000001</v>
      </c>
      <c r="J49">
        <v>1187.4127197</v>
      </c>
      <c r="K49">
        <v>2875</v>
      </c>
      <c r="L49">
        <v>0</v>
      </c>
      <c r="M49">
        <v>0</v>
      </c>
      <c r="N49">
        <v>2875</v>
      </c>
    </row>
    <row r="50" spans="1:14" x14ac:dyDescent="0.25">
      <c r="A50">
        <v>0.62477899999999997</v>
      </c>
      <c r="B50" s="1">
        <f>DATE(2010,5,1) + TIME(14,59,40)</f>
        <v>40299.624768518515</v>
      </c>
      <c r="C50">
        <v>80</v>
      </c>
      <c r="D50">
        <v>53.097381591999998</v>
      </c>
      <c r="E50">
        <v>50</v>
      </c>
      <c r="F50">
        <v>14.991890907</v>
      </c>
      <c r="G50">
        <v>1435.8975829999999</v>
      </c>
      <c r="H50">
        <v>1413.2004394999999</v>
      </c>
      <c r="I50">
        <v>1234.6567382999999</v>
      </c>
      <c r="J50">
        <v>1187.4134521000001</v>
      </c>
      <c r="K50">
        <v>2875</v>
      </c>
      <c r="L50">
        <v>0</v>
      </c>
      <c r="M50">
        <v>0</v>
      </c>
      <c r="N50">
        <v>2875</v>
      </c>
    </row>
    <row r="51" spans="1:14" x14ac:dyDescent="0.25">
      <c r="A51">
        <v>0.64975700000000003</v>
      </c>
      <c r="B51" s="1">
        <f>DATE(2010,5,1) + TIME(15,35,39)</f>
        <v>40299.649756944447</v>
      </c>
      <c r="C51">
        <v>80</v>
      </c>
      <c r="D51">
        <v>54.063907622999999</v>
      </c>
      <c r="E51">
        <v>50</v>
      </c>
      <c r="F51">
        <v>14.991934776000001</v>
      </c>
      <c r="G51">
        <v>1435.3975829999999</v>
      </c>
      <c r="H51">
        <v>1413.0013428</v>
      </c>
      <c r="I51">
        <v>1234.6575928</v>
      </c>
      <c r="J51">
        <v>1187.4143065999999</v>
      </c>
      <c r="K51">
        <v>2875</v>
      </c>
      <c r="L51">
        <v>0</v>
      </c>
      <c r="M51">
        <v>0</v>
      </c>
      <c r="N51">
        <v>2875</v>
      </c>
    </row>
    <row r="52" spans="1:14" x14ac:dyDescent="0.25">
      <c r="A52">
        <v>0.67559999999999998</v>
      </c>
      <c r="B52" s="1">
        <f>DATE(2010,5,1) + TIME(16,12,51)</f>
        <v>40299.67559027778</v>
      </c>
      <c r="C52">
        <v>80</v>
      </c>
      <c r="D52">
        <v>55.029144287000001</v>
      </c>
      <c r="E52">
        <v>50</v>
      </c>
      <c r="F52">
        <v>14.991979599</v>
      </c>
      <c r="G52">
        <v>1434.9077147999999</v>
      </c>
      <c r="H52">
        <v>1412.8034668</v>
      </c>
      <c r="I52">
        <v>1234.6584473</v>
      </c>
      <c r="J52">
        <v>1187.4150391000001</v>
      </c>
      <c r="K52">
        <v>2875</v>
      </c>
      <c r="L52">
        <v>0</v>
      </c>
      <c r="M52">
        <v>0</v>
      </c>
      <c r="N52">
        <v>2875</v>
      </c>
    </row>
    <row r="53" spans="1:14" x14ac:dyDescent="0.25">
      <c r="A53">
        <v>0.70237400000000005</v>
      </c>
      <c r="B53" s="1">
        <f>DATE(2010,5,1) + TIME(16,51,25)</f>
        <v>40299.702372685184</v>
      </c>
      <c r="C53">
        <v>80</v>
      </c>
      <c r="D53">
        <v>55.993000031000001</v>
      </c>
      <c r="E53">
        <v>50</v>
      </c>
      <c r="F53">
        <v>14.992025375000001</v>
      </c>
      <c r="G53">
        <v>1434.427124</v>
      </c>
      <c r="H53">
        <v>1412.6064452999999</v>
      </c>
      <c r="I53">
        <v>1234.6593018000001</v>
      </c>
      <c r="J53">
        <v>1187.4157714999999</v>
      </c>
      <c r="K53">
        <v>2875</v>
      </c>
      <c r="L53">
        <v>0</v>
      </c>
      <c r="M53">
        <v>0</v>
      </c>
      <c r="N53">
        <v>2875</v>
      </c>
    </row>
    <row r="54" spans="1:14" x14ac:dyDescent="0.25">
      <c r="A54">
        <v>0.73015200000000002</v>
      </c>
      <c r="B54" s="1">
        <f>DATE(2010,5,1) + TIME(17,31,25)</f>
        <v>40299.730150462965</v>
      </c>
      <c r="C54">
        <v>80</v>
      </c>
      <c r="D54">
        <v>56.955360413000001</v>
      </c>
      <c r="E54">
        <v>50</v>
      </c>
      <c r="F54">
        <v>14.992070198</v>
      </c>
      <c r="G54">
        <v>1433.9554443</v>
      </c>
      <c r="H54">
        <v>1412.4099120999999</v>
      </c>
      <c r="I54">
        <v>1234.6601562000001</v>
      </c>
      <c r="J54">
        <v>1187.4165039</v>
      </c>
      <c r="K54">
        <v>2875</v>
      </c>
      <c r="L54">
        <v>0</v>
      </c>
      <c r="M54">
        <v>0</v>
      </c>
      <c r="N54">
        <v>2875</v>
      </c>
    </row>
    <row r="55" spans="1:14" x14ac:dyDescent="0.25">
      <c r="A55">
        <v>0.75901600000000002</v>
      </c>
      <c r="B55" s="1">
        <f>DATE(2010,5,1) + TIME(18,12,59)</f>
        <v>40299.759016203701</v>
      </c>
      <c r="C55">
        <v>80</v>
      </c>
      <c r="D55">
        <v>57.916114807</v>
      </c>
      <c r="E55">
        <v>50</v>
      </c>
      <c r="F55">
        <v>14.992116928</v>
      </c>
      <c r="G55">
        <v>1433.4918213000001</v>
      </c>
      <c r="H55">
        <v>1412.2136230000001</v>
      </c>
      <c r="I55">
        <v>1234.6610106999999</v>
      </c>
      <c r="J55">
        <v>1187.4172363</v>
      </c>
      <c r="K55">
        <v>2875</v>
      </c>
      <c r="L55">
        <v>0</v>
      </c>
      <c r="M55">
        <v>0</v>
      </c>
      <c r="N55">
        <v>2875</v>
      </c>
    </row>
    <row r="56" spans="1:14" x14ac:dyDescent="0.25">
      <c r="A56">
        <v>0.78905999999999998</v>
      </c>
      <c r="B56" s="1">
        <f>DATE(2010,5,1) + TIME(18,56,14)</f>
        <v>40299.789050925923</v>
      </c>
      <c r="C56">
        <v>80</v>
      </c>
      <c r="D56">
        <v>58.875129700000002</v>
      </c>
      <c r="E56">
        <v>50</v>
      </c>
      <c r="F56">
        <v>14.992162704</v>
      </c>
      <c r="G56">
        <v>1433.0356445</v>
      </c>
      <c r="H56">
        <v>1412.0170897999999</v>
      </c>
      <c r="I56">
        <v>1234.6618652</v>
      </c>
      <c r="J56">
        <v>1187.4179687999999</v>
      </c>
      <c r="K56">
        <v>2875</v>
      </c>
      <c r="L56">
        <v>0</v>
      </c>
      <c r="M56">
        <v>0</v>
      </c>
      <c r="N56">
        <v>2875</v>
      </c>
    </row>
    <row r="57" spans="1:14" x14ac:dyDescent="0.25">
      <c r="A57">
        <v>0.82038699999999998</v>
      </c>
      <c r="B57" s="1">
        <f>DATE(2010,5,1) + TIME(19,41,21)</f>
        <v>40299.820381944446</v>
      </c>
      <c r="C57">
        <v>80</v>
      </c>
      <c r="D57">
        <v>59.832252502000003</v>
      </c>
      <c r="E57">
        <v>50</v>
      </c>
      <c r="F57">
        <v>14.992210388</v>
      </c>
      <c r="G57">
        <v>1432.5864257999999</v>
      </c>
      <c r="H57">
        <v>1411.8199463000001</v>
      </c>
      <c r="I57">
        <v>1234.6627197</v>
      </c>
      <c r="J57">
        <v>1187.4187012</v>
      </c>
      <c r="K57">
        <v>2875</v>
      </c>
      <c r="L57">
        <v>0</v>
      </c>
      <c r="M57">
        <v>0</v>
      </c>
      <c r="N57">
        <v>2875</v>
      </c>
    </row>
    <row r="58" spans="1:14" x14ac:dyDescent="0.25">
      <c r="A58">
        <v>0.85311800000000004</v>
      </c>
      <c r="B58" s="1">
        <f>DATE(2010,5,1) + TIME(20,28,29)</f>
        <v>40299.853113425925</v>
      </c>
      <c r="C58">
        <v>80</v>
      </c>
      <c r="D58">
        <v>60.786743164000001</v>
      </c>
      <c r="E58">
        <v>50</v>
      </c>
      <c r="F58">
        <v>14.992258072</v>
      </c>
      <c r="G58">
        <v>1432.1433105000001</v>
      </c>
      <c r="H58">
        <v>1411.6217041</v>
      </c>
      <c r="I58">
        <v>1234.6635742000001</v>
      </c>
      <c r="J58">
        <v>1187.4194336</v>
      </c>
      <c r="K58">
        <v>2875</v>
      </c>
      <c r="L58">
        <v>0</v>
      </c>
      <c r="M58">
        <v>0</v>
      </c>
      <c r="N58">
        <v>2875</v>
      </c>
    </row>
    <row r="59" spans="1:14" x14ac:dyDescent="0.25">
      <c r="A59">
        <v>0.88741000000000003</v>
      </c>
      <c r="B59" s="1">
        <f>DATE(2010,5,1) + TIME(21,17,52)</f>
        <v>40299.887407407405</v>
      </c>
      <c r="C59">
        <v>80</v>
      </c>
      <c r="D59">
        <v>61.739372252999999</v>
      </c>
      <c r="E59">
        <v>50</v>
      </c>
      <c r="F59">
        <v>14.992306708999999</v>
      </c>
      <c r="G59">
        <v>1431.7056885</v>
      </c>
      <c r="H59">
        <v>1411.4217529</v>
      </c>
      <c r="I59">
        <v>1234.6644286999999</v>
      </c>
      <c r="J59">
        <v>1187.4202881000001</v>
      </c>
      <c r="K59">
        <v>2875</v>
      </c>
      <c r="L59">
        <v>0</v>
      </c>
      <c r="M59">
        <v>0</v>
      </c>
      <c r="N59">
        <v>2875</v>
      </c>
    </row>
    <row r="60" spans="1:14" x14ac:dyDescent="0.25">
      <c r="A60">
        <v>0.92340599999999995</v>
      </c>
      <c r="B60" s="1">
        <f>DATE(2010,5,1) + TIME(22,9,42)</f>
        <v>40299.923402777778</v>
      </c>
      <c r="C60">
        <v>80</v>
      </c>
      <c r="D60">
        <v>62.689640044999997</v>
      </c>
      <c r="E60">
        <v>50</v>
      </c>
      <c r="F60">
        <v>14.992355347</v>
      </c>
      <c r="G60">
        <v>1431.2728271000001</v>
      </c>
      <c r="H60">
        <v>1411.2197266000001</v>
      </c>
      <c r="I60">
        <v>1234.6654053</v>
      </c>
      <c r="J60">
        <v>1187.4210204999999</v>
      </c>
      <c r="K60">
        <v>2875</v>
      </c>
      <c r="L60">
        <v>0</v>
      </c>
      <c r="M60">
        <v>0</v>
      </c>
      <c r="N60">
        <v>2875</v>
      </c>
    </row>
    <row r="61" spans="1:14" x14ac:dyDescent="0.25">
      <c r="A61">
        <v>0.961287</v>
      </c>
      <c r="B61" s="1">
        <f>DATE(2010,5,1) + TIME(23,4,15)</f>
        <v>40299.961284722223</v>
      </c>
      <c r="C61">
        <v>80</v>
      </c>
      <c r="D61">
        <v>63.637172698999997</v>
      </c>
      <c r="E61">
        <v>50</v>
      </c>
      <c r="F61">
        <v>14.992405891000001</v>
      </c>
      <c r="G61">
        <v>1430.8439940999999</v>
      </c>
      <c r="H61">
        <v>1411.0151367000001</v>
      </c>
      <c r="I61">
        <v>1234.6663818</v>
      </c>
      <c r="J61">
        <v>1187.421875</v>
      </c>
      <c r="K61">
        <v>2875</v>
      </c>
      <c r="L61">
        <v>0</v>
      </c>
      <c r="M61">
        <v>0</v>
      </c>
      <c r="N61">
        <v>2875</v>
      </c>
    </row>
    <row r="62" spans="1:14" x14ac:dyDescent="0.25">
      <c r="A62">
        <v>1.0012650000000001</v>
      </c>
      <c r="B62" s="1">
        <f>DATE(2010,5,2) + TIME(0,1,49)</f>
        <v>40300.001261574071</v>
      </c>
      <c r="C62">
        <v>80</v>
      </c>
      <c r="D62">
        <v>64.581687927000004</v>
      </c>
      <c r="E62">
        <v>50</v>
      </c>
      <c r="F62">
        <v>14.992456435999999</v>
      </c>
      <c r="G62">
        <v>1430.418457</v>
      </c>
      <c r="H62">
        <v>1410.807251</v>
      </c>
      <c r="I62">
        <v>1234.6673584</v>
      </c>
      <c r="J62">
        <v>1187.4227295000001</v>
      </c>
      <c r="K62">
        <v>2875</v>
      </c>
      <c r="L62">
        <v>0</v>
      </c>
      <c r="M62">
        <v>0</v>
      </c>
      <c r="N62">
        <v>2875</v>
      </c>
    </row>
    <row r="63" spans="1:14" x14ac:dyDescent="0.25">
      <c r="A63">
        <v>1.0435909999999999</v>
      </c>
      <c r="B63" s="1">
        <f>DATE(2010,5,2) + TIME(1,2,46)</f>
        <v>40300.043587962966</v>
      </c>
      <c r="C63">
        <v>80</v>
      </c>
      <c r="D63">
        <v>65.522956848000007</v>
      </c>
      <c r="E63">
        <v>50</v>
      </c>
      <c r="F63">
        <v>14.992508888</v>
      </c>
      <c r="G63">
        <v>1429.9952393000001</v>
      </c>
      <c r="H63">
        <v>1410.5953368999999</v>
      </c>
      <c r="I63">
        <v>1234.668457</v>
      </c>
      <c r="J63">
        <v>1187.4237060999999</v>
      </c>
      <c r="K63">
        <v>2875</v>
      </c>
      <c r="L63">
        <v>0</v>
      </c>
      <c r="M63">
        <v>0</v>
      </c>
      <c r="N63">
        <v>2875</v>
      </c>
    </row>
    <row r="64" spans="1:14" x14ac:dyDescent="0.25">
      <c r="A64">
        <v>1.0885590000000001</v>
      </c>
      <c r="B64" s="1">
        <f>DATE(2010,5,2) + TIME(2,7,31)</f>
        <v>40300.088553240741</v>
      </c>
      <c r="C64">
        <v>80</v>
      </c>
      <c r="D64">
        <v>66.460456848000007</v>
      </c>
      <c r="E64">
        <v>50</v>
      </c>
      <c r="F64">
        <v>14.992562294000001</v>
      </c>
      <c r="G64">
        <v>1429.5737305</v>
      </c>
      <c r="H64">
        <v>1410.3787841999999</v>
      </c>
      <c r="I64">
        <v>1234.6695557</v>
      </c>
      <c r="J64">
        <v>1187.4246826000001</v>
      </c>
      <c r="K64">
        <v>2875</v>
      </c>
      <c r="L64">
        <v>0</v>
      </c>
      <c r="M64">
        <v>0</v>
      </c>
      <c r="N64">
        <v>2875</v>
      </c>
    </row>
    <row r="65" spans="1:14" x14ac:dyDescent="0.25">
      <c r="A65">
        <v>1.11239</v>
      </c>
      <c r="B65" s="1">
        <f>DATE(2010,5,2) + TIME(2,41,50)</f>
        <v>40300.112384259257</v>
      </c>
      <c r="C65">
        <v>80</v>
      </c>
      <c r="D65">
        <v>66.941017150999997</v>
      </c>
      <c r="E65">
        <v>50</v>
      </c>
      <c r="F65">
        <v>14.992589950999999</v>
      </c>
      <c r="G65">
        <v>1429.3222656</v>
      </c>
      <c r="H65">
        <v>1410.2038574000001</v>
      </c>
      <c r="I65">
        <v>1234.6705322</v>
      </c>
      <c r="J65">
        <v>1187.4255370999999</v>
      </c>
      <c r="K65">
        <v>2875</v>
      </c>
      <c r="L65">
        <v>0</v>
      </c>
      <c r="M65">
        <v>0</v>
      </c>
      <c r="N65">
        <v>2875</v>
      </c>
    </row>
    <row r="66" spans="1:14" x14ac:dyDescent="0.25">
      <c r="A66">
        <v>1.1362220000000001</v>
      </c>
      <c r="B66" s="1">
        <f>DATE(2010,5,2) + TIME(3,16,9)</f>
        <v>40300.13621527778</v>
      </c>
      <c r="C66">
        <v>80</v>
      </c>
      <c r="D66">
        <v>67.405021667</v>
      </c>
      <c r="E66">
        <v>50</v>
      </c>
      <c r="F66">
        <v>14.992617607</v>
      </c>
      <c r="G66">
        <v>1429.1102295000001</v>
      </c>
      <c r="H66">
        <v>1410.0899658000001</v>
      </c>
      <c r="I66">
        <v>1234.6713867000001</v>
      </c>
      <c r="J66">
        <v>1187.4262695</v>
      </c>
      <c r="K66">
        <v>2875</v>
      </c>
      <c r="L66">
        <v>0</v>
      </c>
      <c r="M66">
        <v>0</v>
      </c>
      <c r="N66">
        <v>2875</v>
      </c>
    </row>
    <row r="67" spans="1:14" x14ac:dyDescent="0.25">
      <c r="A67">
        <v>1.160053</v>
      </c>
      <c r="B67" s="1">
        <f>DATE(2010,5,2) + TIME(3,50,28)</f>
        <v>40300.160046296296</v>
      </c>
      <c r="C67">
        <v>80</v>
      </c>
      <c r="D67">
        <v>67.853019713999998</v>
      </c>
      <c r="E67">
        <v>50</v>
      </c>
      <c r="F67">
        <v>14.992644309999999</v>
      </c>
      <c r="G67">
        <v>1428.9060059000001</v>
      </c>
      <c r="H67">
        <v>1409.9787598</v>
      </c>
      <c r="I67">
        <v>1234.6721190999999</v>
      </c>
      <c r="J67">
        <v>1187.4268798999999</v>
      </c>
      <c r="K67">
        <v>2875</v>
      </c>
      <c r="L67">
        <v>0</v>
      </c>
      <c r="M67">
        <v>0</v>
      </c>
      <c r="N67">
        <v>2875</v>
      </c>
    </row>
    <row r="68" spans="1:14" x14ac:dyDescent="0.25">
      <c r="A68">
        <v>1.1838850000000001</v>
      </c>
      <c r="B68" s="1">
        <f>DATE(2010,5,2) + TIME(4,24,47)</f>
        <v>40300.183877314812</v>
      </c>
      <c r="C68">
        <v>80</v>
      </c>
      <c r="D68">
        <v>68.285514832000004</v>
      </c>
      <c r="E68">
        <v>50</v>
      </c>
      <c r="F68">
        <v>14.992670059</v>
      </c>
      <c r="G68">
        <v>1428.7080077999999</v>
      </c>
      <c r="H68">
        <v>1409.8693848</v>
      </c>
      <c r="I68">
        <v>1234.6727295000001</v>
      </c>
      <c r="J68">
        <v>1187.4274902</v>
      </c>
      <c r="K68">
        <v>2875</v>
      </c>
      <c r="L68">
        <v>0</v>
      </c>
      <c r="M68">
        <v>0</v>
      </c>
      <c r="N68">
        <v>2875</v>
      </c>
    </row>
    <row r="69" spans="1:14" x14ac:dyDescent="0.25">
      <c r="A69">
        <v>1.207716</v>
      </c>
      <c r="B69" s="1">
        <f>DATE(2010,5,2) + TIME(4,59,6)</f>
        <v>40300.207708333335</v>
      </c>
      <c r="C69">
        <v>80</v>
      </c>
      <c r="D69">
        <v>68.703002929999997</v>
      </c>
      <c r="E69">
        <v>50</v>
      </c>
      <c r="F69">
        <v>14.992696762</v>
      </c>
      <c r="G69">
        <v>1428.5157471</v>
      </c>
      <c r="H69">
        <v>1409.7618408000001</v>
      </c>
      <c r="I69">
        <v>1234.6734618999999</v>
      </c>
      <c r="J69">
        <v>1187.4281006000001</v>
      </c>
      <c r="K69">
        <v>2875</v>
      </c>
      <c r="L69">
        <v>0</v>
      </c>
      <c r="M69">
        <v>0</v>
      </c>
      <c r="N69">
        <v>2875</v>
      </c>
    </row>
    <row r="70" spans="1:14" x14ac:dyDescent="0.25">
      <c r="A70">
        <v>1.2315480000000001</v>
      </c>
      <c r="B70" s="1">
        <f>DATE(2010,5,2) + TIME(5,33,25)</f>
        <v>40300.231539351851</v>
      </c>
      <c r="C70">
        <v>80</v>
      </c>
      <c r="D70">
        <v>69.105979919000006</v>
      </c>
      <c r="E70">
        <v>50</v>
      </c>
      <c r="F70">
        <v>14.992721558</v>
      </c>
      <c r="G70">
        <v>1428.3291016000001</v>
      </c>
      <c r="H70">
        <v>1409.6558838000001</v>
      </c>
      <c r="I70">
        <v>1234.6740723</v>
      </c>
      <c r="J70">
        <v>1187.4287108999999</v>
      </c>
      <c r="K70">
        <v>2875</v>
      </c>
      <c r="L70">
        <v>0</v>
      </c>
      <c r="M70">
        <v>0</v>
      </c>
      <c r="N70">
        <v>2875</v>
      </c>
    </row>
    <row r="71" spans="1:14" x14ac:dyDescent="0.25">
      <c r="A71">
        <v>1.2553799999999999</v>
      </c>
      <c r="B71" s="1">
        <f>DATE(2010,5,2) + TIME(6,7,44)</f>
        <v>40300.255370370367</v>
      </c>
      <c r="C71">
        <v>80</v>
      </c>
      <c r="D71">
        <v>69.494903563999998</v>
      </c>
      <c r="E71">
        <v>50</v>
      </c>
      <c r="F71">
        <v>14.992746352999999</v>
      </c>
      <c r="G71">
        <v>1428.1477050999999</v>
      </c>
      <c r="H71">
        <v>1409.5515137</v>
      </c>
      <c r="I71">
        <v>1234.6746826000001</v>
      </c>
      <c r="J71">
        <v>1187.4291992000001</v>
      </c>
      <c r="K71">
        <v>2875</v>
      </c>
      <c r="L71">
        <v>0</v>
      </c>
      <c r="M71">
        <v>0</v>
      </c>
      <c r="N71">
        <v>2875</v>
      </c>
    </row>
    <row r="72" spans="1:14" x14ac:dyDescent="0.25">
      <c r="A72">
        <v>1.303043</v>
      </c>
      <c r="B72" s="1">
        <f>DATE(2010,5,2) + TIME(7,16,22)</f>
        <v>40300.303032407406</v>
      </c>
      <c r="C72">
        <v>80</v>
      </c>
      <c r="D72">
        <v>70.219085692999997</v>
      </c>
      <c r="E72">
        <v>50</v>
      </c>
      <c r="F72">
        <v>14.992794036999999</v>
      </c>
      <c r="G72">
        <v>1427.848999</v>
      </c>
      <c r="H72">
        <v>1409.4163818</v>
      </c>
      <c r="I72">
        <v>1234.6755370999999</v>
      </c>
      <c r="J72">
        <v>1187.4300536999999</v>
      </c>
      <c r="K72">
        <v>2875</v>
      </c>
      <c r="L72">
        <v>0</v>
      </c>
      <c r="M72">
        <v>0</v>
      </c>
      <c r="N72">
        <v>2875</v>
      </c>
    </row>
    <row r="73" spans="1:14" x14ac:dyDescent="0.25">
      <c r="A73">
        <v>1.350752</v>
      </c>
      <c r="B73" s="1">
        <f>DATE(2010,5,2) + TIME(8,25,5)</f>
        <v>40300.350752314815</v>
      </c>
      <c r="C73">
        <v>80</v>
      </c>
      <c r="D73">
        <v>70.894485474000007</v>
      </c>
      <c r="E73">
        <v>50</v>
      </c>
      <c r="F73">
        <v>14.992838860000001</v>
      </c>
      <c r="G73">
        <v>1427.5225829999999</v>
      </c>
      <c r="H73">
        <v>1409.2177733999999</v>
      </c>
      <c r="I73">
        <v>1234.6766356999999</v>
      </c>
      <c r="J73">
        <v>1187.4310303</v>
      </c>
      <c r="K73">
        <v>2875</v>
      </c>
      <c r="L73">
        <v>0</v>
      </c>
      <c r="M73">
        <v>0</v>
      </c>
      <c r="N73">
        <v>2875</v>
      </c>
    </row>
    <row r="74" spans="1:14" x14ac:dyDescent="0.25">
      <c r="A74">
        <v>1.398749</v>
      </c>
      <c r="B74" s="1">
        <f>DATE(2010,5,2) + TIME(9,34,11)</f>
        <v>40300.398738425924</v>
      </c>
      <c r="C74">
        <v>80</v>
      </c>
      <c r="D74">
        <v>71.527427673000005</v>
      </c>
      <c r="E74">
        <v>50</v>
      </c>
      <c r="F74">
        <v>14.992883682</v>
      </c>
      <c r="G74">
        <v>1427.2102050999999</v>
      </c>
      <c r="H74">
        <v>1409.0233154</v>
      </c>
      <c r="I74">
        <v>1234.6779785000001</v>
      </c>
      <c r="J74">
        <v>1187.432251</v>
      </c>
      <c r="K74">
        <v>2875</v>
      </c>
      <c r="L74">
        <v>0</v>
      </c>
      <c r="M74">
        <v>0</v>
      </c>
      <c r="N74">
        <v>2875</v>
      </c>
    </row>
    <row r="75" spans="1:14" x14ac:dyDescent="0.25">
      <c r="A75">
        <v>1.447098</v>
      </c>
      <c r="B75" s="1">
        <f>DATE(2010,5,2) + TIME(10,43,49)</f>
        <v>40300.447094907409</v>
      </c>
      <c r="C75">
        <v>80</v>
      </c>
      <c r="D75">
        <v>72.120903014999996</v>
      </c>
      <c r="E75">
        <v>50</v>
      </c>
      <c r="F75">
        <v>14.992926598</v>
      </c>
      <c r="G75">
        <v>1426.9107666</v>
      </c>
      <c r="H75">
        <v>1408.8323975000001</v>
      </c>
      <c r="I75">
        <v>1234.6793213000001</v>
      </c>
      <c r="J75">
        <v>1187.4334716999999</v>
      </c>
      <c r="K75">
        <v>2875</v>
      </c>
      <c r="L75">
        <v>0</v>
      </c>
      <c r="M75">
        <v>0</v>
      </c>
      <c r="N75">
        <v>2875</v>
      </c>
    </row>
    <row r="76" spans="1:14" x14ac:dyDescent="0.25">
      <c r="A76">
        <v>1.4958689999999999</v>
      </c>
      <c r="B76" s="1">
        <f>DATE(2010,5,2) + TIME(11,54,3)</f>
        <v>40300.495868055557</v>
      </c>
      <c r="C76">
        <v>80</v>
      </c>
      <c r="D76">
        <v>72.677658081000004</v>
      </c>
      <c r="E76">
        <v>50</v>
      </c>
      <c r="F76">
        <v>14.992968558999999</v>
      </c>
      <c r="G76">
        <v>1426.6229248</v>
      </c>
      <c r="H76">
        <v>1408.6446533000001</v>
      </c>
      <c r="I76">
        <v>1234.6805420000001</v>
      </c>
      <c r="J76">
        <v>1187.4346923999999</v>
      </c>
      <c r="K76">
        <v>2875</v>
      </c>
      <c r="L76">
        <v>0</v>
      </c>
      <c r="M76">
        <v>0</v>
      </c>
      <c r="N76">
        <v>2875</v>
      </c>
    </row>
    <row r="77" spans="1:14" x14ac:dyDescent="0.25">
      <c r="A77">
        <v>1.5451299999999999</v>
      </c>
      <c r="B77" s="1">
        <f>DATE(2010,5,2) + TIME(13,4,59)</f>
        <v>40300.545127314814</v>
      </c>
      <c r="C77">
        <v>80</v>
      </c>
      <c r="D77">
        <v>73.200164795000006</v>
      </c>
      <c r="E77">
        <v>50</v>
      </c>
      <c r="F77">
        <v>14.993009567</v>
      </c>
      <c r="G77">
        <v>1426.3454589999999</v>
      </c>
      <c r="H77">
        <v>1408.4597168</v>
      </c>
      <c r="I77">
        <v>1234.6818848</v>
      </c>
      <c r="J77">
        <v>1187.4359131000001</v>
      </c>
      <c r="K77">
        <v>2875</v>
      </c>
      <c r="L77">
        <v>0</v>
      </c>
      <c r="M77">
        <v>0</v>
      </c>
      <c r="N77">
        <v>2875</v>
      </c>
    </row>
    <row r="78" spans="1:14" x14ac:dyDescent="0.25">
      <c r="A78">
        <v>1.594951</v>
      </c>
      <c r="B78" s="1">
        <f>DATE(2010,5,2) + TIME(14,16,43)</f>
        <v>40300.594942129632</v>
      </c>
      <c r="C78">
        <v>80</v>
      </c>
      <c r="D78">
        <v>73.690628051999994</v>
      </c>
      <c r="E78">
        <v>50</v>
      </c>
      <c r="F78">
        <v>14.993049621999999</v>
      </c>
      <c r="G78">
        <v>1426.0772704999999</v>
      </c>
      <c r="H78">
        <v>1408.2770995999999</v>
      </c>
      <c r="I78">
        <v>1234.6832274999999</v>
      </c>
      <c r="J78">
        <v>1187.4371338000001</v>
      </c>
      <c r="K78">
        <v>2875</v>
      </c>
      <c r="L78">
        <v>0</v>
      </c>
      <c r="M78">
        <v>0</v>
      </c>
      <c r="N78">
        <v>2875</v>
      </c>
    </row>
    <row r="79" spans="1:14" x14ac:dyDescent="0.25">
      <c r="A79">
        <v>1.6453899999999999</v>
      </c>
      <c r="B79" s="1">
        <f>DATE(2010,5,2) + TIME(15,29,21)</f>
        <v>40300.645381944443</v>
      </c>
      <c r="C79">
        <v>80</v>
      </c>
      <c r="D79">
        <v>74.150993346999996</v>
      </c>
      <c r="E79">
        <v>50</v>
      </c>
      <c r="F79">
        <v>14.993088722</v>
      </c>
      <c r="G79">
        <v>1425.8173827999999</v>
      </c>
      <c r="H79">
        <v>1408.0963135</v>
      </c>
      <c r="I79">
        <v>1234.6845702999999</v>
      </c>
      <c r="J79">
        <v>1187.4383545000001</v>
      </c>
      <c r="K79">
        <v>2875</v>
      </c>
      <c r="L79">
        <v>0</v>
      </c>
      <c r="M79">
        <v>0</v>
      </c>
      <c r="N79">
        <v>2875</v>
      </c>
    </row>
    <row r="80" spans="1:14" x14ac:dyDescent="0.25">
      <c r="A80">
        <v>1.696529</v>
      </c>
      <c r="B80" s="1">
        <f>DATE(2010,5,2) + TIME(16,43,0)</f>
        <v>40300.696527777778</v>
      </c>
      <c r="C80">
        <v>80</v>
      </c>
      <c r="D80">
        <v>74.583213806000003</v>
      </c>
      <c r="E80">
        <v>50</v>
      </c>
      <c r="F80">
        <v>14.993126868999999</v>
      </c>
      <c r="G80">
        <v>1425.5651855000001</v>
      </c>
      <c r="H80">
        <v>1407.9173584</v>
      </c>
      <c r="I80">
        <v>1234.6859131000001</v>
      </c>
      <c r="J80">
        <v>1187.4395752</v>
      </c>
      <c r="K80">
        <v>2875</v>
      </c>
      <c r="L80">
        <v>0</v>
      </c>
      <c r="M80">
        <v>0</v>
      </c>
      <c r="N80">
        <v>2875</v>
      </c>
    </row>
    <row r="81" spans="1:14" x14ac:dyDescent="0.25">
      <c r="A81">
        <v>1.7484409999999999</v>
      </c>
      <c r="B81" s="1">
        <f>DATE(2010,5,2) + TIME(17,57,45)</f>
        <v>40300.748437499999</v>
      </c>
      <c r="C81">
        <v>80</v>
      </c>
      <c r="D81">
        <v>74.988952636999997</v>
      </c>
      <c r="E81">
        <v>50</v>
      </c>
      <c r="F81">
        <v>14.993164062</v>
      </c>
      <c r="G81">
        <v>1425.3195800999999</v>
      </c>
      <c r="H81">
        <v>1407.739624</v>
      </c>
      <c r="I81">
        <v>1234.6872559000001</v>
      </c>
      <c r="J81">
        <v>1187.440918</v>
      </c>
      <c r="K81">
        <v>2875</v>
      </c>
      <c r="L81">
        <v>0</v>
      </c>
      <c r="M81">
        <v>0</v>
      </c>
      <c r="N81">
        <v>2875</v>
      </c>
    </row>
    <row r="82" spans="1:14" x14ac:dyDescent="0.25">
      <c r="A82">
        <v>1.801202</v>
      </c>
      <c r="B82" s="1">
        <f>DATE(2010,5,2) + TIME(19,13,43)</f>
        <v>40300.801192129627</v>
      </c>
      <c r="C82">
        <v>80</v>
      </c>
      <c r="D82">
        <v>75.369476317999997</v>
      </c>
      <c r="E82">
        <v>50</v>
      </c>
      <c r="F82">
        <v>14.993201256000001</v>
      </c>
      <c r="G82">
        <v>1425.0799560999999</v>
      </c>
      <c r="H82">
        <v>1407.5628661999999</v>
      </c>
      <c r="I82">
        <v>1234.6885986</v>
      </c>
      <c r="J82">
        <v>1187.4421387</v>
      </c>
      <c r="K82">
        <v>2875</v>
      </c>
      <c r="L82">
        <v>0</v>
      </c>
      <c r="M82">
        <v>0</v>
      </c>
      <c r="N82">
        <v>2875</v>
      </c>
    </row>
    <row r="83" spans="1:14" x14ac:dyDescent="0.25">
      <c r="A83">
        <v>1.8548899999999999</v>
      </c>
      <c r="B83" s="1">
        <f>DATE(2010,5,2) + TIME(20,31,2)</f>
        <v>40300.854884259257</v>
      </c>
      <c r="C83">
        <v>80</v>
      </c>
      <c r="D83">
        <v>75.726478576999995</v>
      </c>
      <c r="E83">
        <v>50</v>
      </c>
      <c r="F83">
        <v>14.993237495000001</v>
      </c>
      <c r="G83">
        <v>1424.8457031</v>
      </c>
      <c r="H83">
        <v>1407.3869629000001</v>
      </c>
      <c r="I83">
        <v>1234.6900635</v>
      </c>
      <c r="J83">
        <v>1187.4434814000001</v>
      </c>
      <c r="K83">
        <v>2875</v>
      </c>
      <c r="L83">
        <v>0</v>
      </c>
      <c r="M83">
        <v>0</v>
      </c>
      <c r="N83">
        <v>2875</v>
      </c>
    </row>
    <row r="84" spans="1:14" x14ac:dyDescent="0.25">
      <c r="A84">
        <v>1.9095899999999999</v>
      </c>
      <c r="B84" s="1">
        <f>DATE(2010,5,2) + TIME(21,49,48)</f>
        <v>40300.909583333334</v>
      </c>
      <c r="C84">
        <v>80</v>
      </c>
      <c r="D84">
        <v>76.061271667</v>
      </c>
      <c r="E84">
        <v>50</v>
      </c>
      <c r="F84">
        <v>14.993273735000001</v>
      </c>
      <c r="G84">
        <v>1424.6162108999999</v>
      </c>
      <c r="H84">
        <v>1407.2114257999999</v>
      </c>
      <c r="I84">
        <v>1234.6914062000001</v>
      </c>
      <c r="J84">
        <v>1187.4448242000001</v>
      </c>
      <c r="K84">
        <v>2875</v>
      </c>
      <c r="L84">
        <v>0</v>
      </c>
      <c r="M84">
        <v>0</v>
      </c>
      <c r="N84">
        <v>2875</v>
      </c>
    </row>
    <row r="85" spans="1:14" x14ac:dyDescent="0.25">
      <c r="A85">
        <v>1.9653890000000001</v>
      </c>
      <c r="B85" s="1">
        <f>DATE(2010,5,2) + TIME(23,10,9)</f>
        <v>40300.965381944443</v>
      </c>
      <c r="C85">
        <v>80</v>
      </c>
      <c r="D85">
        <v>76.375083923000005</v>
      </c>
      <c r="E85">
        <v>50</v>
      </c>
      <c r="F85">
        <v>14.993309021</v>
      </c>
      <c r="G85">
        <v>1424.3909911999999</v>
      </c>
      <c r="H85">
        <v>1407.0362548999999</v>
      </c>
      <c r="I85">
        <v>1234.6928711</v>
      </c>
      <c r="J85">
        <v>1187.4461670000001</v>
      </c>
      <c r="K85">
        <v>2875</v>
      </c>
      <c r="L85">
        <v>0</v>
      </c>
      <c r="M85">
        <v>0</v>
      </c>
      <c r="N85">
        <v>2875</v>
      </c>
    </row>
    <row r="86" spans="1:14" x14ac:dyDescent="0.25">
      <c r="A86">
        <v>2.0223810000000002</v>
      </c>
      <c r="B86" s="1">
        <f>DATE(2010,5,3) + TIME(0,32,13)</f>
        <v>40301.022372685184</v>
      </c>
      <c r="C86">
        <v>80</v>
      </c>
      <c r="D86">
        <v>76.669044494999994</v>
      </c>
      <c r="E86">
        <v>50</v>
      </c>
      <c r="F86">
        <v>14.993344306999999</v>
      </c>
      <c r="G86">
        <v>1424.1694336</v>
      </c>
      <c r="H86">
        <v>1406.8610839999999</v>
      </c>
      <c r="I86">
        <v>1234.6942139</v>
      </c>
      <c r="J86">
        <v>1187.4475098</v>
      </c>
      <c r="K86">
        <v>2875</v>
      </c>
      <c r="L86">
        <v>0</v>
      </c>
      <c r="M86">
        <v>0</v>
      </c>
      <c r="N86">
        <v>2875</v>
      </c>
    </row>
    <row r="87" spans="1:14" x14ac:dyDescent="0.25">
      <c r="A87">
        <v>2.0806650000000002</v>
      </c>
      <c r="B87" s="1">
        <f>DATE(2010,5,3) + TIME(1,56,9)</f>
        <v>40301.080659722225</v>
      </c>
      <c r="C87">
        <v>80</v>
      </c>
      <c r="D87">
        <v>76.944190978999998</v>
      </c>
      <c r="E87">
        <v>50</v>
      </c>
      <c r="F87">
        <v>14.993378638999999</v>
      </c>
      <c r="G87">
        <v>1423.9510498</v>
      </c>
      <c r="H87">
        <v>1406.6856689000001</v>
      </c>
      <c r="I87">
        <v>1234.6956786999999</v>
      </c>
      <c r="J87">
        <v>1187.4488524999999</v>
      </c>
      <c r="K87">
        <v>2875</v>
      </c>
      <c r="L87">
        <v>0</v>
      </c>
      <c r="M87">
        <v>0</v>
      </c>
      <c r="N87">
        <v>2875</v>
      </c>
    </row>
    <row r="88" spans="1:14" x14ac:dyDescent="0.25">
      <c r="A88">
        <v>2.1403509999999999</v>
      </c>
      <c r="B88" s="1">
        <f>DATE(2010,5,3) + TIME(3,22,6)</f>
        <v>40301.140347222223</v>
      </c>
      <c r="C88">
        <v>80</v>
      </c>
      <c r="D88">
        <v>77.201522827000005</v>
      </c>
      <c r="E88">
        <v>50</v>
      </c>
      <c r="F88">
        <v>14.993412971</v>
      </c>
      <c r="G88">
        <v>1423.7354736</v>
      </c>
      <c r="H88">
        <v>1406.5098877</v>
      </c>
      <c r="I88">
        <v>1234.6971435999999</v>
      </c>
      <c r="J88">
        <v>1187.4501952999999</v>
      </c>
      <c r="K88">
        <v>2875</v>
      </c>
      <c r="L88">
        <v>0</v>
      </c>
      <c r="M88">
        <v>0</v>
      </c>
      <c r="N88">
        <v>2875</v>
      </c>
    </row>
    <row r="89" spans="1:14" x14ac:dyDescent="0.25">
      <c r="A89">
        <v>2.2015790000000002</v>
      </c>
      <c r="B89" s="1">
        <f>DATE(2010,5,3) + TIME(4,50,16)</f>
        <v>40301.201574074075</v>
      </c>
      <c r="C89">
        <v>80</v>
      </c>
      <c r="D89">
        <v>77.44203186</v>
      </c>
      <c r="E89">
        <v>50</v>
      </c>
      <c r="F89">
        <v>14.993447304</v>
      </c>
      <c r="G89">
        <v>1423.5220947</v>
      </c>
      <c r="H89">
        <v>1406.3332519999999</v>
      </c>
      <c r="I89">
        <v>1234.6986084</v>
      </c>
      <c r="J89">
        <v>1187.4516602000001</v>
      </c>
      <c r="K89">
        <v>2875</v>
      </c>
      <c r="L89">
        <v>0</v>
      </c>
      <c r="M89">
        <v>0</v>
      </c>
      <c r="N89">
        <v>2875</v>
      </c>
    </row>
    <row r="90" spans="1:14" x14ac:dyDescent="0.25">
      <c r="A90">
        <v>2.2644540000000002</v>
      </c>
      <c r="B90" s="1">
        <f>DATE(2010,5,3) + TIME(6,20,48)</f>
        <v>40301.264444444445</v>
      </c>
      <c r="C90">
        <v>80</v>
      </c>
      <c r="D90">
        <v>77.666496276999993</v>
      </c>
      <c r="E90">
        <v>50</v>
      </c>
      <c r="F90">
        <v>14.993480682</v>
      </c>
      <c r="G90">
        <v>1423.3106689000001</v>
      </c>
      <c r="H90">
        <v>1406.1558838000001</v>
      </c>
      <c r="I90">
        <v>1234.7000731999999</v>
      </c>
      <c r="J90">
        <v>1187.453125</v>
      </c>
      <c r="K90">
        <v>2875</v>
      </c>
      <c r="L90">
        <v>0</v>
      </c>
      <c r="M90">
        <v>0</v>
      </c>
      <c r="N90">
        <v>2875</v>
      </c>
    </row>
    <row r="91" spans="1:14" x14ac:dyDescent="0.25">
      <c r="A91">
        <v>2.3291140000000001</v>
      </c>
      <c r="B91" s="1">
        <f>DATE(2010,5,3) + TIME(7,53,55)</f>
        <v>40301.329108796293</v>
      </c>
      <c r="C91">
        <v>80</v>
      </c>
      <c r="D91">
        <v>77.875732421999999</v>
      </c>
      <c r="E91">
        <v>50</v>
      </c>
      <c r="F91">
        <v>14.993515015</v>
      </c>
      <c r="G91">
        <v>1423.1007079999999</v>
      </c>
      <c r="H91">
        <v>1405.9772949000001</v>
      </c>
      <c r="I91">
        <v>1234.7015381000001</v>
      </c>
      <c r="J91">
        <v>1187.4544678</v>
      </c>
      <c r="K91">
        <v>2875</v>
      </c>
      <c r="L91">
        <v>0</v>
      </c>
      <c r="M91">
        <v>0</v>
      </c>
      <c r="N91">
        <v>2875</v>
      </c>
    </row>
    <row r="92" spans="1:14" x14ac:dyDescent="0.25">
      <c r="A92">
        <v>2.3957079999999999</v>
      </c>
      <c r="B92" s="1">
        <f>DATE(2010,5,3) + TIME(9,29,49)</f>
        <v>40301.39570601852</v>
      </c>
      <c r="C92">
        <v>80</v>
      </c>
      <c r="D92">
        <v>78.070480347</v>
      </c>
      <c r="E92">
        <v>50</v>
      </c>
      <c r="F92">
        <v>14.993548392999999</v>
      </c>
      <c r="G92">
        <v>1422.8918457</v>
      </c>
      <c r="H92">
        <v>1405.7973632999999</v>
      </c>
      <c r="I92">
        <v>1234.703125</v>
      </c>
      <c r="J92">
        <v>1187.4560547000001</v>
      </c>
      <c r="K92">
        <v>2875</v>
      </c>
      <c r="L92">
        <v>0</v>
      </c>
      <c r="M92">
        <v>0</v>
      </c>
      <c r="N92">
        <v>2875</v>
      </c>
    </row>
    <row r="93" spans="1:14" x14ac:dyDescent="0.25">
      <c r="A93">
        <v>2.464404</v>
      </c>
      <c r="B93" s="1">
        <f>DATE(2010,5,3) + TIME(11,8,44)</f>
        <v>40301.464398148149</v>
      </c>
      <c r="C93">
        <v>80</v>
      </c>
      <c r="D93">
        <v>78.251487732000001</v>
      </c>
      <c r="E93">
        <v>50</v>
      </c>
      <c r="F93">
        <v>14.993581772000001</v>
      </c>
      <c r="G93">
        <v>1422.6837158000001</v>
      </c>
      <c r="H93">
        <v>1405.6158447</v>
      </c>
      <c r="I93">
        <v>1234.7047118999999</v>
      </c>
      <c r="J93">
        <v>1187.4575195</v>
      </c>
      <c r="K93">
        <v>2875</v>
      </c>
      <c r="L93">
        <v>0</v>
      </c>
      <c r="M93">
        <v>0</v>
      </c>
      <c r="N93">
        <v>2875</v>
      </c>
    </row>
    <row r="94" spans="1:14" x14ac:dyDescent="0.25">
      <c r="A94">
        <v>2.5353840000000001</v>
      </c>
      <c r="B94" s="1">
        <f>DATE(2010,5,3) + TIME(12,50,57)</f>
        <v>40301.535381944443</v>
      </c>
      <c r="C94">
        <v>80</v>
      </c>
      <c r="D94">
        <v>78.419425963999998</v>
      </c>
      <c r="E94">
        <v>50</v>
      </c>
      <c r="F94">
        <v>14.993616104000001</v>
      </c>
      <c r="G94">
        <v>1422.4759521000001</v>
      </c>
      <c r="H94">
        <v>1405.4323730000001</v>
      </c>
      <c r="I94">
        <v>1234.7062988</v>
      </c>
      <c r="J94">
        <v>1187.4591064000001</v>
      </c>
      <c r="K94">
        <v>2875</v>
      </c>
      <c r="L94">
        <v>0</v>
      </c>
      <c r="M94">
        <v>0</v>
      </c>
      <c r="N94">
        <v>2875</v>
      </c>
    </row>
    <row r="95" spans="1:14" x14ac:dyDescent="0.25">
      <c r="A95">
        <v>2.6088550000000001</v>
      </c>
      <c r="B95" s="1">
        <f>DATE(2010,5,3) + TIME(14,36,45)</f>
        <v>40301.608854166669</v>
      </c>
      <c r="C95">
        <v>80</v>
      </c>
      <c r="D95">
        <v>78.574951171999999</v>
      </c>
      <c r="E95">
        <v>50</v>
      </c>
      <c r="F95">
        <v>14.993649483</v>
      </c>
      <c r="G95">
        <v>1422.2680664</v>
      </c>
      <c r="H95">
        <v>1405.2469481999999</v>
      </c>
      <c r="I95">
        <v>1234.7078856999999</v>
      </c>
      <c r="J95">
        <v>1187.4606934000001</v>
      </c>
      <c r="K95">
        <v>2875</v>
      </c>
      <c r="L95">
        <v>0</v>
      </c>
      <c r="M95">
        <v>0</v>
      </c>
      <c r="N95">
        <v>2875</v>
      </c>
    </row>
    <row r="96" spans="1:14" x14ac:dyDescent="0.25">
      <c r="A96">
        <v>2.6847859999999999</v>
      </c>
      <c r="B96" s="1">
        <f>DATE(2010,5,3) + TIME(16,26,5)</f>
        <v>40301.68478009259</v>
      </c>
      <c r="C96">
        <v>80</v>
      </c>
      <c r="D96">
        <v>78.718246460000003</v>
      </c>
      <c r="E96">
        <v>50</v>
      </c>
      <c r="F96">
        <v>14.993683815000001</v>
      </c>
      <c r="G96">
        <v>1422.0598144999999</v>
      </c>
      <c r="H96">
        <v>1405.0592041</v>
      </c>
      <c r="I96">
        <v>1234.7095947</v>
      </c>
      <c r="J96">
        <v>1187.4622803</v>
      </c>
      <c r="K96">
        <v>2875</v>
      </c>
      <c r="L96">
        <v>0</v>
      </c>
      <c r="M96">
        <v>0</v>
      </c>
      <c r="N96">
        <v>2875</v>
      </c>
    </row>
    <row r="97" spans="1:14" x14ac:dyDescent="0.25">
      <c r="A97">
        <v>2.7631079999999999</v>
      </c>
      <c r="B97" s="1">
        <f>DATE(2010,5,3) + TIME(18,18,52)</f>
        <v>40301.763101851851</v>
      </c>
      <c r="C97">
        <v>80</v>
      </c>
      <c r="D97">
        <v>78.849563599000007</v>
      </c>
      <c r="E97">
        <v>50</v>
      </c>
      <c r="F97">
        <v>14.993717194</v>
      </c>
      <c r="G97">
        <v>1421.8515625</v>
      </c>
      <c r="H97">
        <v>1404.8692627</v>
      </c>
      <c r="I97">
        <v>1234.7113036999999</v>
      </c>
      <c r="J97">
        <v>1187.4639893000001</v>
      </c>
      <c r="K97">
        <v>2875</v>
      </c>
      <c r="L97">
        <v>0</v>
      </c>
      <c r="M97">
        <v>0</v>
      </c>
      <c r="N97">
        <v>2875</v>
      </c>
    </row>
    <row r="98" spans="1:14" x14ac:dyDescent="0.25">
      <c r="A98">
        <v>2.8440379999999998</v>
      </c>
      <c r="B98" s="1">
        <f>DATE(2010,5,3) + TIME(20,15,24)</f>
        <v>40301.844027777777</v>
      </c>
      <c r="C98">
        <v>80</v>
      </c>
      <c r="D98">
        <v>78.969680785999998</v>
      </c>
      <c r="E98">
        <v>50</v>
      </c>
      <c r="F98">
        <v>14.993751526</v>
      </c>
      <c r="G98">
        <v>1421.6433105000001</v>
      </c>
      <c r="H98">
        <v>1404.6778564000001</v>
      </c>
      <c r="I98">
        <v>1234.7130127</v>
      </c>
      <c r="J98">
        <v>1187.4656981999999</v>
      </c>
      <c r="K98">
        <v>2875</v>
      </c>
      <c r="L98">
        <v>0</v>
      </c>
      <c r="M98">
        <v>0</v>
      </c>
      <c r="N98">
        <v>2875</v>
      </c>
    </row>
    <row r="99" spans="1:14" x14ac:dyDescent="0.25">
      <c r="A99">
        <v>2.9276849999999999</v>
      </c>
      <c r="B99" s="1">
        <f>DATE(2010,5,3) + TIME(22,15,52)</f>
        <v>40301.927685185183</v>
      </c>
      <c r="C99">
        <v>80</v>
      </c>
      <c r="D99">
        <v>79.079154967999997</v>
      </c>
      <c r="E99">
        <v>50</v>
      </c>
      <c r="F99">
        <v>14.993784904</v>
      </c>
      <c r="G99">
        <v>1421.4348144999999</v>
      </c>
      <c r="H99">
        <v>1404.484375</v>
      </c>
      <c r="I99">
        <v>1234.7148437999999</v>
      </c>
      <c r="J99">
        <v>1187.4674072</v>
      </c>
      <c r="K99">
        <v>2875</v>
      </c>
      <c r="L99">
        <v>0</v>
      </c>
      <c r="M99">
        <v>0</v>
      </c>
      <c r="N99">
        <v>2875</v>
      </c>
    </row>
    <row r="100" spans="1:14" x14ac:dyDescent="0.25">
      <c r="A100">
        <v>3.0142899999999999</v>
      </c>
      <c r="B100" s="1">
        <f>DATE(2010,5,4) + TIME(0,20,34)</f>
        <v>40302.014282407406</v>
      </c>
      <c r="C100">
        <v>80</v>
      </c>
      <c r="D100">
        <v>79.178688049000002</v>
      </c>
      <c r="E100">
        <v>50</v>
      </c>
      <c r="F100">
        <v>14.993819237</v>
      </c>
      <c r="G100">
        <v>1421.2259521000001</v>
      </c>
      <c r="H100">
        <v>1404.2890625</v>
      </c>
      <c r="I100">
        <v>1234.7166748</v>
      </c>
      <c r="J100">
        <v>1187.4692382999999</v>
      </c>
      <c r="K100">
        <v>2875</v>
      </c>
      <c r="L100">
        <v>0</v>
      </c>
      <c r="M100">
        <v>0</v>
      </c>
      <c r="N100">
        <v>2875</v>
      </c>
    </row>
    <row r="101" spans="1:14" x14ac:dyDescent="0.25">
      <c r="A101">
        <v>3.1041180000000002</v>
      </c>
      <c r="B101" s="1">
        <f>DATE(2010,5,4) + TIME(2,29,55)</f>
        <v>40302.104108796295</v>
      </c>
      <c r="C101">
        <v>80</v>
      </c>
      <c r="D101">
        <v>79.268951415999993</v>
      </c>
      <c r="E101">
        <v>50</v>
      </c>
      <c r="F101">
        <v>14.993853569000001</v>
      </c>
      <c r="G101">
        <v>1421.0163574000001</v>
      </c>
      <c r="H101">
        <v>1404.0914307</v>
      </c>
      <c r="I101">
        <v>1234.7185059000001</v>
      </c>
      <c r="J101">
        <v>1187.4710693</v>
      </c>
      <c r="K101">
        <v>2875</v>
      </c>
      <c r="L101">
        <v>0</v>
      </c>
      <c r="M101">
        <v>0</v>
      </c>
      <c r="N101">
        <v>2875</v>
      </c>
    </row>
    <row r="102" spans="1:14" x14ac:dyDescent="0.25">
      <c r="A102">
        <v>3.1974710000000002</v>
      </c>
      <c r="B102" s="1">
        <f>DATE(2010,5,4) + TIME(4,44,21)</f>
        <v>40302.197465277779</v>
      </c>
      <c r="C102">
        <v>80</v>
      </c>
      <c r="D102">
        <v>79.350570679</v>
      </c>
      <c r="E102">
        <v>50</v>
      </c>
      <c r="F102">
        <v>14.993887901000001</v>
      </c>
      <c r="G102">
        <v>1420.8054199000001</v>
      </c>
      <c r="H102">
        <v>1403.8913574000001</v>
      </c>
      <c r="I102">
        <v>1234.7204589999999</v>
      </c>
      <c r="J102">
        <v>1187.4729004000001</v>
      </c>
      <c r="K102">
        <v>2875</v>
      </c>
      <c r="L102">
        <v>0</v>
      </c>
      <c r="M102">
        <v>0</v>
      </c>
      <c r="N102">
        <v>2875</v>
      </c>
    </row>
    <row r="103" spans="1:14" x14ac:dyDescent="0.25">
      <c r="A103">
        <v>3.294575</v>
      </c>
      <c r="B103" s="1">
        <f>DATE(2010,5,4) + TIME(7,4,11)</f>
        <v>40302.294571759259</v>
      </c>
      <c r="C103">
        <v>80</v>
      </c>
      <c r="D103">
        <v>79.424064635999997</v>
      </c>
      <c r="E103">
        <v>50</v>
      </c>
      <c r="F103">
        <v>14.993922233999999</v>
      </c>
      <c r="G103">
        <v>1420.5928954999999</v>
      </c>
      <c r="H103">
        <v>1403.6884766000001</v>
      </c>
      <c r="I103">
        <v>1234.7224120999999</v>
      </c>
      <c r="J103">
        <v>1187.4748535000001</v>
      </c>
      <c r="K103">
        <v>2875</v>
      </c>
      <c r="L103">
        <v>0</v>
      </c>
      <c r="M103">
        <v>0</v>
      </c>
      <c r="N103">
        <v>2875</v>
      </c>
    </row>
    <row r="104" spans="1:14" x14ac:dyDescent="0.25">
      <c r="A104">
        <v>3.3946730000000001</v>
      </c>
      <c r="B104" s="1">
        <f>DATE(2010,5,4) + TIME(9,28,19)</f>
        <v>40302.39466435185</v>
      </c>
      <c r="C104">
        <v>80</v>
      </c>
      <c r="D104">
        <v>79.489402771000002</v>
      </c>
      <c r="E104">
        <v>50</v>
      </c>
      <c r="F104">
        <v>14.99395752</v>
      </c>
      <c r="G104">
        <v>1420.3787841999999</v>
      </c>
      <c r="H104">
        <v>1403.4826660000001</v>
      </c>
      <c r="I104">
        <v>1234.7244873</v>
      </c>
      <c r="J104">
        <v>1187.4769286999999</v>
      </c>
      <c r="K104">
        <v>2875</v>
      </c>
      <c r="L104">
        <v>0</v>
      </c>
      <c r="M104">
        <v>0</v>
      </c>
      <c r="N104">
        <v>2875</v>
      </c>
    </row>
    <row r="105" spans="1:14" x14ac:dyDescent="0.25">
      <c r="A105">
        <v>3.494945</v>
      </c>
      <c r="B105" s="1">
        <f>DATE(2010,5,4) + TIME(11,52,43)</f>
        <v>40302.494942129626</v>
      </c>
      <c r="C105">
        <v>80</v>
      </c>
      <c r="D105">
        <v>79.545837402000004</v>
      </c>
      <c r="E105">
        <v>50</v>
      </c>
      <c r="F105">
        <v>14.993990898</v>
      </c>
      <c r="G105">
        <v>1420.1651611</v>
      </c>
      <c r="H105">
        <v>1403.276001</v>
      </c>
      <c r="I105">
        <v>1234.7265625</v>
      </c>
      <c r="J105">
        <v>1187.4788818</v>
      </c>
      <c r="K105">
        <v>2875</v>
      </c>
      <c r="L105">
        <v>0</v>
      </c>
      <c r="M105">
        <v>0</v>
      </c>
      <c r="N105">
        <v>2875</v>
      </c>
    </row>
    <row r="106" spans="1:14" x14ac:dyDescent="0.25">
      <c r="A106">
        <v>3.5955849999999998</v>
      </c>
      <c r="B106" s="1">
        <f>DATE(2010,5,4) + TIME(14,17,38)</f>
        <v>40302.595578703702</v>
      </c>
      <c r="C106">
        <v>80</v>
      </c>
      <c r="D106">
        <v>79.594673157000003</v>
      </c>
      <c r="E106">
        <v>50</v>
      </c>
      <c r="F106">
        <v>14.994024276999999</v>
      </c>
      <c r="G106">
        <v>1419.9571533000001</v>
      </c>
      <c r="H106">
        <v>1403.0739745999999</v>
      </c>
      <c r="I106">
        <v>1234.7286377</v>
      </c>
      <c r="J106">
        <v>1187.480957</v>
      </c>
      <c r="K106">
        <v>2875</v>
      </c>
      <c r="L106">
        <v>0</v>
      </c>
      <c r="M106">
        <v>0</v>
      </c>
      <c r="N106">
        <v>2875</v>
      </c>
    </row>
    <row r="107" spans="1:14" x14ac:dyDescent="0.25">
      <c r="A107">
        <v>3.6967539999999999</v>
      </c>
      <c r="B107" s="1">
        <f>DATE(2010,5,4) + TIME(16,43,19)</f>
        <v>40302.696747685186</v>
      </c>
      <c r="C107">
        <v>80</v>
      </c>
      <c r="D107">
        <v>79.636985779</v>
      </c>
      <c r="E107">
        <v>50</v>
      </c>
      <c r="F107">
        <v>14.994056702</v>
      </c>
      <c r="G107">
        <v>1419.7542725000001</v>
      </c>
      <c r="H107">
        <v>1402.8762207</v>
      </c>
      <c r="I107">
        <v>1234.7305908000001</v>
      </c>
      <c r="J107">
        <v>1187.4829102000001</v>
      </c>
      <c r="K107">
        <v>2875</v>
      </c>
      <c r="L107">
        <v>0</v>
      </c>
      <c r="M107">
        <v>0</v>
      </c>
      <c r="N107">
        <v>2875</v>
      </c>
    </row>
    <row r="108" spans="1:14" x14ac:dyDescent="0.25">
      <c r="A108">
        <v>3.7983189999999998</v>
      </c>
      <c r="B108" s="1">
        <f>DATE(2010,5,4) + TIME(19,9,34)</f>
        <v>40302.798310185186</v>
      </c>
      <c r="C108">
        <v>80</v>
      </c>
      <c r="D108">
        <v>79.673583984000004</v>
      </c>
      <c r="E108">
        <v>50</v>
      </c>
      <c r="F108">
        <v>14.994089127000001</v>
      </c>
      <c r="G108">
        <v>1419.5559082</v>
      </c>
      <c r="H108">
        <v>1402.682251</v>
      </c>
      <c r="I108">
        <v>1234.7326660000001</v>
      </c>
      <c r="J108">
        <v>1187.4849853999999</v>
      </c>
      <c r="K108">
        <v>2875</v>
      </c>
      <c r="L108">
        <v>0</v>
      </c>
      <c r="M108">
        <v>0</v>
      </c>
      <c r="N108">
        <v>2875</v>
      </c>
    </row>
    <row r="109" spans="1:14" x14ac:dyDescent="0.25">
      <c r="A109">
        <v>3.900433</v>
      </c>
      <c r="B109" s="1">
        <f>DATE(2010,5,4) + TIME(21,36,37)</f>
        <v>40302.90042824074</v>
      </c>
      <c r="C109">
        <v>80</v>
      </c>
      <c r="D109">
        <v>79.705284118999998</v>
      </c>
      <c r="E109">
        <v>50</v>
      </c>
      <c r="F109">
        <v>14.994119644</v>
      </c>
      <c r="G109">
        <v>1419.3620605000001</v>
      </c>
      <c r="H109">
        <v>1402.4920654</v>
      </c>
      <c r="I109">
        <v>1234.7347411999999</v>
      </c>
      <c r="J109">
        <v>1187.4869385</v>
      </c>
      <c r="K109">
        <v>2875</v>
      </c>
      <c r="L109">
        <v>0</v>
      </c>
      <c r="M109">
        <v>0</v>
      </c>
      <c r="N109">
        <v>2875</v>
      </c>
    </row>
    <row r="110" spans="1:14" x14ac:dyDescent="0.25">
      <c r="A110">
        <v>4.0032310000000004</v>
      </c>
      <c r="B110" s="1">
        <f>DATE(2010,5,5) + TIME(0,4,39)</f>
        <v>40303.003229166665</v>
      </c>
      <c r="C110">
        <v>80</v>
      </c>
      <c r="D110">
        <v>79.732757567999997</v>
      </c>
      <c r="E110">
        <v>50</v>
      </c>
      <c r="F110">
        <v>14.994151114999999</v>
      </c>
      <c r="G110">
        <v>1419.1722411999999</v>
      </c>
      <c r="H110">
        <v>1402.3052978999999</v>
      </c>
      <c r="I110">
        <v>1234.7368164</v>
      </c>
      <c r="J110">
        <v>1187.4890137</v>
      </c>
      <c r="K110">
        <v>2875</v>
      </c>
      <c r="L110">
        <v>0</v>
      </c>
      <c r="M110">
        <v>0</v>
      </c>
      <c r="N110">
        <v>2875</v>
      </c>
    </row>
    <row r="111" spans="1:14" x14ac:dyDescent="0.25">
      <c r="A111">
        <v>4.1068600000000002</v>
      </c>
      <c r="B111" s="1">
        <f>DATE(2010,5,5) + TIME(2,33,52)</f>
        <v>40303.106851851851</v>
      </c>
      <c r="C111">
        <v>80</v>
      </c>
      <c r="D111">
        <v>79.756591796999999</v>
      </c>
      <c r="E111">
        <v>50</v>
      </c>
      <c r="F111">
        <v>14.994181633</v>
      </c>
      <c r="G111">
        <v>1418.9858397999999</v>
      </c>
      <c r="H111">
        <v>1402.1217041</v>
      </c>
      <c r="I111">
        <v>1234.7387695</v>
      </c>
      <c r="J111">
        <v>1187.4909668</v>
      </c>
      <c r="K111">
        <v>2875</v>
      </c>
      <c r="L111">
        <v>0</v>
      </c>
      <c r="M111">
        <v>0</v>
      </c>
      <c r="N111">
        <v>2875</v>
      </c>
    </row>
    <row r="112" spans="1:14" x14ac:dyDescent="0.25">
      <c r="A112">
        <v>4.2114760000000002</v>
      </c>
      <c r="B112" s="1">
        <f>DATE(2010,5,5) + TIME(5,4,31)</f>
        <v>40303.211469907408</v>
      </c>
      <c r="C112">
        <v>80</v>
      </c>
      <c r="D112">
        <v>79.777275084999999</v>
      </c>
      <c r="E112">
        <v>50</v>
      </c>
      <c r="F112">
        <v>14.994211197</v>
      </c>
      <c r="G112">
        <v>1418.8026123</v>
      </c>
      <c r="H112">
        <v>1401.9407959</v>
      </c>
      <c r="I112">
        <v>1234.7408447</v>
      </c>
      <c r="J112">
        <v>1187.4930420000001</v>
      </c>
      <c r="K112">
        <v>2875</v>
      </c>
      <c r="L112">
        <v>0</v>
      </c>
      <c r="M112">
        <v>0</v>
      </c>
      <c r="N112">
        <v>2875</v>
      </c>
    </row>
    <row r="113" spans="1:14" x14ac:dyDescent="0.25">
      <c r="A113">
        <v>4.3172249999999996</v>
      </c>
      <c r="B113" s="1">
        <f>DATE(2010,5,5) + TIME(7,36,48)</f>
        <v>40303.31722222222</v>
      </c>
      <c r="C113">
        <v>80</v>
      </c>
      <c r="D113">
        <v>79.795242310000006</v>
      </c>
      <c r="E113">
        <v>50</v>
      </c>
      <c r="F113">
        <v>14.994240761</v>
      </c>
      <c r="G113">
        <v>1418.6220702999999</v>
      </c>
      <c r="H113">
        <v>1401.7623291</v>
      </c>
      <c r="I113">
        <v>1234.7429199000001</v>
      </c>
      <c r="J113">
        <v>1187.4951172000001</v>
      </c>
      <c r="K113">
        <v>2875</v>
      </c>
      <c r="L113">
        <v>0</v>
      </c>
      <c r="M113">
        <v>0</v>
      </c>
      <c r="N113">
        <v>2875</v>
      </c>
    </row>
    <row r="114" spans="1:14" x14ac:dyDescent="0.25">
      <c r="A114">
        <v>4.4242549999999996</v>
      </c>
      <c r="B114" s="1">
        <f>DATE(2010,5,5) + TIME(10,10,55)</f>
        <v>40303.424247685187</v>
      </c>
      <c r="C114">
        <v>80</v>
      </c>
      <c r="D114">
        <v>79.810852050999998</v>
      </c>
      <c r="E114">
        <v>50</v>
      </c>
      <c r="F114">
        <v>14.994270325</v>
      </c>
      <c r="G114">
        <v>1418.4439697</v>
      </c>
      <c r="H114">
        <v>1401.5860596</v>
      </c>
      <c r="I114">
        <v>1234.7449951000001</v>
      </c>
      <c r="J114">
        <v>1187.4970702999999</v>
      </c>
      <c r="K114">
        <v>2875</v>
      </c>
      <c r="L114">
        <v>0</v>
      </c>
      <c r="M114">
        <v>0</v>
      </c>
      <c r="N114">
        <v>2875</v>
      </c>
    </row>
    <row r="115" spans="1:14" x14ac:dyDescent="0.25">
      <c r="A115">
        <v>4.5327200000000003</v>
      </c>
      <c r="B115" s="1">
        <f>DATE(2010,5,5) + TIME(12,47,7)</f>
        <v>40303.532719907409</v>
      </c>
      <c r="C115">
        <v>80</v>
      </c>
      <c r="D115">
        <v>79.824424743999998</v>
      </c>
      <c r="E115">
        <v>50</v>
      </c>
      <c r="F115">
        <v>14.994298935</v>
      </c>
      <c r="G115">
        <v>1418.2678223</v>
      </c>
      <c r="H115">
        <v>1401.411499</v>
      </c>
      <c r="I115">
        <v>1234.7471923999999</v>
      </c>
      <c r="J115">
        <v>1187.4991454999999</v>
      </c>
      <c r="K115">
        <v>2875</v>
      </c>
      <c r="L115">
        <v>0</v>
      </c>
      <c r="M115">
        <v>0</v>
      </c>
      <c r="N115">
        <v>2875</v>
      </c>
    </row>
    <row r="116" spans="1:14" x14ac:dyDescent="0.25">
      <c r="A116">
        <v>4.6427810000000003</v>
      </c>
      <c r="B116" s="1">
        <f>DATE(2010,5,5) + TIME(15,25,36)</f>
        <v>40303.642777777779</v>
      </c>
      <c r="C116">
        <v>80</v>
      </c>
      <c r="D116">
        <v>79.836212157999995</v>
      </c>
      <c r="E116">
        <v>50</v>
      </c>
      <c r="F116">
        <v>14.994327545000001</v>
      </c>
      <c r="G116">
        <v>1418.0935059000001</v>
      </c>
      <c r="H116">
        <v>1401.2385254000001</v>
      </c>
      <c r="I116">
        <v>1234.7492675999999</v>
      </c>
      <c r="J116">
        <v>1187.5013428</v>
      </c>
      <c r="K116">
        <v>2875</v>
      </c>
      <c r="L116">
        <v>0</v>
      </c>
      <c r="M116">
        <v>0</v>
      </c>
      <c r="N116">
        <v>2875</v>
      </c>
    </row>
    <row r="117" spans="1:14" x14ac:dyDescent="0.25">
      <c r="A117">
        <v>4.7546010000000001</v>
      </c>
      <c r="B117" s="1">
        <f>DATE(2010,5,5) + TIME(18,6,37)</f>
        <v>40303.754594907405</v>
      </c>
      <c r="C117">
        <v>80</v>
      </c>
      <c r="D117">
        <v>79.846458435000002</v>
      </c>
      <c r="E117">
        <v>50</v>
      </c>
      <c r="F117">
        <v>14.994357108999999</v>
      </c>
      <c r="G117">
        <v>1417.9206543</v>
      </c>
      <c r="H117">
        <v>1401.0668945</v>
      </c>
      <c r="I117">
        <v>1234.7514647999999</v>
      </c>
      <c r="J117">
        <v>1187.503418</v>
      </c>
      <c r="K117">
        <v>2875</v>
      </c>
      <c r="L117">
        <v>0</v>
      </c>
      <c r="M117">
        <v>0</v>
      </c>
      <c r="N117">
        <v>2875</v>
      </c>
    </row>
    <row r="118" spans="1:14" x14ac:dyDescent="0.25">
      <c r="A118">
        <v>4.8683569999999996</v>
      </c>
      <c r="B118" s="1">
        <f>DATE(2010,5,5) + TIME(20,50,26)</f>
        <v>40303.868356481478</v>
      </c>
      <c r="C118">
        <v>80</v>
      </c>
      <c r="D118">
        <v>79.855369568</v>
      </c>
      <c r="E118">
        <v>50</v>
      </c>
      <c r="F118">
        <v>14.994384766</v>
      </c>
      <c r="G118">
        <v>1417.7489014</v>
      </c>
      <c r="H118">
        <v>1400.8963623</v>
      </c>
      <c r="I118">
        <v>1234.7536620999999</v>
      </c>
      <c r="J118">
        <v>1187.5056152</v>
      </c>
      <c r="K118">
        <v>2875</v>
      </c>
      <c r="L118">
        <v>0</v>
      </c>
      <c r="M118">
        <v>0</v>
      </c>
      <c r="N118">
        <v>2875</v>
      </c>
    </row>
    <row r="119" spans="1:14" x14ac:dyDescent="0.25">
      <c r="A119">
        <v>4.9842339999999998</v>
      </c>
      <c r="B119" s="1">
        <f>DATE(2010,5,5) + TIME(23,37,17)</f>
        <v>40303.984224537038</v>
      </c>
      <c r="C119">
        <v>80</v>
      </c>
      <c r="D119">
        <v>79.863113403</v>
      </c>
      <c r="E119">
        <v>50</v>
      </c>
      <c r="F119">
        <v>14.994413376000001</v>
      </c>
      <c r="G119">
        <v>1417.578125</v>
      </c>
      <c r="H119">
        <v>1400.7265625</v>
      </c>
      <c r="I119">
        <v>1234.7558594</v>
      </c>
      <c r="J119">
        <v>1187.5076904</v>
      </c>
      <c r="K119">
        <v>2875</v>
      </c>
      <c r="L119">
        <v>0</v>
      </c>
      <c r="M119">
        <v>0</v>
      </c>
      <c r="N119">
        <v>2875</v>
      </c>
    </row>
    <row r="120" spans="1:14" x14ac:dyDescent="0.25">
      <c r="A120">
        <v>5.1024510000000003</v>
      </c>
      <c r="B120" s="1">
        <f>DATE(2010,5,6) + TIME(2,27,31)</f>
        <v>40304.102442129632</v>
      </c>
      <c r="C120">
        <v>80</v>
      </c>
      <c r="D120">
        <v>79.869850158999995</v>
      </c>
      <c r="E120">
        <v>50</v>
      </c>
      <c r="F120">
        <v>14.994441986</v>
      </c>
      <c r="G120">
        <v>1417.4079589999999</v>
      </c>
      <c r="H120">
        <v>1400.5573730000001</v>
      </c>
      <c r="I120">
        <v>1234.7580565999999</v>
      </c>
      <c r="J120">
        <v>1187.5098877</v>
      </c>
      <c r="K120">
        <v>2875</v>
      </c>
      <c r="L120">
        <v>0</v>
      </c>
      <c r="M120">
        <v>0</v>
      </c>
      <c r="N120">
        <v>2875</v>
      </c>
    </row>
    <row r="121" spans="1:14" x14ac:dyDescent="0.25">
      <c r="A121">
        <v>5.223204</v>
      </c>
      <c r="B121" s="1">
        <f>DATE(2010,5,6) + TIME(5,21,24)</f>
        <v>40304.223194444443</v>
      </c>
      <c r="C121">
        <v>80</v>
      </c>
      <c r="D121">
        <v>79.875701903999996</v>
      </c>
      <c r="E121">
        <v>50</v>
      </c>
      <c r="F121">
        <v>14.994470595999999</v>
      </c>
      <c r="G121">
        <v>1417.2382812000001</v>
      </c>
      <c r="H121">
        <v>1400.3885498</v>
      </c>
      <c r="I121">
        <v>1234.760376</v>
      </c>
      <c r="J121">
        <v>1187.512207</v>
      </c>
      <c r="K121">
        <v>2875</v>
      </c>
      <c r="L121">
        <v>0</v>
      </c>
      <c r="M121">
        <v>0</v>
      </c>
      <c r="N121">
        <v>2875</v>
      </c>
    </row>
    <row r="122" spans="1:14" x14ac:dyDescent="0.25">
      <c r="A122">
        <v>5.3464970000000003</v>
      </c>
      <c r="B122" s="1">
        <f>DATE(2010,5,6) + TIME(8,18,57)</f>
        <v>40304.346493055556</v>
      </c>
      <c r="C122">
        <v>80</v>
      </c>
      <c r="D122">
        <v>79.880783081000004</v>
      </c>
      <c r="E122">
        <v>50</v>
      </c>
      <c r="F122">
        <v>14.994499207</v>
      </c>
      <c r="G122">
        <v>1417.0687256000001</v>
      </c>
      <c r="H122">
        <v>1400.2198486</v>
      </c>
      <c r="I122">
        <v>1234.7626952999999</v>
      </c>
      <c r="J122">
        <v>1187.5145264</v>
      </c>
      <c r="K122">
        <v>2875</v>
      </c>
      <c r="L122">
        <v>0</v>
      </c>
      <c r="M122">
        <v>0</v>
      </c>
      <c r="N122">
        <v>2875</v>
      </c>
    </row>
    <row r="123" spans="1:14" x14ac:dyDescent="0.25">
      <c r="A123">
        <v>5.4725400000000004</v>
      </c>
      <c r="B123" s="1">
        <f>DATE(2010,5,6) + TIME(11,20,27)</f>
        <v>40304.472534722219</v>
      </c>
      <c r="C123">
        <v>80</v>
      </c>
      <c r="D123">
        <v>79.885192871000001</v>
      </c>
      <c r="E123">
        <v>50</v>
      </c>
      <c r="F123">
        <v>14.994526863000001</v>
      </c>
      <c r="G123">
        <v>1416.8992920000001</v>
      </c>
      <c r="H123">
        <v>1400.0513916</v>
      </c>
      <c r="I123">
        <v>1234.7650146000001</v>
      </c>
      <c r="J123">
        <v>1187.5168457</v>
      </c>
      <c r="K123">
        <v>2875</v>
      </c>
      <c r="L123">
        <v>0</v>
      </c>
      <c r="M123">
        <v>0</v>
      </c>
      <c r="N123">
        <v>2875</v>
      </c>
    </row>
    <row r="124" spans="1:14" x14ac:dyDescent="0.25">
      <c r="A124">
        <v>5.6015769999999998</v>
      </c>
      <c r="B124" s="1">
        <f>DATE(2010,5,6) + TIME(14,26,16)</f>
        <v>40304.601574074077</v>
      </c>
      <c r="C124">
        <v>80</v>
      </c>
      <c r="D124">
        <v>79.889022827000005</v>
      </c>
      <c r="E124">
        <v>50</v>
      </c>
      <c r="F124">
        <v>14.994555473</v>
      </c>
      <c r="G124">
        <v>1416.7298584</v>
      </c>
      <c r="H124">
        <v>1399.8828125</v>
      </c>
      <c r="I124">
        <v>1234.7674560999999</v>
      </c>
      <c r="J124">
        <v>1187.5191649999999</v>
      </c>
      <c r="K124">
        <v>2875</v>
      </c>
      <c r="L124">
        <v>0</v>
      </c>
      <c r="M124">
        <v>0</v>
      </c>
      <c r="N124">
        <v>2875</v>
      </c>
    </row>
    <row r="125" spans="1:14" x14ac:dyDescent="0.25">
      <c r="A125">
        <v>5.7338760000000004</v>
      </c>
      <c r="B125" s="1">
        <f>DATE(2010,5,6) + TIME(17,36,46)</f>
        <v>40304.733865740738</v>
      </c>
      <c r="C125">
        <v>80</v>
      </c>
      <c r="D125">
        <v>79.892349242999998</v>
      </c>
      <c r="E125">
        <v>50</v>
      </c>
      <c r="F125">
        <v>14.994584084</v>
      </c>
      <c r="G125">
        <v>1416.5601807</v>
      </c>
      <c r="H125">
        <v>1399.7141113</v>
      </c>
      <c r="I125">
        <v>1234.7698975000001</v>
      </c>
      <c r="J125">
        <v>1187.5216064000001</v>
      </c>
      <c r="K125">
        <v>2875</v>
      </c>
      <c r="L125">
        <v>0</v>
      </c>
      <c r="M125">
        <v>0</v>
      </c>
      <c r="N125">
        <v>2875</v>
      </c>
    </row>
    <row r="126" spans="1:14" x14ac:dyDescent="0.25">
      <c r="A126">
        <v>5.8697299999999997</v>
      </c>
      <c r="B126" s="1">
        <f>DATE(2010,5,6) + TIME(20,52,24)</f>
        <v>40304.869722222225</v>
      </c>
      <c r="C126">
        <v>80</v>
      </c>
      <c r="D126">
        <v>79.895240783999995</v>
      </c>
      <c r="E126">
        <v>50</v>
      </c>
      <c r="F126">
        <v>14.994612694000001</v>
      </c>
      <c r="G126">
        <v>1416.3901367000001</v>
      </c>
      <c r="H126">
        <v>1399.5449219</v>
      </c>
      <c r="I126">
        <v>1234.7724608999999</v>
      </c>
      <c r="J126">
        <v>1187.5241699000001</v>
      </c>
      <c r="K126">
        <v>2875</v>
      </c>
      <c r="L126">
        <v>0</v>
      </c>
      <c r="M126">
        <v>0</v>
      </c>
      <c r="N126">
        <v>2875</v>
      </c>
    </row>
    <row r="127" spans="1:14" x14ac:dyDescent="0.25">
      <c r="A127">
        <v>6.0094649999999996</v>
      </c>
      <c r="B127" s="1">
        <f>DATE(2010,5,7) + TIME(0,13,37)</f>
        <v>40305.009456018517</v>
      </c>
      <c r="C127">
        <v>80</v>
      </c>
      <c r="D127">
        <v>79.897758483999993</v>
      </c>
      <c r="E127">
        <v>50</v>
      </c>
      <c r="F127">
        <v>14.994641304</v>
      </c>
      <c r="G127">
        <v>1416.2192382999999</v>
      </c>
      <c r="H127">
        <v>1399.375</v>
      </c>
      <c r="I127">
        <v>1234.7750243999999</v>
      </c>
      <c r="J127">
        <v>1187.5266113</v>
      </c>
      <c r="K127">
        <v>2875</v>
      </c>
      <c r="L127">
        <v>0</v>
      </c>
      <c r="M127">
        <v>0</v>
      </c>
      <c r="N127">
        <v>2875</v>
      </c>
    </row>
    <row r="128" spans="1:14" x14ac:dyDescent="0.25">
      <c r="A128">
        <v>6.1533709999999999</v>
      </c>
      <c r="B128" s="1">
        <f>DATE(2010,5,7) + TIME(3,40,51)</f>
        <v>40305.153368055559</v>
      </c>
      <c r="C128">
        <v>80</v>
      </c>
      <c r="D128">
        <v>79.899955750000004</v>
      </c>
      <c r="E128">
        <v>50</v>
      </c>
      <c r="F128">
        <v>14.994670868</v>
      </c>
      <c r="G128">
        <v>1416.0472411999999</v>
      </c>
      <c r="H128">
        <v>1399.2041016000001</v>
      </c>
      <c r="I128">
        <v>1234.7777100000001</v>
      </c>
      <c r="J128">
        <v>1187.5292969</v>
      </c>
      <c r="K128">
        <v>2875</v>
      </c>
      <c r="L128">
        <v>0</v>
      </c>
      <c r="M128">
        <v>0</v>
      </c>
      <c r="N128">
        <v>2875</v>
      </c>
    </row>
    <row r="129" spans="1:14" x14ac:dyDescent="0.25">
      <c r="A129">
        <v>6.3016180000000004</v>
      </c>
      <c r="B129" s="1">
        <f>DATE(2010,5,7) + TIME(7,14,19)</f>
        <v>40305.301608796297</v>
      </c>
      <c r="C129">
        <v>80</v>
      </c>
      <c r="D129">
        <v>79.901863098000007</v>
      </c>
      <c r="E129">
        <v>50</v>
      </c>
      <c r="F129">
        <v>14.994700432</v>
      </c>
      <c r="G129">
        <v>1415.8741454999999</v>
      </c>
      <c r="H129">
        <v>1399.0319824000001</v>
      </c>
      <c r="I129">
        <v>1234.7803954999999</v>
      </c>
      <c r="J129">
        <v>1187.5319824000001</v>
      </c>
      <c r="K129">
        <v>2875</v>
      </c>
      <c r="L129">
        <v>0</v>
      </c>
      <c r="M129">
        <v>0</v>
      </c>
      <c r="N129">
        <v>2875</v>
      </c>
    </row>
    <row r="130" spans="1:14" x14ac:dyDescent="0.25">
      <c r="A130">
        <v>6.4543819999999998</v>
      </c>
      <c r="B130" s="1">
        <f>DATE(2010,5,7) + TIME(10,54,18)</f>
        <v>40305.454375000001</v>
      </c>
      <c r="C130">
        <v>80</v>
      </c>
      <c r="D130">
        <v>79.903526306000003</v>
      </c>
      <c r="E130">
        <v>50</v>
      </c>
      <c r="F130">
        <v>14.994729996</v>
      </c>
      <c r="G130">
        <v>1415.6995850000001</v>
      </c>
      <c r="H130">
        <v>1398.8587646000001</v>
      </c>
      <c r="I130">
        <v>1234.7832031</v>
      </c>
      <c r="J130">
        <v>1187.5347899999999</v>
      </c>
      <c r="K130">
        <v>2875</v>
      </c>
      <c r="L130">
        <v>0</v>
      </c>
      <c r="M130">
        <v>0</v>
      </c>
      <c r="N130">
        <v>2875</v>
      </c>
    </row>
    <row r="131" spans="1:14" x14ac:dyDescent="0.25">
      <c r="A131">
        <v>6.6118480000000002</v>
      </c>
      <c r="B131" s="1">
        <f>DATE(2010,5,7) + TIME(14,41,3)</f>
        <v>40305.611840277779</v>
      </c>
      <c r="C131">
        <v>80</v>
      </c>
      <c r="D131">
        <v>79.904975891000007</v>
      </c>
      <c r="E131">
        <v>50</v>
      </c>
      <c r="F131">
        <v>14.99475956</v>
      </c>
      <c r="G131">
        <v>1415.5239257999999</v>
      </c>
      <c r="H131">
        <v>1398.6842041</v>
      </c>
      <c r="I131">
        <v>1234.7861327999999</v>
      </c>
      <c r="J131">
        <v>1187.5375977000001</v>
      </c>
      <c r="K131">
        <v>2875</v>
      </c>
      <c r="L131">
        <v>0</v>
      </c>
      <c r="M131">
        <v>0</v>
      </c>
      <c r="N131">
        <v>2875</v>
      </c>
    </row>
    <row r="132" spans="1:14" x14ac:dyDescent="0.25">
      <c r="A132">
        <v>6.6916820000000001</v>
      </c>
      <c r="B132" s="1">
        <f>DATE(2010,5,7) + TIME(16,36,1)</f>
        <v>40305.691678240742</v>
      </c>
      <c r="C132">
        <v>80</v>
      </c>
      <c r="D132">
        <v>79.905639648000005</v>
      </c>
      <c r="E132">
        <v>50</v>
      </c>
      <c r="F132">
        <v>14.994775772000001</v>
      </c>
      <c r="G132">
        <v>1415.3457031</v>
      </c>
      <c r="H132">
        <v>1398.5061035000001</v>
      </c>
      <c r="I132">
        <v>1234.7885742000001</v>
      </c>
      <c r="J132">
        <v>1187.5400391000001</v>
      </c>
      <c r="K132">
        <v>2875</v>
      </c>
      <c r="L132">
        <v>0</v>
      </c>
      <c r="M132">
        <v>0</v>
      </c>
      <c r="N132">
        <v>2875</v>
      </c>
    </row>
    <row r="133" spans="1:14" x14ac:dyDescent="0.25">
      <c r="A133">
        <v>6.8513510000000002</v>
      </c>
      <c r="B133" s="1">
        <f>DATE(2010,5,7) + TIME(20,25,56)</f>
        <v>40305.851342592592</v>
      </c>
      <c r="C133">
        <v>80</v>
      </c>
      <c r="D133">
        <v>79.906791686999995</v>
      </c>
      <c r="E133">
        <v>50</v>
      </c>
      <c r="F133">
        <v>14.994804382</v>
      </c>
      <c r="G133">
        <v>1415.2575684000001</v>
      </c>
      <c r="H133">
        <v>1398.4199219</v>
      </c>
      <c r="I133">
        <v>1234.7906493999999</v>
      </c>
      <c r="J133">
        <v>1187.5419922000001</v>
      </c>
      <c r="K133">
        <v>2875</v>
      </c>
      <c r="L133">
        <v>0</v>
      </c>
      <c r="M133">
        <v>0</v>
      </c>
      <c r="N133">
        <v>2875</v>
      </c>
    </row>
    <row r="134" spans="1:14" x14ac:dyDescent="0.25">
      <c r="A134">
        <v>7.0110520000000003</v>
      </c>
      <c r="B134" s="1">
        <f>DATE(2010,5,8) + TIME(0,15,54)</f>
        <v>40306.011041666665</v>
      </c>
      <c r="C134">
        <v>80</v>
      </c>
      <c r="D134">
        <v>79.907775878999999</v>
      </c>
      <c r="E134">
        <v>50</v>
      </c>
      <c r="F134">
        <v>14.994832992999999</v>
      </c>
      <c r="G134">
        <v>1415.0847168</v>
      </c>
      <c r="H134">
        <v>1398.2484131000001</v>
      </c>
      <c r="I134">
        <v>1234.7935791</v>
      </c>
      <c r="J134">
        <v>1187.5449219</v>
      </c>
      <c r="K134">
        <v>2875</v>
      </c>
      <c r="L134">
        <v>0</v>
      </c>
      <c r="M134">
        <v>0</v>
      </c>
      <c r="N134">
        <v>2875</v>
      </c>
    </row>
    <row r="135" spans="1:14" x14ac:dyDescent="0.25">
      <c r="A135">
        <v>7.1711200000000002</v>
      </c>
      <c r="B135" s="1">
        <f>DATE(2010,5,8) + TIME(4,6,24)</f>
        <v>40306.171111111114</v>
      </c>
      <c r="C135">
        <v>80</v>
      </c>
      <c r="D135">
        <v>79.908615112000007</v>
      </c>
      <c r="E135">
        <v>50</v>
      </c>
      <c r="F135">
        <v>14.994861603</v>
      </c>
      <c r="G135">
        <v>1414.9147949000001</v>
      </c>
      <c r="H135">
        <v>1398.0799560999999</v>
      </c>
      <c r="I135">
        <v>1234.7965088000001</v>
      </c>
      <c r="J135">
        <v>1187.5478516000001</v>
      </c>
      <c r="K135">
        <v>2875</v>
      </c>
      <c r="L135">
        <v>0</v>
      </c>
      <c r="M135">
        <v>0</v>
      </c>
      <c r="N135">
        <v>2875</v>
      </c>
    </row>
    <row r="136" spans="1:14" x14ac:dyDescent="0.25">
      <c r="A136">
        <v>7.3317819999999996</v>
      </c>
      <c r="B136" s="1">
        <f>DATE(2010,5,8) + TIME(7,57,45)</f>
        <v>40306.331770833334</v>
      </c>
      <c r="C136">
        <v>80</v>
      </c>
      <c r="D136">
        <v>79.909355164000004</v>
      </c>
      <c r="E136">
        <v>50</v>
      </c>
      <c r="F136">
        <v>14.994889259000001</v>
      </c>
      <c r="G136">
        <v>1414.7481689000001</v>
      </c>
      <c r="H136">
        <v>1397.9147949000001</v>
      </c>
      <c r="I136">
        <v>1234.7995605000001</v>
      </c>
      <c r="J136">
        <v>1187.5507812000001</v>
      </c>
      <c r="K136">
        <v>2875</v>
      </c>
      <c r="L136">
        <v>0</v>
      </c>
      <c r="M136">
        <v>0</v>
      </c>
      <c r="N136">
        <v>2875</v>
      </c>
    </row>
    <row r="137" spans="1:14" x14ac:dyDescent="0.25">
      <c r="A137">
        <v>7.49329</v>
      </c>
      <c r="B137" s="1">
        <f>DATE(2010,5,8) + TIME(11,50,20)</f>
        <v>40306.493287037039</v>
      </c>
      <c r="C137">
        <v>80</v>
      </c>
      <c r="D137">
        <v>79.909996032999999</v>
      </c>
      <c r="E137">
        <v>50</v>
      </c>
      <c r="F137">
        <v>14.994916915999999</v>
      </c>
      <c r="G137">
        <v>1414.5843506000001</v>
      </c>
      <c r="H137">
        <v>1397.7526855000001</v>
      </c>
      <c r="I137">
        <v>1234.8024902</v>
      </c>
      <c r="J137">
        <v>1187.5537108999999</v>
      </c>
      <c r="K137">
        <v>2875</v>
      </c>
      <c r="L137">
        <v>0</v>
      </c>
      <c r="M137">
        <v>0</v>
      </c>
      <c r="N137">
        <v>2875</v>
      </c>
    </row>
    <row r="138" spans="1:14" x14ac:dyDescent="0.25">
      <c r="A138">
        <v>7.6559010000000001</v>
      </c>
      <c r="B138" s="1">
        <f>DATE(2010,5,8) + TIME(15,44,29)</f>
        <v>40306.655891203707</v>
      </c>
      <c r="C138">
        <v>80</v>
      </c>
      <c r="D138">
        <v>79.910552979000002</v>
      </c>
      <c r="E138">
        <v>50</v>
      </c>
      <c r="F138">
        <v>14.994944572</v>
      </c>
      <c r="G138">
        <v>1414.4230957</v>
      </c>
      <c r="H138">
        <v>1397.5930175999999</v>
      </c>
      <c r="I138">
        <v>1234.8055420000001</v>
      </c>
      <c r="J138">
        <v>1187.5566406</v>
      </c>
      <c r="K138">
        <v>2875</v>
      </c>
      <c r="L138">
        <v>0</v>
      </c>
      <c r="M138">
        <v>0</v>
      </c>
      <c r="N138">
        <v>2875</v>
      </c>
    </row>
    <row r="139" spans="1:14" x14ac:dyDescent="0.25">
      <c r="A139">
        <v>7.8198540000000003</v>
      </c>
      <c r="B139" s="1">
        <f>DATE(2010,5,8) + TIME(19,40,35)</f>
        <v>40306.819849537038</v>
      </c>
      <c r="C139">
        <v>80</v>
      </c>
      <c r="D139">
        <v>79.911048889</v>
      </c>
      <c r="E139">
        <v>50</v>
      </c>
      <c r="F139">
        <v>14.994971274999999</v>
      </c>
      <c r="G139">
        <v>1414.2640381000001</v>
      </c>
      <c r="H139">
        <v>1397.4356689000001</v>
      </c>
      <c r="I139">
        <v>1234.8085937999999</v>
      </c>
      <c r="J139">
        <v>1187.5595702999999</v>
      </c>
      <c r="K139">
        <v>2875</v>
      </c>
      <c r="L139">
        <v>0</v>
      </c>
      <c r="M139">
        <v>0</v>
      </c>
      <c r="N139">
        <v>2875</v>
      </c>
    </row>
    <row r="140" spans="1:14" x14ac:dyDescent="0.25">
      <c r="A140">
        <v>7.9853940000000003</v>
      </c>
      <c r="B140" s="1">
        <f>DATE(2010,5,8) + TIME(23,38,58)</f>
        <v>40306.985393518517</v>
      </c>
      <c r="C140">
        <v>80</v>
      </c>
      <c r="D140">
        <v>79.911491393999995</v>
      </c>
      <c r="E140">
        <v>50</v>
      </c>
      <c r="F140">
        <v>14.994997978000001</v>
      </c>
      <c r="G140">
        <v>1414.1069336</v>
      </c>
      <c r="H140">
        <v>1397.2803954999999</v>
      </c>
      <c r="I140">
        <v>1234.8115233999999</v>
      </c>
      <c r="J140">
        <v>1187.5625</v>
      </c>
      <c r="K140">
        <v>2875</v>
      </c>
      <c r="L140">
        <v>0</v>
      </c>
      <c r="M140">
        <v>0</v>
      </c>
      <c r="N140">
        <v>2875</v>
      </c>
    </row>
    <row r="141" spans="1:14" x14ac:dyDescent="0.25">
      <c r="A141">
        <v>8.152768</v>
      </c>
      <c r="B141" s="1">
        <f>DATE(2010,5,9) + TIME(3,39,59)</f>
        <v>40307.152766203704</v>
      </c>
      <c r="C141">
        <v>80</v>
      </c>
      <c r="D141">
        <v>79.911888122999997</v>
      </c>
      <c r="E141">
        <v>50</v>
      </c>
      <c r="F141">
        <v>14.995024681</v>
      </c>
      <c r="G141">
        <v>1413.9514160000001</v>
      </c>
      <c r="H141">
        <v>1397.1267089999999</v>
      </c>
      <c r="I141">
        <v>1234.8146973</v>
      </c>
      <c r="J141">
        <v>1187.5655518000001</v>
      </c>
      <c r="K141">
        <v>2875</v>
      </c>
      <c r="L141">
        <v>0</v>
      </c>
      <c r="M141">
        <v>0</v>
      </c>
      <c r="N141">
        <v>2875</v>
      </c>
    </row>
    <row r="142" spans="1:14" x14ac:dyDescent="0.25">
      <c r="A142">
        <v>8.3222310000000004</v>
      </c>
      <c r="B142" s="1">
        <f>DATE(2010,5,9) + TIME(7,44,0)</f>
        <v>40307.322222222225</v>
      </c>
      <c r="C142">
        <v>80</v>
      </c>
      <c r="D142">
        <v>79.912239075000002</v>
      </c>
      <c r="E142">
        <v>50</v>
      </c>
      <c r="F142">
        <v>14.995050429999999</v>
      </c>
      <c r="G142">
        <v>1413.7972411999999</v>
      </c>
      <c r="H142">
        <v>1396.9744873</v>
      </c>
      <c r="I142">
        <v>1234.817749</v>
      </c>
      <c r="J142">
        <v>1187.5686035000001</v>
      </c>
      <c r="K142">
        <v>2875</v>
      </c>
      <c r="L142">
        <v>0</v>
      </c>
      <c r="M142">
        <v>0</v>
      </c>
      <c r="N142">
        <v>2875</v>
      </c>
    </row>
    <row r="143" spans="1:14" x14ac:dyDescent="0.25">
      <c r="A143">
        <v>8.4940470000000001</v>
      </c>
      <c r="B143" s="1">
        <f>DATE(2010,5,9) + TIME(11,51,25)</f>
        <v>40307.494039351855</v>
      </c>
      <c r="C143">
        <v>80</v>
      </c>
      <c r="D143">
        <v>79.912559509000005</v>
      </c>
      <c r="E143">
        <v>50</v>
      </c>
      <c r="F143">
        <v>14.995077133000001</v>
      </c>
      <c r="G143">
        <v>1413.6442870999999</v>
      </c>
      <c r="H143">
        <v>1396.8234863</v>
      </c>
      <c r="I143">
        <v>1234.8209228999999</v>
      </c>
      <c r="J143">
        <v>1187.5716553</v>
      </c>
      <c r="K143">
        <v>2875</v>
      </c>
      <c r="L143">
        <v>0</v>
      </c>
      <c r="M143">
        <v>0</v>
      </c>
      <c r="N143">
        <v>2875</v>
      </c>
    </row>
    <row r="144" spans="1:14" x14ac:dyDescent="0.25">
      <c r="A144">
        <v>8.6684929999999998</v>
      </c>
      <c r="B144" s="1">
        <f>DATE(2010,5,9) + TIME(16,2,37)</f>
        <v>40307.668483796297</v>
      </c>
      <c r="C144">
        <v>80</v>
      </c>
      <c r="D144">
        <v>79.912849425999994</v>
      </c>
      <c r="E144">
        <v>50</v>
      </c>
      <c r="F144">
        <v>14.995102881999999</v>
      </c>
      <c r="G144">
        <v>1413.4921875</v>
      </c>
      <c r="H144">
        <v>1396.6733397999999</v>
      </c>
      <c r="I144">
        <v>1234.8240966999999</v>
      </c>
      <c r="J144">
        <v>1187.5748291</v>
      </c>
      <c r="K144">
        <v>2875</v>
      </c>
      <c r="L144">
        <v>0</v>
      </c>
      <c r="M144">
        <v>0</v>
      </c>
      <c r="N144">
        <v>2875</v>
      </c>
    </row>
    <row r="145" spans="1:14" x14ac:dyDescent="0.25">
      <c r="A145">
        <v>8.8454080000000008</v>
      </c>
      <c r="B145" s="1">
        <f>DATE(2010,5,9) + TIME(20,17,23)</f>
        <v>40307.845405092594</v>
      </c>
      <c r="C145">
        <v>80</v>
      </c>
      <c r="D145">
        <v>79.913108825999998</v>
      </c>
      <c r="E145">
        <v>50</v>
      </c>
      <c r="F145">
        <v>14.995128632</v>
      </c>
      <c r="G145">
        <v>1413.3406981999999</v>
      </c>
      <c r="H145">
        <v>1396.5239257999999</v>
      </c>
      <c r="I145">
        <v>1234.8272704999999</v>
      </c>
      <c r="J145">
        <v>1187.5780029</v>
      </c>
      <c r="K145">
        <v>2875</v>
      </c>
      <c r="L145">
        <v>0</v>
      </c>
      <c r="M145">
        <v>0</v>
      </c>
      <c r="N145">
        <v>2875</v>
      </c>
    </row>
    <row r="146" spans="1:14" x14ac:dyDescent="0.25">
      <c r="A146">
        <v>9.0250540000000008</v>
      </c>
      <c r="B146" s="1">
        <f>DATE(2010,5,10) + TIME(0,36,4)</f>
        <v>40308.025046296294</v>
      </c>
      <c r="C146">
        <v>80</v>
      </c>
      <c r="D146">
        <v>79.913345336999996</v>
      </c>
      <c r="E146">
        <v>50</v>
      </c>
      <c r="F146">
        <v>14.995155334</v>
      </c>
      <c r="G146">
        <v>1413.1899414</v>
      </c>
      <c r="H146">
        <v>1396.3754882999999</v>
      </c>
      <c r="I146">
        <v>1234.8305664</v>
      </c>
      <c r="J146">
        <v>1187.5811768000001</v>
      </c>
      <c r="K146">
        <v>2875</v>
      </c>
      <c r="L146">
        <v>0</v>
      </c>
      <c r="M146">
        <v>0</v>
      </c>
      <c r="N146">
        <v>2875</v>
      </c>
    </row>
    <row r="147" spans="1:14" x14ac:dyDescent="0.25">
      <c r="A147">
        <v>9.2077620000000007</v>
      </c>
      <c r="B147" s="1">
        <f>DATE(2010,5,10) + TIME(4,59,10)</f>
        <v>40308.207754629628</v>
      </c>
      <c r="C147">
        <v>80</v>
      </c>
      <c r="D147">
        <v>79.913558960000003</v>
      </c>
      <c r="E147">
        <v>50</v>
      </c>
      <c r="F147">
        <v>14.995181084</v>
      </c>
      <c r="G147">
        <v>1413.0397949000001</v>
      </c>
      <c r="H147">
        <v>1396.2276611</v>
      </c>
      <c r="I147">
        <v>1234.8339844</v>
      </c>
      <c r="J147">
        <v>1187.5844727000001</v>
      </c>
      <c r="K147">
        <v>2875</v>
      </c>
      <c r="L147">
        <v>0</v>
      </c>
      <c r="M147">
        <v>0</v>
      </c>
      <c r="N147">
        <v>2875</v>
      </c>
    </row>
    <row r="148" spans="1:14" x14ac:dyDescent="0.25">
      <c r="A148">
        <v>9.3938520000000008</v>
      </c>
      <c r="B148" s="1">
        <f>DATE(2010,5,10) + TIME(9,27,8)</f>
        <v>40308.393842592595</v>
      </c>
      <c r="C148">
        <v>80</v>
      </c>
      <c r="D148">
        <v>79.913757324000002</v>
      </c>
      <c r="E148">
        <v>50</v>
      </c>
      <c r="F148">
        <v>14.995206832999999</v>
      </c>
      <c r="G148">
        <v>1412.8900146000001</v>
      </c>
      <c r="H148">
        <v>1396.0802002</v>
      </c>
      <c r="I148">
        <v>1234.8372803</v>
      </c>
      <c r="J148">
        <v>1187.5877685999999</v>
      </c>
      <c r="K148">
        <v>2875</v>
      </c>
      <c r="L148">
        <v>0</v>
      </c>
      <c r="M148">
        <v>0</v>
      </c>
      <c r="N148">
        <v>2875</v>
      </c>
    </row>
    <row r="149" spans="1:14" x14ac:dyDescent="0.25">
      <c r="A149">
        <v>9.5836159999999992</v>
      </c>
      <c r="B149" s="1">
        <f>DATE(2010,5,10) + TIME(14,0,24)</f>
        <v>40308.583611111113</v>
      </c>
      <c r="C149">
        <v>80</v>
      </c>
      <c r="D149">
        <v>79.913940429999997</v>
      </c>
      <c r="E149">
        <v>50</v>
      </c>
      <c r="F149">
        <v>14.995232582</v>
      </c>
      <c r="G149">
        <v>1412.7404785000001</v>
      </c>
      <c r="H149">
        <v>1395.9329834</v>
      </c>
      <c r="I149">
        <v>1234.8406981999999</v>
      </c>
      <c r="J149">
        <v>1187.5911865</v>
      </c>
      <c r="K149">
        <v>2875</v>
      </c>
      <c r="L149">
        <v>0</v>
      </c>
      <c r="M149">
        <v>0</v>
      </c>
      <c r="N149">
        <v>2875</v>
      </c>
    </row>
    <row r="150" spans="1:14" x14ac:dyDescent="0.25">
      <c r="A150">
        <v>9.7774079999999994</v>
      </c>
      <c r="B150" s="1">
        <f>DATE(2010,5,10) + TIME(18,39,28)</f>
        <v>40308.777407407404</v>
      </c>
      <c r="C150">
        <v>80</v>
      </c>
      <c r="D150">
        <v>79.914100646999998</v>
      </c>
      <c r="E150">
        <v>50</v>
      </c>
      <c r="F150">
        <v>14.995258331</v>
      </c>
      <c r="G150">
        <v>1412.5906981999999</v>
      </c>
      <c r="H150">
        <v>1395.7857666</v>
      </c>
      <c r="I150">
        <v>1234.8442382999999</v>
      </c>
      <c r="J150">
        <v>1187.5946045000001</v>
      </c>
      <c r="K150">
        <v>2875</v>
      </c>
      <c r="L150">
        <v>0</v>
      </c>
      <c r="M150">
        <v>0</v>
      </c>
      <c r="N150">
        <v>2875</v>
      </c>
    </row>
    <row r="151" spans="1:14" x14ac:dyDescent="0.25">
      <c r="A151">
        <v>9.9756199999999993</v>
      </c>
      <c r="B151" s="1">
        <f>DATE(2010,5,10) + TIME(23,24,53)</f>
        <v>40308.975613425922</v>
      </c>
      <c r="C151">
        <v>80</v>
      </c>
      <c r="D151">
        <v>79.914253235000004</v>
      </c>
      <c r="E151">
        <v>50</v>
      </c>
      <c r="F151">
        <v>14.995284080999999</v>
      </c>
      <c r="G151">
        <v>1412.4406738</v>
      </c>
      <c r="H151">
        <v>1395.6383057</v>
      </c>
      <c r="I151">
        <v>1234.8479004000001</v>
      </c>
      <c r="J151">
        <v>1187.5981445</v>
      </c>
      <c r="K151">
        <v>2875</v>
      </c>
      <c r="L151">
        <v>0</v>
      </c>
      <c r="M151">
        <v>0</v>
      </c>
      <c r="N151">
        <v>2875</v>
      </c>
    </row>
    <row r="152" spans="1:14" x14ac:dyDescent="0.25">
      <c r="A152">
        <v>10.178680999999999</v>
      </c>
      <c r="B152" s="1">
        <f>DATE(2010,5,11) + TIME(4,17,18)</f>
        <v>40309.178680555553</v>
      </c>
      <c r="C152">
        <v>80</v>
      </c>
      <c r="D152">
        <v>79.914398192999997</v>
      </c>
      <c r="E152">
        <v>50</v>
      </c>
      <c r="F152">
        <v>14.99530983</v>
      </c>
      <c r="G152">
        <v>1412.2902832</v>
      </c>
      <c r="H152">
        <v>1395.4904785000001</v>
      </c>
      <c r="I152">
        <v>1234.8515625</v>
      </c>
      <c r="J152">
        <v>1187.6016846</v>
      </c>
      <c r="K152">
        <v>2875</v>
      </c>
      <c r="L152">
        <v>0</v>
      </c>
      <c r="M152">
        <v>0</v>
      </c>
      <c r="N152">
        <v>2875</v>
      </c>
    </row>
    <row r="153" spans="1:14" x14ac:dyDescent="0.25">
      <c r="A153">
        <v>10.386658000000001</v>
      </c>
      <c r="B153" s="1">
        <f>DATE(2010,5,11) + TIME(9,16,47)</f>
        <v>40309.386655092596</v>
      </c>
      <c r="C153">
        <v>80</v>
      </c>
      <c r="D153">
        <v>79.914527892999999</v>
      </c>
      <c r="E153">
        <v>50</v>
      </c>
      <c r="F153">
        <v>14.995336533</v>
      </c>
      <c r="G153">
        <v>1412.1390381000001</v>
      </c>
      <c r="H153">
        <v>1395.3420410000001</v>
      </c>
      <c r="I153">
        <v>1234.8552245999999</v>
      </c>
      <c r="J153">
        <v>1187.6053466999999</v>
      </c>
      <c r="K153">
        <v>2875</v>
      </c>
      <c r="L153">
        <v>0</v>
      </c>
      <c r="M153">
        <v>0</v>
      </c>
      <c r="N153">
        <v>2875</v>
      </c>
    </row>
    <row r="154" spans="1:14" x14ac:dyDescent="0.25">
      <c r="A154">
        <v>10.599667</v>
      </c>
      <c r="B154" s="1">
        <f>DATE(2010,5,11) + TIME(14,23,31)</f>
        <v>40309.599664351852</v>
      </c>
      <c r="C154">
        <v>80</v>
      </c>
      <c r="D154">
        <v>79.914649963000002</v>
      </c>
      <c r="E154">
        <v>50</v>
      </c>
      <c r="F154">
        <v>14.995362282</v>
      </c>
      <c r="G154">
        <v>1411.9870605000001</v>
      </c>
      <c r="H154">
        <v>1395.1928711</v>
      </c>
      <c r="I154">
        <v>1234.8591309000001</v>
      </c>
      <c r="J154">
        <v>1187.6091309000001</v>
      </c>
      <c r="K154">
        <v>2875</v>
      </c>
      <c r="L154">
        <v>0</v>
      </c>
      <c r="M154">
        <v>0</v>
      </c>
      <c r="N154">
        <v>2875</v>
      </c>
    </row>
    <row r="155" spans="1:14" x14ac:dyDescent="0.25">
      <c r="A155">
        <v>10.817854000000001</v>
      </c>
      <c r="B155" s="1">
        <f>DATE(2010,5,11) + TIME(19,37,42)</f>
        <v>40309.817847222221</v>
      </c>
      <c r="C155">
        <v>80</v>
      </c>
      <c r="D155">
        <v>79.914764403999996</v>
      </c>
      <c r="E155">
        <v>50</v>
      </c>
      <c r="F155">
        <v>14.995388985</v>
      </c>
      <c r="G155">
        <v>1411.8344727000001</v>
      </c>
      <c r="H155">
        <v>1395.0432129000001</v>
      </c>
      <c r="I155">
        <v>1234.8630370999999</v>
      </c>
      <c r="J155">
        <v>1187.6130370999999</v>
      </c>
      <c r="K155">
        <v>2875</v>
      </c>
      <c r="L155">
        <v>0</v>
      </c>
      <c r="M155">
        <v>0</v>
      </c>
      <c r="N155">
        <v>2875</v>
      </c>
    </row>
    <row r="156" spans="1:14" x14ac:dyDescent="0.25">
      <c r="A156">
        <v>11.038729</v>
      </c>
      <c r="B156" s="1">
        <f>DATE(2010,5,12) + TIME(0,55,46)</f>
        <v>40310.038726851853</v>
      </c>
      <c r="C156">
        <v>80</v>
      </c>
      <c r="D156">
        <v>79.914863585999996</v>
      </c>
      <c r="E156">
        <v>50</v>
      </c>
      <c r="F156">
        <v>14.995414734000001</v>
      </c>
      <c r="G156">
        <v>1411.6811522999999</v>
      </c>
      <c r="H156">
        <v>1394.8929443</v>
      </c>
      <c r="I156">
        <v>1234.8670654</v>
      </c>
      <c r="J156">
        <v>1187.6169434000001</v>
      </c>
      <c r="K156">
        <v>2875</v>
      </c>
      <c r="L156">
        <v>0</v>
      </c>
      <c r="M156">
        <v>0</v>
      </c>
      <c r="N156">
        <v>2875</v>
      </c>
    </row>
    <row r="157" spans="1:14" x14ac:dyDescent="0.25">
      <c r="A157">
        <v>11.259816000000001</v>
      </c>
      <c r="B157" s="1">
        <f>DATE(2010,5,12) + TIME(6,14,8)</f>
        <v>40310.259814814817</v>
      </c>
      <c r="C157">
        <v>80</v>
      </c>
      <c r="D157">
        <v>79.914955139</v>
      </c>
      <c r="E157">
        <v>50</v>
      </c>
      <c r="F157">
        <v>14.995441437</v>
      </c>
      <c r="G157">
        <v>1411.5288086</v>
      </c>
      <c r="H157">
        <v>1394.7437743999999</v>
      </c>
      <c r="I157">
        <v>1234.8710937999999</v>
      </c>
      <c r="J157">
        <v>1187.6208495999999</v>
      </c>
      <c r="K157">
        <v>2875</v>
      </c>
      <c r="L157">
        <v>0</v>
      </c>
      <c r="M157">
        <v>0</v>
      </c>
      <c r="N157">
        <v>2875</v>
      </c>
    </row>
    <row r="158" spans="1:14" x14ac:dyDescent="0.25">
      <c r="A158">
        <v>11.481425</v>
      </c>
      <c r="B158" s="1">
        <f>DATE(2010,5,12) + TIME(11,33,15)</f>
        <v>40310.481423611112</v>
      </c>
      <c r="C158">
        <v>80</v>
      </c>
      <c r="D158">
        <v>79.915039062000005</v>
      </c>
      <c r="E158">
        <v>50</v>
      </c>
      <c r="F158">
        <v>14.995466232</v>
      </c>
      <c r="G158">
        <v>1411.3792725000001</v>
      </c>
      <c r="H158">
        <v>1394.5972899999999</v>
      </c>
      <c r="I158">
        <v>1234.8752440999999</v>
      </c>
      <c r="J158">
        <v>1187.6248779</v>
      </c>
      <c r="K158">
        <v>2875</v>
      </c>
      <c r="L158">
        <v>0</v>
      </c>
      <c r="M158">
        <v>0</v>
      </c>
      <c r="N158">
        <v>2875</v>
      </c>
    </row>
    <row r="159" spans="1:14" x14ac:dyDescent="0.25">
      <c r="A159">
        <v>11.703954</v>
      </c>
      <c r="B159" s="1">
        <f>DATE(2010,5,12) + TIME(16,53,41)</f>
        <v>40310.703946759262</v>
      </c>
      <c r="C159">
        <v>80</v>
      </c>
      <c r="D159">
        <v>79.915115356000001</v>
      </c>
      <c r="E159">
        <v>50</v>
      </c>
      <c r="F159">
        <v>14.995491982000001</v>
      </c>
      <c r="G159">
        <v>1411.2321777</v>
      </c>
      <c r="H159">
        <v>1394.4533690999999</v>
      </c>
      <c r="I159">
        <v>1234.8792725000001</v>
      </c>
      <c r="J159">
        <v>1187.6289062000001</v>
      </c>
      <c r="K159">
        <v>2875</v>
      </c>
      <c r="L159">
        <v>0</v>
      </c>
      <c r="M159">
        <v>0</v>
      </c>
      <c r="N159">
        <v>2875</v>
      </c>
    </row>
    <row r="160" spans="1:14" x14ac:dyDescent="0.25">
      <c r="A160">
        <v>11.92775</v>
      </c>
      <c r="B160" s="1">
        <f>DATE(2010,5,12) + TIME(22,15,57)</f>
        <v>40310.927743055552</v>
      </c>
      <c r="C160">
        <v>80</v>
      </c>
      <c r="D160">
        <v>79.915184021000002</v>
      </c>
      <c r="E160">
        <v>50</v>
      </c>
      <c r="F160">
        <v>14.995516777000001</v>
      </c>
      <c r="G160">
        <v>1411.0871582</v>
      </c>
      <c r="H160">
        <v>1394.3115233999999</v>
      </c>
      <c r="I160">
        <v>1234.8834228999999</v>
      </c>
      <c r="J160">
        <v>1187.6329346</v>
      </c>
      <c r="K160">
        <v>2875</v>
      </c>
      <c r="L160">
        <v>0</v>
      </c>
      <c r="M160">
        <v>0</v>
      </c>
      <c r="N160">
        <v>2875</v>
      </c>
    </row>
    <row r="161" spans="1:14" x14ac:dyDescent="0.25">
      <c r="A161">
        <v>12.153159</v>
      </c>
      <c r="B161" s="1">
        <f>DATE(2010,5,13) + TIME(3,40,32)</f>
        <v>40311.153148148151</v>
      </c>
      <c r="C161">
        <v>80</v>
      </c>
      <c r="D161">
        <v>79.915252686000002</v>
      </c>
      <c r="E161">
        <v>50</v>
      </c>
      <c r="F161">
        <v>14.995541573000001</v>
      </c>
      <c r="G161">
        <v>1410.9439697</v>
      </c>
      <c r="H161">
        <v>1394.1716309000001</v>
      </c>
      <c r="I161">
        <v>1234.8875731999999</v>
      </c>
      <c r="J161">
        <v>1187.6369629000001</v>
      </c>
      <c r="K161">
        <v>2875</v>
      </c>
      <c r="L161">
        <v>0</v>
      </c>
      <c r="M161">
        <v>0</v>
      </c>
      <c r="N161">
        <v>2875</v>
      </c>
    </row>
    <row r="162" spans="1:14" x14ac:dyDescent="0.25">
      <c r="A162">
        <v>12.380528999999999</v>
      </c>
      <c r="B162" s="1">
        <f>DATE(2010,5,13) + TIME(9,7,57)</f>
        <v>40311.380520833336</v>
      </c>
      <c r="C162">
        <v>80</v>
      </c>
      <c r="D162">
        <v>79.915313721000004</v>
      </c>
      <c r="E162">
        <v>50</v>
      </c>
      <c r="F162">
        <v>14.995566368</v>
      </c>
      <c r="G162">
        <v>1410.8023682</v>
      </c>
      <c r="H162">
        <v>1394.0333252</v>
      </c>
      <c r="I162">
        <v>1234.8917236</v>
      </c>
      <c r="J162">
        <v>1187.6409911999999</v>
      </c>
      <c r="K162">
        <v>2875</v>
      </c>
      <c r="L162">
        <v>0</v>
      </c>
      <c r="M162">
        <v>0</v>
      </c>
      <c r="N162">
        <v>2875</v>
      </c>
    </row>
    <row r="163" spans="1:14" x14ac:dyDescent="0.25">
      <c r="A163">
        <v>12.610213999999999</v>
      </c>
      <c r="B163" s="1">
        <f>DATE(2010,5,13) + TIME(14,38,42)</f>
        <v>40311.610208333332</v>
      </c>
      <c r="C163">
        <v>80</v>
      </c>
      <c r="D163">
        <v>79.915367126000007</v>
      </c>
      <c r="E163">
        <v>50</v>
      </c>
      <c r="F163">
        <v>14.995591164</v>
      </c>
      <c r="G163">
        <v>1410.6621094</v>
      </c>
      <c r="H163">
        <v>1393.8962402</v>
      </c>
      <c r="I163">
        <v>1234.895874</v>
      </c>
      <c r="J163">
        <v>1187.6450195</v>
      </c>
      <c r="K163">
        <v>2875</v>
      </c>
      <c r="L163">
        <v>0</v>
      </c>
      <c r="M163">
        <v>0</v>
      </c>
      <c r="N163">
        <v>2875</v>
      </c>
    </row>
    <row r="164" spans="1:14" x14ac:dyDescent="0.25">
      <c r="A164">
        <v>12.84253</v>
      </c>
      <c r="B164" s="1">
        <f>DATE(2010,5,13) + TIME(20,13,14)</f>
        <v>40311.842523148145</v>
      </c>
      <c r="C164">
        <v>80</v>
      </c>
      <c r="D164">
        <v>79.915420531999999</v>
      </c>
      <c r="E164">
        <v>50</v>
      </c>
      <c r="F164">
        <v>14.995615004999999</v>
      </c>
      <c r="G164">
        <v>1410.5229492000001</v>
      </c>
      <c r="H164">
        <v>1393.760376</v>
      </c>
      <c r="I164">
        <v>1234.9001464999999</v>
      </c>
      <c r="J164">
        <v>1187.6491699000001</v>
      </c>
      <c r="K164">
        <v>2875</v>
      </c>
      <c r="L164">
        <v>0</v>
      </c>
      <c r="M164">
        <v>0</v>
      </c>
      <c r="N164">
        <v>2875</v>
      </c>
    </row>
    <row r="165" spans="1:14" x14ac:dyDescent="0.25">
      <c r="A165">
        <v>13.077094000000001</v>
      </c>
      <c r="B165" s="1">
        <f>DATE(2010,5,14) + TIME(1,51,0)</f>
        <v>40312.07708333333</v>
      </c>
      <c r="C165">
        <v>80</v>
      </c>
      <c r="D165">
        <v>79.915473938000005</v>
      </c>
      <c r="E165">
        <v>50</v>
      </c>
      <c r="F165">
        <v>14.995638847</v>
      </c>
      <c r="G165">
        <v>1410.3845214999999</v>
      </c>
      <c r="H165">
        <v>1393.6253661999999</v>
      </c>
      <c r="I165">
        <v>1234.9044189000001</v>
      </c>
      <c r="J165">
        <v>1187.6534423999999</v>
      </c>
      <c r="K165">
        <v>2875</v>
      </c>
      <c r="L165">
        <v>0</v>
      </c>
      <c r="M165">
        <v>0</v>
      </c>
      <c r="N165">
        <v>2875</v>
      </c>
    </row>
    <row r="166" spans="1:14" x14ac:dyDescent="0.25">
      <c r="A166">
        <v>13.314261</v>
      </c>
      <c r="B166" s="1">
        <f>DATE(2010,5,14) + TIME(7,32,32)</f>
        <v>40312.314259259256</v>
      </c>
      <c r="C166">
        <v>80</v>
      </c>
      <c r="D166">
        <v>79.915519713999998</v>
      </c>
      <c r="E166">
        <v>50</v>
      </c>
      <c r="F166">
        <v>14.995662689</v>
      </c>
      <c r="G166">
        <v>1410.2473144999999</v>
      </c>
      <c r="H166">
        <v>1393.4915771000001</v>
      </c>
      <c r="I166">
        <v>1234.9088135</v>
      </c>
      <c r="J166">
        <v>1187.6577147999999</v>
      </c>
      <c r="K166">
        <v>2875</v>
      </c>
      <c r="L166">
        <v>0</v>
      </c>
      <c r="M166">
        <v>0</v>
      </c>
      <c r="N166">
        <v>2875</v>
      </c>
    </row>
    <row r="167" spans="1:14" x14ac:dyDescent="0.25">
      <c r="A167">
        <v>13.554387999999999</v>
      </c>
      <c r="B167" s="1">
        <f>DATE(2010,5,14) + TIME(13,18,19)</f>
        <v>40312.554386574076</v>
      </c>
      <c r="C167">
        <v>80</v>
      </c>
      <c r="D167">
        <v>79.915565490999995</v>
      </c>
      <c r="E167">
        <v>50</v>
      </c>
      <c r="F167">
        <v>14.995686531</v>
      </c>
      <c r="G167">
        <v>1410.1108397999999</v>
      </c>
      <c r="H167">
        <v>1393.3586425999999</v>
      </c>
      <c r="I167">
        <v>1234.9132079999999</v>
      </c>
      <c r="J167">
        <v>1187.6619873</v>
      </c>
      <c r="K167">
        <v>2875</v>
      </c>
      <c r="L167">
        <v>0</v>
      </c>
      <c r="M167">
        <v>0</v>
      </c>
      <c r="N167">
        <v>2875</v>
      </c>
    </row>
    <row r="168" spans="1:14" x14ac:dyDescent="0.25">
      <c r="A168">
        <v>13.797851</v>
      </c>
      <c r="B168" s="1">
        <f>DATE(2010,5,14) + TIME(19,8,54)</f>
        <v>40312.797847222224</v>
      </c>
      <c r="C168">
        <v>80</v>
      </c>
      <c r="D168">
        <v>79.915603637999993</v>
      </c>
      <c r="E168">
        <v>50</v>
      </c>
      <c r="F168">
        <v>14.995710373</v>
      </c>
      <c r="G168">
        <v>1409.9750977000001</v>
      </c>
      <c r="H168">
        <v>1393.2264404</v>
      </c>
      <c r="I168">
        <v>1234.9176024999999</v>
      </c>
      <c r="J168">
        <v>1187.6662598</v>
      </c>
      <c r="K168">
        <v>2875</v>
      </c>
      <c r="L168">
        <v>0</v>
      </c>
      <c r="M168">
        <v>0</v>
      </c>
      <c r="N168">
        <v>2875</v>
      </c>
    </row>
    <row r="169" spans="1:14" x14ac:dyDescent="0.25">
      <c r="A169">
        <v>14.045121999999999</v>
      </c>
      <c r="B169" s="1">
        <f>DATE(2010,5,15) + TIME(1,4,58)</f>
        <v>40313.045115740744</v>
      </c>
      <c r="C169">
        <v>80</v>
      </c>
      <c r="D169">
        <v>79.915641785000005</v>
      </c>
      <c r="E169">
        <v>50</v>
      </c>
      <c r="F169">
        <v>14.995734215000001</v>
      </c>
      <c r="G169">
        <v>1409.8398437999999</v>
      </c>
      <c r="H169">
        <v>1393.0947266000001</v>
      </c>
      <c r="I169">
        <v>1234.9221190999999</v>
      </c>
      <c r="J169">
        <v>1187.6707764</v>
      </c>
      <c r="K169">
        <v>2875</v>
      </c>
      <c r="L169">
        <v>0</v>
      </c>
      <c r="M169">
        <v>0</v>
      </c>
      <c r="N169">
        <v>2875</v>
      </c>
    </row>
    <row r="170" spans="1:14" x14ac:dyDescent="0.25">
      <c r="A170">
        <v>14.296583</v>
      </c>
      <c r="B170" s="1">
        <f>DATE(2010,5,15) + TIME(7,7,4)</f>
        <v>40313.296574074076</v>
      </c>
      <c r="C170">
        <v>80</v>
      </c>
      <c r="D170">
        <v>79.915679932000003</v>
      </c>
      <c r="E170">
        <v>50</v>
      </c>
      <c r="F170">
        <v>14.995758057</v>
      </c>
      <c r="G170">
        <v>1409.7047118999999</v>
      </c>
      <c r="H170">
        <v>1392.9632568</v>
      </c>
      <c r="I170">
        <v>1234.9267577999999</v>
      </c>
      <c r="J170">
        <v>1187.6751709</v>
      </c>
      <c r="K170">
        <v>2875</v>
      </c>
      <c r="L170">
        <v>0</v>
      </c>
      <c r="M170">
        <v>0</v>
      </c>
      <c r="N170">
        <v>2875</v>
      </c>
    </row>
    <row r="171" spans="1:14" x14ac:dyDescent="0.25">
      <c r="A171">
        <v>14.552645</v>
      </c>
      <c r="B171" s="1">
        <f>DATE(2010,5,15) + TIME(13,15,48)</f>
        <v>40313.55263888889</v>
      </c>
      <c r="C171">
        <v>80</v>
      </c>
      <c r="D171">
        <v>79.915718079000001</v>
      </c>
      <c r="E171">
        <v>50</v>
      </c>
      <c r="F171">
        <v>14.995781898000001</v>
      </c>
      <c r="G171">
        <v>1409.5697021000001</v>
      </c>
      <c r="H171">
        <v>1392.8319091999999</v>
      </c>
      <c r="I171">
        <v>1234.9313964999999</v>
      </c>
      <c r="J171">
        <v>1187.6798096</v>
      </c>
      <c r="K171">
        <v>2875</v>
      </c>
      <c r="L171">
        <v>0</v>
      </c>
      <c r="M171">
        <v>0</v>
      </c>
      <c r="N171">
        <v>2875</v>
      </c>
    </row>
    <row r="172" spans="1:14" x14ac:dyDescent="0.25">
      <c r="A172">
        <v>14.813789</v>
      </c>
      <c r="B172" s="1">
        <f>DATE(2010,5,15) + TIME(19,31,51)</f>
        <v>40313.813784722224</v>
      </c>
      <c r="C172">
        <v>80</v>
      </c>
      <c r="D172">
        <v>79.915756225999999</v>
      </c>
      <c r="E172">
        <v>50</v>
      </c>
      <c r="F172">
        <v>14.99580574</v>
      </c>
      <c r="G172">
        <v>1409.4345702999999</v>
      </c>
      <c r="H172">
        <v>1392.7005615</v>
      </c>
      <c r="I172">
        <v>1234.9361572</v>
      </c>
      <c r="J172">
        <v>1187.6844481999999</v>
      </c>
      <c r="K172">
        <v>2875</v>
      </c>
      <c r="L172">
        <v>0</v>
      </c>
      <c r="M172">
        <v>0</v>
      </c>
      <c r="N172">
        <v>2875</v>
      </c>
    </row>
    <row r="173" spans="1:14" x14ac:dyDescent="0.25">
      <c r="A173">
        <v>15.080539999999999</v>
      </c>
      <c r="B173" s="1">
        <f>DATE(2010,5,16) + TIME(1,55,58)</f>
        <v>40314.08053240741</v>
      </c>
      <c r="C173">
        <v>80</v>
      </c>
      <c r="D173">
        <v>79.915786742999998</v>
      </c>
      <c r="E173">
        <v>50</v>
      </c>
      <c r="F173">
        <v>14.995829582000001</v>
      </c>
      <c r="G173">
        <v>1409.2990723</v>
      </c>
      <c r="H173">
        <v>1392.5688477000001</v>
      </c>
      <c r="I173">
        <v>1234.9410399999999</v>
      </c>
      <c r="J173">
        <v>1187.6892089999999</v>
      </c>
      <c r="K173">
        <v>2875</v>
      </c>
      <c r="L173">
        <v>0</v>
      </c>
      <c r="M173">
        <v>0</v>
      </c>
      <c r="N173">
        <v>2875</v>
      </c>
    </row>
    <row r="174" spans="1:14" x14ac:dyDescent="0.25">
      <c r="A174">
        <v>15.353059999999999</v>
      </c>
      <c r="B174" s="1">
        <f>DATE(2010,5,16) + TIME(8,28,24)</f>
        <v>40314.353055555555</v>
      </c>
      <c r="C174">
        <v>80</v>
      </c>
      <c r="D174">
        <v>79.915824889999996</v>
      </c>
      <c r="E174">
        <v>50</v>
      </c>
      <c r="F174">
        <v>14.995853424</v>
      </c>
      <c r="G174">
        <v>1409.1629639</v>
      </c>
      <c r="H174">
        <v>1392.4366454999999</v>
      </c>
      <c r="I174">
        <v>1234.9460449000001</v>
      </c>
      <c r="J174">
        <v>1187.6940918</v>
      </c>
      <c r="K174">
        <v>2875</v>
      </c>
      <c r="L174">
        <v>0</v>
      </c>
      <c r="M174">
        <v>0</v>
      </c>
      <c r="N174">
        <v>2875</v>
      </c>
    </row>
    <row r="175" spans="1:14" x14ac:dyDescent="0.25">
      <c r="A175">
        <v>15.631296000000001</v>
      </c>
      <c r="B175" s="1">
        <f>DATE(2010,5,16) + TIME(15,9,3)</f>
        <v>40314.631284722222</v>
      </c>
      <c r="C175">
        <v>80</v>
      </c>
      <c r="D175">
        <v>79.915855407999999</v>
      </c>
      <c r="E175">
        <v>50</v>
      </c>
      <c r="F175">
        <v>14.995877266000001</v>
      </c>
      <c r="G175">
        <v>1409.0262451000001</v>
      </c>
      <c r="H175">
        <v>1392.3040771000001</v>
      </c>
      <c r="I175">
        <v>1234.9511719</v>
      </c>
      <c r="J175">
        <v>1187.6989745999999</v>
      </c>
      <c r="K175">
        <v>2875</v>
      </c>
      <c r="L175">
        <v>0</v>
      </c>
      <c r="M175">
        <v>0</v>
      </c>
      <c r="N175">
        <v>2875</v>
      </c>
    </row>
    <row r="176" spans="1:14" x14ac:dyDescent="0.25">
      <c r="A176">
        <v>15.915319</v>
      </c>
      <c r="B176" s="1">
        <f>DATE(2010,5,16) + TIME(21,58,3)</f>
        <v>40314.915312500001</v>
      </c>
      <c r="C176">
        <v>80</v>
      </c>
      <c r="D176">
        <v>79.915885924999998</v>
      </c>
      <c r="E176">
        <v>50</v>
      </c>
      <c r="F176">
        <v>14.995901108</v>
      </c>
      <c r="G176">
        <v>1408.8891602000001</v>
      </c>
      <c r="H176">
        <v>1392.1710204999999</v>
      </c>
      <c r="I176">
        <v>1234.9564209</v>
      </c>
      <c r="J176">
        <v>1187.7041016000001</v>
      </c>
      <c r="K176">
        <v>2875</v>
      </c>
      <c r="L176">
        <v>0</v>
      </c>
      <c r="M176">
        <v>0</v>
      </c>
      <c r="N176">
        <v>2875</v>
      </c>
    </row>
    <row r="177" spans="1:14" x14ac:dyDescent="0.25">
      <c r="A177">
        <v>16.201225000000001</v>
      </c>
      <c r="B177" s="1">
        <f>DATE(2010,5,17) + TIME(4,49,45)</f>
        <v>40315.201215277775</v>
      </c>
      <c r="C177">
        <v>80</v>
      </c>
      <c r="D177">
        <v>79.915916443</v>
      </c>
      <c r="E177">
        <v>50</v>
      </c>
      <c r="F177">
        <v>14.995924949999999</v>
      </c>
      <c r="G177">
        <v>1408.7515868999999</v>
      </c>
      <c r="H177">
        <v>1392.0375977000001</v>
      </c>
      <c r="I177">
        <v>1234.9616699000001</v>
      </c>
      <c r="J177">
        <v>1187.7092285000001</v>
      </c>
      <c r="K177">
        <v>2875</v>
      </c>
      <c r="L177">
        <v>0</v>
      </c>
      <c r="M177">
        <v>0</v>
      </c>
      <c r="N177">
        <v>2875</v>
      </c>
    </row>
    <row r="178" spans="1:14" x14ac:dyDescent="0.25">
      <c r="A178">
        <v>16.487603</v>
      </c>
      <c r="B178" s="1">
        <f>DATE(2010,5,17) + TIME(11,42,8)</f>
        <v>40315.487592592595</v>
      </c>
      <c r="C178">
        <v>80</v>
      </c>
      <c r="D178">
        <v>79.915946959999999</v>
      </c>
      <c r="E178">
        <v>50</v>
      </c>
      <c r="F178">
        <v>14.995948792</v>
      </c>
      <c r="G178">
        <v>1408.6153564000001</v>
      </c>
      <c r="H178">
        <v>1391.9055175999999</v>
      </c>
      <c r="I178">
        <v>1234.9670410000001</v>
      </c>
      <c r="J178">
        <v>1187.7144774999999</v>
      </c>
      <c r="K178">
        <v>2875</v>
      </c>
      <c r="L178">
        <v>0</v>
      </c>
      <c r="M178">
        <v>0</v>
      </c>
      <c r="N178">
        <v>2875</v>
      </c>
    </row>
    <row r="179" spans="1:14" x14ac:dyDescent="0.25">
      <c r="A179">
        <v>16.77497</v>
      </c>
      <c r="B179" s="1">
        <f>DATE(2010,5,17) + TIME(18,35,57)</f>
        <v>40315.774965277778</v>
      </c>
      <c r="C179">
        <v>80</v>
      </c>
      <c r="D179">
        <v>79.915977478000002</v>
      </c>
      <c r="E179">
        <v>50</v>
      </c>
      <c r="F179">
        <v>14.995972632999999</v>
      </c>
      <c r="G179">
        <v>1408.4812012</v>
      </c>
      <c r="H179">
        <v>1391.7756348</v>
      </c>
      <c r="I179">
        <v>1234.9724120999999</v>
      </c>
      <c r="J179">
        <v>1187.7197266000001</v>
      </c>
      <c r="K179">
        <v>2875</v>
      </c>
      <c r="L179">
        <v>0</v>
      </c>
      <c r="M179">
        <v>0</v>
      </c>
      <c r="N179">
        <v>2875</v>
      </c>
    </row>
    <row r="180" spans="1:14" x14ac:dyDescent="0.25">
      <c r="A180">
        <v>17.063790999999998</v>
      </c>
      <c r="B180" s="1">
        <f>DATE(2010,5,18) + TIME(1,31,51)</f>
        <v>40316.063784722224</v>
      </c>
      <c r="C180">
        <v>80</v>
      </c>
      <c r="D180">
        <v>79.916007996000005</v>
      </c>
      <c r="E180">
        <v>50</v>
      </c>
      <c r="F180">
        <v>14.995995521999999</v>
      </c>
      <c r="G180">
        <v>1408.3488769999999</v>
      </c>
      <c r="H180">
        <v>1391.6474608999999</v>
      </c>
      <c r="I180">
        <v>1234.9777832</v>
      </c>
      <c r="J180">
        <v>1187.7249756000001</v>
      </c>
      <c r="K180">
        <v>2875</v>
      </c>
      <c r="L180">
        <v>0</v>
      </c>
      <c r="M180">
        <v>0</v>
      </c>
      <c r="N180">
        <v>2875</v>
      </c>
    </row>
    <row r="181" spans="1:14" x14ac:dyDescent="0.25">
      <c r="A181">
        <v>17.354527000000001</v>
      </c>
      <c r="B181" s="1">
        <f>DATE(2010,5,18) + TIME(8,30,31)</f>
        <v>40316.354525462964</v>
      </c>
      <c r="C181">
        <v>80</v>
      </c>
      <c r="D181">
        <v>79.916038513000004</v>
      </c>
      <c r="E181">
        <v>50</v>
      </c>
      <c r="F181">
        <v>14.99601841</v>
      </c>
      <c r="G181">
        <v>1408.2180175999999</v>
      </c>
      <c r="H181">
        <v>1391.5207519999999</v>
      </c>
      <c r="I181">
        <v>1234.9832764</v>
      </c>
      <c r="J181">
        <v>1187.7302245999999</v>
      </c>
      <c r="K181">
        <v>2875</v>
      </c>
      <c r="L181">
        <v>0</v>
      </c>
      <c r="M181">
        <v>0</v>
      </c>
      <c r="N181">
        <v>2875</v>
      </c>
    </row>
    <row r="182" spans="1:14" x14ac:dyDescent="0.25">
      <c r="A182">
        <v>17.647645000000001</v>
      </c>
      <c r="B182" s="1">
        <f>DATE(2010,5,18) + TIME(15,32,36)</f>
        <v>40316.647638888891</v>
      </c>
      <c r="C182">
        <v>80</v>
      </c>
      <c r="D182">
        <v>79.916069031000006</v>
      </c>
      <c r="E182">
        <v>50</v>
      </c>
      <c r="F182">
        <v>14.996041298</v>
      </c>
      <c r="G182">
        <v>1408.088501</v>
      </c>
      <c r="H182">
        <v>1391.3953856999999</v>
      </c>
      <c r="I182">
        <v>1234.9887695</v>
      </c>
      <c r="J182">
        <v>1187.7355957</v>
      </c>
      <c r="K182">
        <v>2875</v>
      </c>
      <c r="L182">
        <v>0</v>
      </c>
      <c r="M182">
        <v>0</v>
      </c>
      <c r="N182">
        <v>2875</v>
      </c>
    </row>
    <row r="183" spans="1:14" x14ac:dyDescent="0.25">
      <c r="A183">
        <v>17.942584</v>
      </c>
      <c r="B183" s="1">
        <f>DATE(2010,5,18) + TIME(22,37,19)</f>
        <v>40316.94258101852</v>
      </c>
      <c r="C183">
        <v>80</v>
      </c>
      <c r="D183">
        <v>79.916091918999996</v>
      </c>
      <c r="E183">
        <v>50</v>
      </c>
      <c r="F183">
        <v>14.996064186</v>
      </c>
      <c r="G183">
        <v>1407.9599608999999</v>
      </c>
      <c r="H183">
        <v>1391.2711182</v>
      </c>
      <c r="I183">
        <v>1234.9942627</v>
      </c>
      <c r="J183">
        <v>1187.7409668</v>
      </c>
      <c r="K183">
        <v>2875</v>
      </c>
      <c r="L183">
        <v>0</v>
      </c>
      <c r="M183">
        <v>0</v>
      </c>
      <c r="N183">
        <v>2875</v>
      </c>
    </row>
    <row r="184" spans="1:14" x14ac:dyDescent="0.25">
      <c r="A184">
        <v>18.239584000000001</v>
      </c>
      <c r="B184" s="1">
        <f>DATE(2010,5,19) + TIME(5,45,0)</f>
        <v>40317.239583333336</v>
      </c>
      <c r="C184">
        <v>80</v>
      </c>
      <c r="D184">
        <v>79.916122436999999</v>
      </c>
      <c r="E184">
        <v>50</v>
      </c>
      <c r="F184">
        <v>14.996087074</v>
      </c>
      <c r="G184">
        <v>1407.8326416</v>
      </c>
      <c r="H184">
        <v>1391.1481934000001</v>
      </c>
      <c r="I184">
        <v>1234.9997559000001</v>
      </c>
      <c r="J184">
        <v>1187.7463379000001</v>
      </c>
      <c r="K184">
        <v>2875</v>
      </c>
      <c r="L184">
        <v>0</v>
      </c>
      <c r="M184">
        <v>0</v>
      </c>
      <c r="N184">
        <v>2875</v>
      </c>
    </row>
    <row r="185" spans="1:14" x14ac:dyDescent="0.25">
      <c r="A185">
        <v>18.539085</v>
      </c>
      <c r="B185" s="1">
        <f>DATE(2010,5,19) + TIME(12,56,16)</f>
        <v>40317.539074074077</v>
      </c>
      <c r="C185">
        <v>80</v>
      </c>
      <c r="D185">
        <v>79.916152953999998</v>
      </c>
      <c r="E185">
        <v>50</v>
      </c>
      <c r="F185">
        <v>14.996109009</v>
      </c>
      <c r="G185">
        <v>1407.706543</v>
      </c>
      <c r="H185">
        <v>1391.0262451000001</v>
      </c>
      <c r="I185">
        <v>1235.0054932</v>
      </c>
      <c r="J185">
        <v>1187.7518310999999</v>
      </c>
      <c r="K185">
        <v>2875</v>
      </c>
      <c r="L185">
        <v>0</v>
      </c>
      <c r="M185">
        <v>0</v>
      </c>
      <c r="N185">
        <v>2875</v>
      </c>
    </row>
    <row r="186" spans="1:14" x14ac:dyDescent="0.25">
      <c r="A186">
        <v>18.841532000000001</v>
      </c>
      <c r="B186" s="1">
        <f>DATE(2010,5,19) + TIME(20,11,48)</f>
        <v>40317.841527777775</v>
      </c>
      <c r="C186">
        <v>80</v>
      </c>
      <c r="D186">
        <v>79.916175842000001</v>
      </c>
      <c r="E186">
        <v>50</v>
      </c>
      <c r="F186">
        <v>14.996131897</v>
      </c>
      <c r="G186">
        <v>1407.5812988</v>
      </c>
      <c r="H186">
        <v>1390.9053954999999</v>
      </c>
      <c r="I186">
        <v>1235.0111084</v>
      </c>
      <c r="J186">
        <v>1187.7573242000001</v>
      </c>
      <c r="K186">
        <v>2875</v>
      </c>
      <c r="L186">
        <v>0</v>
      </c>
      <c r="M186">
        <v>0</v>
      </c>
      <c r="N186">
        <v>2875</v>
      </c>
    </row>
    <row r="187" spans="1:14" x14ac:dyDescent="0.25">
      <c r="A187">
        <v>19.147390000000001</v>
      </c>
      <c r="B187" s="1">
        <f>DATE(2010,5,20) + TIME(3,32,14)</f>
        <v>40318.14738425926</v>
      </c>
      <c r="C187">
        <v>80</v>
      </c>
      <c r="D187">
        <v>79.916206360000004</v>
      </c>
      <c r="E187">
        <v>50</v>
      </c>
      <c r="F187">
        <v>14.996153831000001</v>
      </c>
      <c r="G187">
        <v>1407.4567870999999</v>
      </c>
      <c r="H187">
        <v>1390.7851562000001</v>
      </c>
      <c r="I187">
        <v>1235.0168457</v>
      </c>
      <c r="J187">
        <v>1187.7629394999999</v>
      </c>
      <c r="K187">
        <v>2875</v>
      </c>
      <c r="L187">
        <v>0</v>
      </c>
      <c r="M187">
        <v>0</v>
      </c>
      <c r="N187">
        <v>2875</v>
      </c>
    </row>
    <row r="188" spans="1:14" x14ac:dyDescent="0.25">
      <c r="A188">
        <v>19.457134</v>
      </c>
      <c r="B188" s="1">
        <f>DATE(2010,5,20) + TIME(10,58,16)</f>
        <v>40318.457129629627</v>
      </c>
      <c r="C188">
        <v>80</v>
      </c>
      <c r="D188">
        <v>79.916236877000003</v>
      </c>
      <c r="E188">
        <v>50</v>
      </c>
      <c r="F188">
        <v>14.996175766</v>
      </c>
      <c r="G188">
        <v>1407.3328856999999</v>
      </c>
      <c r="H188">
        <v>1390.6656493999999</v>
      </c>
      <c r="I188">
        <v>1235.0227050999999</v>
      </c>
      <c r="J188">
        <v>1187.7685547000001</v>
      </c>
      <c r="K188">
        <v>2875</v>
      </c>
      <c r="L188">
        <v>0</v>
      </c>
      <c r="M188">
        <v>0</v>
      </c>
      <c r="N188">
        <v>2875</v>
      </c>
    </row>
    <row r="189" spans="1:14" x14ac:dyDescent="0.25">
      <c r="A189">
        <v>19.771370999999998</v>
      </c>
      <c r="B189" s="1">
        <f>DATE(2010,5,20) + TIME(18,30,46)</f>
        <v>40318.771365740744</v>
      </c>
      <c r="C189">
        <v>80</v>
      </c>
      <c r="D189">
        <v>79.916259765999996</v>
      </c>
      <c r="E189">
        <v>50</v>
      </c>
      <c r="F189">
        <v>14.996197701</v>
      </c>
      <c r="G189">
        <v>1407.2093506000001</v>
      </c>
      <c r="H189">
        <v>1390.5463867000001</v>
      </c>
      <c r="I189">
        <v>1235.0285644999999</v>
      </c>
      <c r="J189">
        <v>1187.7742920000001</v>
      </c>
      <c r="K189">
        <v>2875</v>
      </c>
      <c r="L189">
        <v>0</v>
      </c>
      <c r="M189">
        <v>0</v>
      </c>
      <c r="N189">
        <v>2875</v>
      </c>
    </row>
    <row r="190" spans="1:14" x14ac:dyDescent="0.25">
      <c r="A190">
        <v>20.090575000000001</v>
      </c>
      <c r="B190" s="1">
        <f>DATE(2010,5,21) + TIME(2,10,25)</f>
        <v>40319.090567129628</v>
      </c>
      <c r="C190">
        <v>80</v>
      </c>
      <c r="D190">
        <v>79.916290282999995</v>
      </c>
      <c r="E190">
        <v>50</v>
      </c>
      <c r="F190">
        <v>14.996219634999999</v>
      </c>
      <c r="G190">
        <v>1407.0858154</v>
      </c>
      <c r="H190">
        <v>1390.4273682</v>
      </c>
      <c r="I190">
        <v>1235.0345459</v>
      </c>
      <c r="J190">
        <v>1187.7801514</v>
      </c>
      <c r="K190">
        <v>2875</v>
      </c>
      <c r="L190">
        <v>0</v>
      </c>
      <c r="M190">
        <v>0</v>
      </c>
      <c r="N190">
        <v>2875</v>
      </c>
    </row>
    <row r="191" spans="1:14" x14ac:dyDescent="0.25">
      <c r="A191">
        <v>20.415264000000001</v>
      </c>
      <c r="B191" s="1">
        <f>DATE(2010,5,21) + TIME(9,57,58)</f>
        <v>40319.415254629632</v>
      </c>
      <c r="C191">
        <v>80</v>
      </c>
      <c r="D191">
        <v>79.916320800999998</v>
      </c>
      <c r="E191">
        <v>50</v>
      </c>
      <c r="F191">
        <v>14.99624157</v>
      </c>
      <c r="G191">
        <v>1406.9622803</v>
      </c>
      <c r="H191">
        <v>1390.3083495999999</v>
      </c>
      <c r="I191">
        <v>1235.0406493999999</v>
      </c>
      <c r="J191">
        <v>1187.7860106999999</v>
      </c>
      <c r="K191">
        <v>2875</v>
      </c>
      <c r="L191">
        <v>0</v>
      </c>
      <c r="M191">
        <v>0</v>
      </c>
      <c r="N191">
        <v>2875</v>
      </c>
    </row>
    <row r="192" spans="1:14" x14ac:dyDescent="0.25">
      <c r="A192">
        <v>20.746061000000001</v>
      </c>
      <c r="B192" s="1">
        <f>DATE(2010,5,21) + TIME(17,54,19)</f>
        <v>40319.746053240742</v>
      </c>
      <c r="C192">
        <v>80</v>
      </c>
      <c r="D192">
        <v>79.916351317999997</v>
      </c>
      <c r="E192">
        <v>50</v>
      </c>
      <c r="F192">
        <v>14.996263504</v>
      </c>
      <c r="G192">
        <v>1406.8386230000001</v>
      </c>
      <c r="H192">
        <v>1390.1892089999999</v>
      </c>
      <c r="I192">
        <v>1235.0467529</v>
      </c>
      <c r="J192">
        <v>1187.7919922000001</v>
      </c>
      <c r="K192">
        <v>2875</v>
      </c>
      <c r="L192">
        <v>0</v>
      </c>
      <c r="M192">
        <v>0</v>
      </c>
      <c r="N192">
        <v>2875</v>
      </c>
    </row>
    <row r="193" spans="1:14" x14ac:dyDescent="0.25">
      <c r="A193">
        <v>21.083624</v>
      </c>
      <c r="B193" s="1">
        <f>DATE(2010,5,22) + TIME(2,0,25)</f>
        <v>40320.083622685182</v>
      </c>
      <c r="C193">
        <v>80</v>
      </c>
      <c r="D193">
        <v>79.916381835999999</v>
      </c>
      <c r="E193">
        <v>50</v>
      </c>
      <c r="F193">
        <v>14.996286392</v>
      </c>
      <c r="G193">
        <v>1406.7145995999999</v>
      </c>
      <c r="H193">
        <v>1390.0698242000001</v>
      </c>
      <c r="I193">
        <v>1235.0531006000001</v>
      </c>
      <c r="J193">
        <v>1187.7982178</v>
      </c>
      <c r="K193">
        <v>2875</v>
      </c>
      <c r="L193">
        <v>0</v>
      </c>
      <c r="M193">
        <v>0</v>
      </c>
      <c r="N193">
        <v>2875</v>
      </c>
    </row>
    <row r="194" spans="1:14" x14ac:dyDescent="0.25">
      <c r="A194">
        <v>21.427748999999999</v>
      </c>
      <c r="B194" s="1">
        <f>DATE(2010,5,22) + TIME(10,15,57)</f>
        <v>40320.427743055552</v>
      </c>
      <c r="C194">
        <v>80</v>
      </c>
      <c r="D194">
        <v>79.916412354000002</v>
      </c>
      <c r="E194">
        <v>50</v>
      </c>
      <c r="F194">
        <v>14.996308326999999</v>
      </c>
      <c r="G194">
        <v>1406.5899658000001</v>
      </c>
      <c r="H194">
        <v>1389.9498291</v>
      </c>
      <c r="I194">
        <v>1235.0596923999999</v>
      </c>
      <c r="J194">
        <v>1187.8044434000001</v>
      </c>
      <c r="K194">
        <v>2875</v>
      </c>
      <c r="L194">
        <v>0</v>
      </c>
      <c r="M194">
        <v>0</v>
      </c>
      <c r="N194">
        <v>2875</v>
      </c>
    </row>
    <row r="195" spans="1:14" x14ac:dyDescent="0.25">
      <c r="A195">
        <v>21.778317000000001</v>
      </c>
      <c r="B195" s="1">
        <f>DATE(2010,5,22) + TIME(18,40,46)</f>
        <v>40320.778310185182</v>
      </c>
      <c r="C195">
        <v>80</v>
      </c>
      <c r="D195">
        <v>79.916442871000001</v>
      </c>
      <c r="E195">
        <v>50</v>
      </c>
      <c r="F195">
        <v>14.996331215</v>
      </c>
      <c r="G195">
        <v>1406.4648437999999</v>
      </c>
      <c r="H195">
        <v>1389.8294678</v>
      </c>
      <c r="I195">
        <v>1235.0662841999999</v>
      </c>
      <c r="J195">
        <v>1187.8109131000001</v>
      </c>
      <c r="K195">
        <v>2875</v>
      </c>
      <c r="L195">
        <v>0</v>
      </c>
      <c r="M195">
        <v>0</v>
      </c>
      <c r="N195">
        <v>2875</v>
      </c>
    </row>
    <row r="196" spans="1:14" x14ac:dyDescent="0.25">
      <c r="A196">
        <v>22.135335000000001</v>
      </c>
      <c r="B196" s="1">
        <f>DATE(2010,5,23) + TIME(3,14,52)</f>
        <v>40321.135324074072</v>
      </c>
      <c r="C196">
        <v>80</v>
      </c>
      <c r="D196">
        <v>79.916473389000004</v>
      </c>
      <c r="E196">
        <v>50</v>
      </c>
      <c r="F196">
        <v>14.996353149000001</v>
      </c>
      <c r="G196">
        <v>1406.3393555</v>
      </c>
      <c r="H196">
        <v>1389.7088623</v>
      </c>
      <c r="I196">
        <v>1235.0729980000001</v>
      </c>
      <c r="J196">
        <v>1187.8175048999999</v>
      </c>
      <c r="K196">
        <v>2875</v>
      </c>
      <c r="L196">
        <v>0</v>
      </c>
      <c r="M196">
        <v>0</v>
      </c>
      <c r="N196">
        <v>2875</v>
      </c>
    </row>
    <row r="197" spans="1:14" x14ac:dyDescent="0.25">
      <c r="A197">
        <v>22.493354</v>
      </c>
      <c r="B197" s="1">
        <f>DATE(2010,5,23) + TIME(11,50,25)</f>
        <v>40321.493344907409</v>
      </c>
      <c r="C197">
        <v>80</v>
      </c>
      <c r="D197">
        <v>79.916511536000002</v>
      </c>
      <c r="E197">
        <v>50</v>
      </c>
      <c r="F197">
        <v>14.996375084</v>
      </c>
      <c r="G197">
        <v>1406.213501</v>
      </c>
      <c r="H197">
        <v>1389.5878906</v>
      </c>
      <c r="I197">
        <v>1235.0799560999999</v>
      </c>
      <c r="J197">
        <v>1187.8240966999999</v>
      </c>
      <c r="K197">
        <v>2875</v>
      </c>
      <c r="L197">
        <v>0</v>
      </c>
      <c r="M197">
        <v>0</v>
      </c>
      <c r="N197">
        <v>2875</v>
      </c>
    </row>
    <row r="198" spans="1:14" x14ac:dyDescent="0.25">
      <c r="A198">
        <v>22.852717999999999</v>
      </c>
      <c r="B198" s="1">
        <f>DATE(2010,5,23) + TIME(20,27,54)</f>
        <v>40321.852708333332</v>
      </c>
      <c r="C198">
        <v>80</v>
      </c>
      <c r="D198">
        <v>79.916542053000001</v>
      </c>
      <c r="E198">
        <v>50</v>
      </c>
      <c r="F198">
        <v>14.996397972</v>
      </c>
      <c r="G198">
        <v>1406.0892334</v>
      </c>
      <c r="H198">
        <v>1389.4685059000001</v>
      </c>
      <c r="I198">
        <v>1235.0867920000001</v>
      </c>
      <c r="J198">
        <v>1187.8308105000001</v>
      </c>
      <c r="K198">
        <v>2875</v>
      </c>
      <c r="L198">
        <v>0</v>
      </c>
      <c r="M198">
        <v>0</v>
      </c>
      <c r="N198">
        <v>2875</v>
      </c>
    </row>
    <row r="199" spans="1:14" x14ac:dyDescent="0.25">
      <c r="A199">
        <v>23.214029</v>
      </c>
      <c r="B199" s="1">
        <f>DATE(2010,5,24) + TIME(5,8,12)</f>
        <v>40322.21402777778</v>
      </c>
      <c r="C199">
        <v>80</v>
      </c>
      <c r="D199">
        <v>79.916572571000003</v>
      </c>
      <c r="E199">
        <v>50</v>
      </c>
      <c r="F199">
        <v>14.996419907</v>
      </c>
      <c r="G199">
        <v>1405.9664307</v>
      </c>
      <c r="H199">
        <v>1389.3505858999999</v>
      </c>
      <c r="I199">
        <v>1235.0938721</v>
      </c>
      <c r="J199">
        <v>1187.8376464999999</v>
      </c>
      <c r="K199">
        <v>2875</v>
      </c>
      <c r="L199">
        <v>0</v>
      </c>
      <c r="M199">
        <v>0</v>
      </c>
      <c r="N199">
        <v>2875</v>
      </c>
    </row>
    <row r="200" spans="1:14" x14ac:dyDescent="0.25">
      <c r="A200">
        <v>23.576281000000002</v>
      </c>
      <c r="B200" s="1">
        <f>DATE(2010,5,24) + TIME(13,49,50)</f>
        <v>40322.576273148145</v>
      </c>
      <c r="C200">
        <v>80</v>
      </c>
      <c r="D200">
        <v>79.916603088000002</v>
      </c>
      <c r="E200">
        <v>50</v>
      </c>
      <c r="F200">
        <v>14.996440887</v>
      </c>
      <c r="G200">
        <v>1405.8448486</v>
      </c>
      <c r="H200">
        <v>1389.2337646000001</v>
      </c>
      <c r="I200">
        <v>1235.1008300999999</v>
      </c>
      <c r="J200">
        <v>1187.8444824000001</v>
      </c>
      <c r="K200">
        <v>2875</v>
      </c>
      <c r="L200">
        <v>0</v>
      </c>
      <c r="M200">
        <v>0</v>
      </c>
      <c r="N200">
        <v>2875</v>
      </c>
    </row>
    <row r="201" spans="1:14" x14ac:dyDescent="0.25">
      <c r="A201">
        <v>23.939851999999998</v>
      </c>
      <c r="B201" s="1">
        <f>DATE(2010,5,24) + TIME(22,33,23)</f>
        <v>40322.939849537041</v>
      </c>
      <c r="C201">
        <v>80</v>
      </c>
      <c r="D201">
        <v>79.916641235</v>
      </c>
      <c r="E201">
        <v>50</v>
      </c>
      <c r="F201">
        <v>14.996462822</v>
      </c>
      <c r="G201">
        <v>1405.7247314000001</v>
      </c>
      <c r="H201">
        <v>1389.1185303</v>
      </c>
      <c r="I201">
        <v>1235.1079102000001</v>
      </c>
      <c r="J201">
        <v>1187.8513184000001</v>
      </c>
      <c r="K201">
        <v>2875</v>
      </c>
      <c r="L201">
        <v>0</v>
      </c>
      <c r="M201">
        <v>0</v>
      </c>
      <c r="N201">
        <v>2875</v>
      </c>
    </row>
    <row r="202" spans="1:14" x14ac:dyDescent="0.25">
      <c r="A202">
        <v>24.305288999999998</v>
      </c>
      <c r="B202" s="1">
        <f>DATE(2010,5,25) + TIME(7,19,36)</f>
        <v>40323.305277777778</v>
      </c>
      <c r="C202">
        <v>80</v>
      </c>
      <c r="D202">
        <v>79.916671753000003</v>
      </c>
      <c r="E202">
        <v>50</v>
      </c>
      <c r="F202">
        <v>14.996484755999999</v>
      </c>
      <c r="G202">
        <v>1405.605957</v>
      </c>
      <c r="H202">
        <v>1389.0046387</v>
      </c>
      <c r="I202">
        <v>1235.1149902</v>
      </c>
      <c r="J202">
        <v>1187.8581543</v>
      </c>
      <c r="K202">
        <v>2875</v>
      </c>
      <c r="L202">
        <v>0</v>
      </c>
      <c r="M202">
        <v>0</v>
      </c>
      <c r="N202">
        <v>2875</v>
      </c>
    </row>
    <row r="203" spans="1:14" x14ac:dyDescent="0.25">
      <c r="A203">
        <v>24.673137000000001</v>
      </c>
      <c r="B203" s="1">
        <f>DATE(2010,5,25) + TIME(16,9,19)</f>
        <v>40323.673136574071</v>
      </c>
      <c r="C203">
        <v>80</v>
      </c>
      <c r="D203">
        <v>79.916702271000005</v>
      </c>
      <c r="E203">
        <v>50</v>
      </c>
      <c r="F203">
        <v>14.996505737</v>
      </c>
      <c r="G203">
        <v>1405.4884033000001</v>
      </c>
      <c r="H203">
        <v>1388.8917236</v>
      </c>
      <c r="I203">
        <v>1235.1221923999999</v>
      </c>
      <c r="J203">
        <v>1187.8651123</v>
      </c>
      <c r="K203">
        <v>2875</v>
      </c>
      <c r="L203">
        <v>0</v>
      </c>
      <c r="M203">
        <v>0</v>
      </c>
      <c r="N203">
        <v>2875</v>
      </c>
    </row>
    <row r="204" spans="1:14" x14ac:dyDescent="0.25">
      <c r="A204">
        <v>25.043945999999998</v>
      </c>
      <c r="B204" s="1">
        <f>DATE(2010,5,26) + TIME(1,3,16)</f>
        <v>40324.043935185182</v>
      </c>
      <c r="C204">
        <v>80</v>
      </c>
      <c r="D204">
        <v>79.916740417</v>
      </c>
      <c r="E204">
        <v>50</v>
      </c>
      <c r="F204">
        <v>14.996526718</v>
      </c>
      <c r="G204">
        <v>1405.371582</v>
      </c>
      <c r="H204">
        <v>1388.7799072</v>
      </c>
      <c r="I204">
        <v>1235.1293945</v>
      </c>
      <c r="J204">
        <v>1187.8720702999999</v>
      </c>
      <c r="K204">
        <v>2875</v>
      </c>
      <c r="L204">
        <v>0</v>
      </c>
      <c r="M204">
        <v>0</v>
      </c>
      <c r="N204">
        <v>2875</v>
      </c>
    </row>
    <row r="205" spans="1:14" x14ac:dyDescent="0.25">
      <c r="A205">
        <v>25.418277</v>
      </c>
      <c r="B205" s="1">
        <f>DATE(2010,5,26) + TIME(10,2,19)</f>
        <v>40324.418275462966</v>
      </c>
      <c r="C205">
        <v>80</v>
      </c>
      <c r="D205">
        <v>79.916770935000002</v>
      </c>
      <c r="E205">
        <v>50</v>
      </c>
      <c r="F205">
        <v>14.996547699000001</v>
      </c>
      <c r="G205">
        <v>1405.2556152</v>
      </c>
      <c r="H205">
        <v>1388.6687012</v>
      </c>
      <c r="I205">
        <v>1235.1367187999999</v>
      </c>
      <c r="J205">
        <v>1187.8791504000001</v>
      </c>
      <c r="K205">
        <v>2875</v>
      </c>
      <c r="L205">
        <v>0</v>
      </c>
      <c r="M205">
        <v>0</v>
      </c>
      <c r="N205">
        <v>2875</v>
      </c>
    </row>
    <row r="206" spans="1:14" x14ac:dyDescent="0.25">
      <c r="A206">
        <v>25.796710999999998</v>
      </c>
      <c r="B206" s="1">
        <f>DATE(2010,5,26) + TIME(19,7,15)</f>
        <v>40324.796701388892</v>
      </c>
      <c r="C206">
        <v>80</v>
      </c>
      <c r="D206">
        <v>79.916809082</v>
      </c>
      <c r="E206">
        <v>50</v>
      </c>
      <c r="F206">
        <v>14.996568679999999</v>
      </c>
      <c r="G206">
        <v>1405.1402588000001</v>
      </c>
      <c r="H206">
        <v>1388.5582274999999</v>
      </c>
      <c r="I206">
        <v>1235.1441649999999</v>
      </c>
      <c r="J206">
        <v>1187.8863524999999</v>
      </c>
      <c r="K206">
        <v>2875</v>
      </c>
      <c r="L206">
        <v>0</v>
      </c>
      <c r="M206">
        <v>0</v>
      </c>
      <c r="N206">
        <v>2875</v>
      </c>
    </row>
    <row r="207" spans="1:14" x14ac:dyDescent="0.25">
      <c r="A207">
        <v>26.179848</v>
      </c>
      <c r="B207" s="1">
        <f>DATE(2010,5,27) + TIME(4,18,58)</f>
        <v>40325.179837962962</v>
      </c>
      <c r="C207">
        <v>80</v>
      </c>
      <c r="D207">
        <v>79.916839600000003</v>
      </c>
      <c r="E207">
        <v>50</v>
      </c>
      <c r="F207">
        <v>14.996589661</v>
      </c>
      <c r="G207">
        <v>1405.0252685999999</v>
      </c>
      <c r="H207">
        <v>1388.4479980000001</v>
      </c>
      <c r="I207">
        <v>1235.1516113</v>
      </c>
      <c r="J207">
        <v>1187.8935547000001</v>
      </c>
      <c r="K207">
        <v>2875</v>
      </c>
      <c r="L207">
        <v>0</v>
      </c>
      <c r="M207">
        <v>0</v>
      </c>
      <c r="N207">
        <v>2875</v>
      </c>
    </row>
    <row r="208" spans="1:14" x14ac:dyDescent="0.25">
      <c r="A208">
        <v>26.568487000000001</v>
      </c>
      <c r="B208" s="1">
        <f>DATE(2010,5,27) + TIME(13,38,37)</f>
        <v>40325.568483796298</v>
      </c>
      <c r="C208">
        <v>80</v>
      </c>
      <c r="D208">
        <v>79.916877747000001</v>
      </c>
      <c r="E208">
        <v>50</v>
      </c>
      <c r="F208">
        <v>14.996609687999999</v>
      </c>
      <c r="G208">
        <v>1404.9105225000001</v>
      </c>
      <c r="H208">
        <v>1388.3381348</v>
      </c>
      <c r="I208">
        <v>1235.1591797000001</v>
      </c>
      <c r="J208">
        <v>1187.901001</v>
      </c>
      <c r="K208">
        <v>2875</v>
      </c>
      <c r="L208">
        <v>0</v>
      </c>
      <c r="M208">
        <v>0</v>
      </c>
      <c r="N208">
        <v>2875</v>
      </c>
    </row>
    <row r="209" spans="1:14" x14ac:dyDescent="0.25">
      <c r="A209">
        <v>26.963142000000001</v>
      </c>
      <c r="B209" s="1">
        <f>DATE(2010,5,27) + TIME(23,6,55)</f>
        <v>40325.963136574072</v>
      </c>
      <c r="C209">
        <v>80</v>
      </c>
      <c r="D209">
        <v>79.916915893999999</v>
      </c>
      <c r="E209">
        <v>50</v>
      </c>
      <c r="F209">
        <v>14.996630669</v>
      </c>
      <c r="G209">
        <v>1404.7957764</v>
      </c>
      <c r="H209">
        <v>1388.2283935999999</v>
      </c>
      <c r="I209">
        <v>1235.1669922000001</v>
      </c>
      <c r="J209">
        <v>1187.9084473</v>
      </c>
      <c r="K209">
        <v>2875</v>
      </c>
      <c r="L209">
        <v>0</v>
      </c>
      <c r="M209">
        <v>0</v>
      </c>
      <c r="N209">
        <v>2875</v>
      </c>
    </row>
    <row r="210" spans="1:14" x14ac:dyDescent="0.25">
      <c r="A210">
        <v>27.364501000000001</v>
      </c>
      <c r="B210" s="1">
        <f>DATE(2010,5,28) + TIME(8,44,52)</f>
        <v>40326.364490740743</v>
      </c>
      <c r="C210">
        <v>80</v>
      </c>
      <c r="D210">
        <v>79.916946410999998</v>
      </c>
      <c r="E210">
        <v>50</v>
      </c>
      <c r="F210">
        <v>14.996651649</v>
      </c>
      <c r="G210">
        <v>1404.6807861</v>
      </c>
      <c r="H210">
        <v>1388.1184082</v>
      </c>
      <c r="I210">
        <v>1235.1749268000001</v>
      </c>
      <c r="J210">
        <v>1187.9161377</v>
      </c>
      <c r="K210">
        <v>2875</v>
      </c>
      <c r="L210">
        <v>0</v>
      </c>
      <c r="M210">
        <v>0</v>
      </c>
      <c r="N210">
        <v>2875</v>
      </c>
    </row>
    <row r="211" spans="1:14" x14ac:dyDescent="0.25">
      <c r="A211">
        <v>27.773364000000001</v>
      </c>
      <c r="B211" s="1">
        <f>DATE(2010,5,28) + TIME(18,33,38)</f>
        <v>40326.773356481484</v>
      </c>
      <c r="C211">
        <v>80</v>
      </c>
      <c r="D211">
        <v>79.916984557999996</v>
      </c>
      <c r="E211">
        <v>50</v>
      </c>
      <c r="F211">
        <v>14.996672630000001</v>
      </c>
      <c r="G211">
        <v>1404.5656738</v>
      </c>
      <c r="H211">
        <v>1388.0083007999999</v>
      </c>
      <c r="I211">
        <v>1235.1829834</v>
      </c>
      <c r="J211">
        <v>1187.9239502</v>
      </c>
      <c r="K211">
        <v>2875</v>
      </c>
      <c r="L211">
        <v>0</v>
      </c>
      <c r="M211">
        <v>0</v>
      </c>
      <c r="N211">
        <v>2875</v>
      </c>
    </row>
    <row r="212" spans="1:14" x14ac:dyDescent="0.25">
      <c r="A212">
        <v>28.189957</v>
      </c>
      <c r="B212" s="1">
        <f>DATE(2010,5,29) + TIME(4,33,32)</f>
        <v>40327.189953703702</v>
      </c>
      <c r="C212">
        <v>80</v>
      </c>
      <c r="D212">
        <v>79.917022704999994</v>
      </c>
      <c r="E212">
        <v>50</v>
      </c>
      <c r="F212">
        <v>14.996693611</v>
      </c>
      <c r="G212">
        <v>1404.4499512</v>
      </c>
      <c r="H212">
        <v>1387.8977050999999</v>
      </c>
      <c r="I212">
        <v>1235.1911620999999</v>
      </c>
      <c r="J212">
        <v>1187.9318848</v>
      </c>
      <c r="K212">
        <v>2875</v>
      </c>
      <c r="L212">
        <v>0</v>
      </c>
      <c r="M212">
        <v>0</v>
      </c>
      <c r="N212">
        <v>2875</v>
      </c>
    </row>
    <row r="213" spans="1:14" x14ac:dyDescent="0.25">
      <c r="A213">
        <v>28.614094999999999</v>
      </c>
      <c r="B213" s="1">
        <f>DATE(2010,5,29) + TIME(14,44,17)</f>
        <v>40327.614085648151</v>
      </c>
      <c r="C213">
        <v>80</v>
      </c>
      <c r="D213">
        <v>79.917068481000001</v>
      </c>
      <c r="E213">
        <v>50</v>
      </c>
      <c r="F213">
        <v>14.996714592</v>
      </c>
      <c r="G213">
        <v>1404.3337402</v>
      </c>
      <c r="H213">
        <v>1387.7866211</v>
      </c>
      <c r="I213">
        <v>1235.1995850000001</v>
      </c>
      <c r="J213">
        <v>1187.9400635</v>
      </c>
      <c r="K213">
        <v>2875</v>
      </c>
      <c r="L213">
        <v>0</v>
      </c>
      <c r="M213">
        <v>0</v>
      </c>
      <c r="N213">
        <v>2875</v>
      </c>
    </row>
    <row r="214" spans="1:14" x14ac:dyDescent="0.25">
      <c r="A214">
        <v>29.042286000000001</v>
      </c>
      <c r="B214" s="1">
        <f>DATE(2010,5,30) + TIME(1,0,53)</f>
        <v>40328.042280092595</v>
      </c>
      <c r="C214">
        <v>80</v>
      </c>
      <c r="D214">
        <v>79.917106627999999</v>
      </c>
      <c r="E214">
        <v>50</v>
      </c>
      <c r="F214">
        <v>14.996736525999999</v>
      </c>
      <c r="G214">
        <v>1404.2171631000001</v>
      </c>
      <c r="H214">
        <v>1387.6751709</v>
      </c>
      <c r="I214">
        <v>1235.2081298999999</v>
      </c>
      <c r="J214">
        <v>1187.9483643000001</v>
      </c>
      <c r="K214">
        <v>2875</v>
      </c>
      <c r="L214">
        <v>0</v>
      </c>
      <c r="M214">
        <v>0</v>
      </c>
      <c r="N214">
        <v>2875</v>
      </c>
    </row>
    <row r="215" spans="1:14" x14ac:dyDescent="0.25">
      <c r="A215">
        <v>29.257034000000001</v>
      </c>
      <c r="B215" s="1">
        <f>DATE(2010,5,30) + TIME(6,10,7)</f>
        <v>40328.257025462961</v>
      </c>
      <c r="C215">
        <v>80</v>
      </c>
      <c r="D215">
        <v>79.917114257999998</v>
      </c>
      <c r="E215">
        <v>50</v>
      </c>
      <c r="F215">
        <v>14.996748924</v>
      </c>
      <c r="G215">
        <v>1404.1005858999999</v>
      </c>
      <c r="H215">
        <v>1387.5637207</v>
      </c>
      <c r="I215">
        <v>1235.2163086</v>
      </c>
      <c r="J215">
        <v>1187.9561768000001</v>
      </c>
      <c r="K215">
        <v>2875</v>
      </c>
      <c r="L215">
        <v>0</v>
      </c>
      <c r="M215">
        <v>0</v>
      </c>
      <c r="N215">
        <v>2875</v>
      </c>
    </row>
    <row r="216" spans="1:14" x14ac:dyDescent="0.25">
      <c r="A216">
        <v>29.471782000000001</v>
      </c>
      <c r="B216" s="1">
        <f>DATE(2010,5,30) + TIME(11,19,21)</f>
        <v>40328.471770833334</v>
      </c>
      <c r="C216">
        <v>80</v>
      </c>
      <c r="D216">
        <v>79.917137146000002</v>
      </c>
      <c r="E216">
        <v>50</v>
      </c>
      <c r="F216">
        <v>14.996761321999999</v>
      </c>
      <c r="G216">
        <v>1404.0417480000001</v>
      </c>
      <c r="H216">
        <v>1387.5075684000001</v>
      </c>
      <c r="I216">
        <v>1235.2208252</v>
      </c>
      <c r="J216">
        <v>1187.9605713000001</v>
      </c>
      <c r="K216">
        <v>2875</v>
      </c>
      <c r="L216">
        <v>0</v>
      </c>
      <c r="M216">
        <v>0</v>
      </c>
      <c r="N216">
        <v>2875</v>
      </c>
    </row>
    <row r="217" spans="1:14" x14ac:dyDescent="0.25">
      <c r="A217">
        <v>29.686530000000001</v>
      </c>
      <c r="B217" s="1">
        <f>DATE(2010,5,30) + TIME(16,28,36)</f>
        <v>40328.686527777776</v>
      </c>
      <c r="C217">
        <v>80</v>
      </c>
      <c r="D217">
        <v>79.917152404999996</v>
      </c>
      <c r="E217">
        <v>50</v>
      </c>
      <c r="F217">
        <v>14.99677372</v>
      </c>
      <c r="G217">
        <v>1403.9844971</v>
      </c>
      <c r="H217">
        <v>1387.4527588000001</v>
      </c>
      <c r="I217">
        <v>1235.2252197</v>
      </c>
      <c r="J217">
        <v>1187.9647216999999</v>
      </c>
      <c r="K217">
        <v>2875</v>
      </c>
      <c r="L217">
        <v>0</v>
      </c>
      <c r="M217">
        <v>0</v>
      </c>
      <c r="N217">
        <v>2875</v>
      </c>
    </row>
    <row r="218" spans="1:14" x14ac:dyDescent="0.25">
      <c r="A218">
        <v>30.116026999999999</v>
      </c>
      <c r="B218" s="1">
        <f>DATE(2010,5,31) + TIME(2,47,4)</f>
        <v>40329.116018518522</v>
      </c>
      <c r="C218">
        <v>80</v>
      </c>
      <c r="D218">
        <v>79.917205811000002</v>
      </c>
      <c r="E218">
        <v>50</v>
      </c>
      <c r="F218">
        <v>14.99679184</v>
      </c>
      <c r="G218">
        <v>1403.9287108999999</v>
      </c>
      <c r="H218">
        <v>1387.3996582</v>
      </c>
      <c r="I218">
        <v>1235.2301024999999</v>
      </c>
      <c r="J218">
        <v>1187.9694824000001</v>
      </c>
      <c r="K218">
        <v>2875</v>
      </c>
      <c r="L218">
        <v>0</v>
      </c>
      <c r="M218">
        <v>0</v>
      </c>
      <c r="N218">
        <v>2875</v>
      </c>
    </row>
    <row r="219" spans="1:14" x14ac:dyDescent="0.25">
      <c r="A219">
        <v>30.545808999999998</v>
      </c>
      <c r="B219" s="1">
        <f>DATE(2010,5,31) + TIME(13,5,57)</f>
        <v>40329.545798611114</v>
      </c>
      <c r="C219">
        <v>80</v>
      </c>
      <c r="D219">
        <v>79.917243958</v>
      </c>
      <c r="E219">
        <v>50</v>
      </c>
      <c r="F219">
        <v>14.996810912999999</v>
      </c>
      <c r="G219">
        <v>1403.8168945</v>
      </c>
      <c r="H219">
        <v>1387.2929687999999</v>
      </c>
      <c r="I219">
        <v>1235.2388916</v>
      </c>
      <c r="J219">
        <v>1187.9779053</v>
      </c>
      <c r="K219">
        <v>2875</v>
      </c>
      <c r="L219">
        <v>0</v>
      </c>
      <c r="M219">
        <v>0</v>
      </c>
      <c r="N219">
        <v>2875</v>
      </c>
    </row>
    <row r="220" spans="1:14" x14ac:dyDescent="0.25">
      <c r="A220">
        <v>30.977219000000002</v>
      </c>
      <c r="B220" s="1">
        <f>DATE(2010,5,31) + TIME(23,27,11)</f>
        <v>40329.977210648147</v>
      </c>
      <c r="C220">
        <v>80</v>
      </c>
      <c r="D220">
        <v>79.917282103999995</v>
      </c>
      <c r="E220">
        <v>50</v>
      </c>
      <c r="F220">
        <v>14.996830940000001</v>
      </c>
      <c r="G220">
        <v>1403.7059326000001</v>
      </c>
      <c r="H220">
        <v>1387.1871338000001</v>
      </c>
      <c r="I220">
        <v>1235.2476807</v>
      </c>
      <c r="J220">
        <v>1187.9864502</v>
      </c>
      <c r="K220">
        <v>2875</v>
      </c>
      <c r="L220">
        <v>0</v>
      </c>
      <c r="M220">
        <v>0</v>
      </c>
      <c r="N220">
        <v>2875</v>
      </c>
    </row>
    <row r="221" spans="1:14" x14ac:dyDescent="0.25">
      <c r="A221">
        <v>31</v>
      </c>
      <c r="B221" s="1">
        <f>DATE(2010,6,1) + TIME(0,0,0)</f>
        <v>40330</v>
      </c>
      <c r="C221">
        <v>80</v>
      </c>
      <c r="D221">
        <v>79.917274474999999</v>
      </c>
      <c r="E221">
        <v>50</v>
      </c>
      <c r="F221">
        <v>14.996832848</v>
      </c>
      <c r="G221">
        <v>1403.6075439000001</v>
      </c>
      <c r="H221">
        <v>1387.0933838000001</v>
      </c>
      <c r="I221">
        <v>1235.2530518000001</v>
      </c>
      <c r="J221">
        <v>1187.9915771000001</v>
      </c>
      <c r="K221">
        <v>2875</v>
      </c>
      <c r="L221">
        <v>0</v>
      </c>
      <c r="M221">
        <v>0</v>
      </c>
      <c r="N221">
        <v>2875</v>
      </c>
    </row>
    <row r="222" spans="1:14" x14ac:dyDescent="0.25">
      <c r="A222">
        <v>31.433665999999999</v>
      </c>
      <c r="B222" s="1">
        <f>DATE(2010,6,1) + TIME(10,24,28)</f>
        <v>40330.433657407404</v>
      </c>
      <c r="C222">
        <v>80</v>
      </c>
      <c r="D222">
        <v>79.917327881000006</v>
      </c>
      <c r="E222">
        <v>50</v>
      </c>
      <c r="F222">
        <v>14.996851920999999</v>
      </c>
      <c r="G222">
        <v>1403.5895995999999</v>
      </c>
      <c r="H222">
        <v>1387.0761719</v>
      </c>
      <c r="I222">
        <v>1235.2572021000001</v>
      </c>
      <c r="J222">
        <v>1187.9957274999999</v>
      </c>
      <c r="K222">
        <v>2875</v>
      </c>
      <c r="L222">
        <v>0</v>
      </c>
      <c r="M222">
        <v>0</v>
      </c>
      <c r="N222">
        <v>2875</v>
      </c>
    </row>
    <row r="223" spans="1:14" x14ac:dyDescent="0.25">
      <c r="A223">
        <v>31.870425000000001</v>
      </c>
      <c r="B223" s="1">
        <f>DATE(2010,6,1) + TIME(20,53,24)</f>
        <v>40330.870416666665</v>
      </c>
      <c r="C223">
        <v>80</v>
      </c>
      <c r="D223">
        <v>79.917373656999999</v>
      </c>
      <c r="E223">
        <v>50</v>
      </c>
      <c r="F223">
        <v>14.996870995</v>
      </c>
      <c r="G223">
        <v>1403.4814452999999</v>
      </c>
      <c r="H223">
        <v>1386.9730225000001</v>
      </c>
      <c r="I223">
        <v>1235.2659911999999</v>
      </c>
      <c r="J223">
        <v>1188.0041504000001</v>
      </c>
      <c r="K223">
        <v>2875</v>
      </c>
      <c r="L223">
        <v>0</v>
      </c>
      <c r="M223">
        <v>0</v>
      </c>
      <c r="N223">
        <v>2875</v>
      </c>
    </row>
    <row r="224" spans="1:14" x14ac:dyDescent="0.25">
      <c r="A224">
        <v>32.310775</v>
      </c>
      <c r="B224" s="1">
        <f>DATE(2010,6,2) + TIME(7,27,30)</f>
        <v>40331.310763888891</v>
      </c>
      <c r="C224">
        <v>80</v>
      </c>
      <c r="D224">
        <v>79.917411803999997</v>
      </c>
      <c r="E224">
        <v>50</v>
      </c>
      <c r="F224">
        <v>14.996891022</v>
      </c>
      <c r="G224">
        <v>1403.3731689000001</v>
      </c>
      <c r="H224">
        <v>1386.8698730000001</v>
      </c>
      <c r="I224">
        <v>1235.2751464999999</v>
      </c>
      <c r="J224">
        <v>1188.0129394999999</v>
      </c>
      <c r="K224">
        <v>2875</v>
      </c>
      <c r="L224">
        <v>0</v>
      </c>
      <c r="M224">
        <v>0</v>
      </c>
      <c r="N224">
        <v>2875</v>
      </c>
    </row>
    <row r="225" spans="1:14" x14ac:dyDescent="0.25">
      <c r="A225">
        <v>32.755395</v>
      </c>
      <c r="B225" s="1">
        <f>DATE(2010,6,2) + TIME(18,7,46)</f>
        <v>40331.755393518521</v>
      </c>
      <c r="C225">
        <v>80</v>
      </c>
      <c r="D225">
        <v>79.917457580999994</v>
      </c>
      <c r="E225">
        <v>50</v>
      </c>
      <c r="F225">
        <v>14.996910095</v>
      </c>
      <c r="G225">
        <v>1403.2655029</v>
      </c>
      <c r="H225">
        <v>1386.7672118999999</v>
      </c>
      <c r="I225">
        <v>1235.2843018000001</v>
      </c>
      <c r="J225">
        <v>1188.0218506000001</v>
      </c>
      <c r="K225">
        <v>2875</v>
      </c>
      <c r="L225">
        <v>0</v>
      </c>
      <c r="M225">
        <v>0</v>
      </c>
      <c r="N225">
        <v>2875</v>
      </c>
    </row>
    <row r="226" spans="1:14" x14ac:dyDescent="0.25">
      <c r="A226">
        <v>33.204979999999999</v>
      </c>
      <c r="B226" s="1">
        <f>DATE(2010,6,3) + TIME(4,55,10)</f>
        <v>40332.204976851855</v>
      </c>
      <c r="C226">
        <v>80</v>
      </c>
      <c r="D226">
        <v>79.917495728000006</v>
      </c>
      <c r="E226">
        <v>50</v>
      </c>
      <c r="F226">
        <v>14.996930122</v>
      </c>
      <c r="G226">
        <v>1403.1582031</v>
      </c>
      <c r="H226">
        <v>1386.6650391000001</v>
      </c>
      <c r="I226">
        <v>1235.2935791</v>
      </c>
      <c r="J226">
        <v>1188.0307617000001</v>
      </c>
      <c r="K226">
        <v>2875</v>
      </c>
      <c r="L226">
        <v>0</v>
      </c>
      <c r="M226">
        <v>0</v>
      </c>
      <c r="N226">
        <v>2875</v>
      </c>
    </row>
    <row r="227" spans="1:14" x14ac:dyDescent="0.25">
      <c r="A227">
        <v>33.660409000000001</v>
      </c>
      <c r="B227" s="1">
        <f>DATE(2010,6,3) + TIME(15,50,59)</f>
        <v>40332.660405092596</v>
      </c>
      <c r="C227">
        <v>80</v>
      </c>
      <c r="D227">
        <v>79.917541503999999</v>
      </c>
      <c r="E227">
        <v>50</v>
      </c>
      <c r="F227">
        <v>14.99695015</v>
      </c>
      <c r="G227">
        <v>1403.0511475000001</v>
      </c>
      <c r="H227">
        <v>1386.5631103999999</v>
      </c>
      <c r="I227">
        <v>1235.3031006000001</v>
      </c>
      <c r="J227">
        <v>1188.0399170000001</v>
      </c>
      <c r="K227">
        <v>2875</v>
      </c>
      <c r="L227">
        <v>0</v>
      </c>
      <c r="M227">
        <v>0</v>
      </c>
      <c r="N227">
        <v>2875</v>
      </c>
    </row>
    <row r="228" spans="1:14" x14ac:dyDescent="0.25">
      <c r="A228">
        <v>34.122366</v>
      </c>
      <c r="B228" s="1">
        <f>DATE(2010,6,4) + TIME(2,56,12)</f>
        <v>40333.122361111113</v>
      </c>
      <c r="C228">
        <v>80</v>
      </c>
      <c r="D228">
        <v>79.917587280000006</v>
      </c>
      <c r="E228">
        <v>50</v>
      </c>
      <c r="F228">
        <v>14.996969223000001</v>
      </c>
      <c r="G228">
        <v>1402.9440918</v>
      </c>
      <c r="H228">
        <v>1386.4611815999999</v>
      </c>
      <c r="I228">
        <v>1235.3126221</v>
      </c>
      <c r="J228">
        <v>1188.0491943</v>
      </c>
      <c r="K228">
        <v>2875</v>
      </c>
      <c r="L228">
        <v>0</v>
      </c>
      <c r="M228">
        <v>0</v>
      </c>
      <c r="N228">
        <v>2875</v>
      </c>
    </row>
    <row r="229" spans="1:14" x14ac:dyDescent="0.25">
      <c r="A229">
        <v>34.591591000000001</v>
      </c>
      <c r="B229" s="1">
        <f>DATE(2010,6,4) + TIME(14,11,53)</f>
        <v>40333.591585648152</v>
      </c>
      <c r="C229">
        <v>80</v>
      </c>
      <c r="D229">
        <v>79.917633057000003</v>
      </c>
      <c r="E229">
        <v>50</v>
      </c>
      <c r="F229">
        <v>14.99698925</v>
      </c>
      <c r="G229">
        <v>1402.8369141000001</v>
      </c>
      <c r="H229">
        <v>1386.3591309000001</v>
      </c>
      <c r="I229">
        <v>1235.3225098</v>
      </c>
      <c r="J229">
        <v>1188.0585937999999</v>
      </c>
      <c r="K229">
        <v>2875</v>
      </c>
      <c r="L229">
        <v>0</v>
      </c>
      <c r="M229">
        <v>0</v>
      </c>
      <c r="N229">
        <v>2875</v>
      </c>
    </row>
    <row r="230" spans="1:14" x14ac:dyDescent="0.25">
      <c r="A230">
        <v>35.068964999999999</v>
      </c>
      <c r="B230" s="1">
        <f>DATE(2010,6,5) + TIME(1,39,18)</f>
        <v>40334.068958333337</v>
      </c>
      <c r="C230">
        <v>80</v>
      </c>
      <c r="D230">
        <v>79.917678832999997</v>
      </c>
      <c r="E230">
        <v>50</v>
      </c>
      <c r="F230">
        <v>14.997009277</v>
      </c>
      <c r="G230">
        <v>1402.7294922000001</v>
      </c>
      <c r="H230">
        <v>1386.2569579999999</v>
      </c>
      <c r="I230">
        <v>1235.3323975000001</v>
      </c>
      <c r="J230">
        <v>1188.0682373</v>
      </c>
      <c r="K230">
        <v>2875</v>
      </c>
      <c r="L230">
        <v>0</v>
      </c>
      <c r="M230">
        <v>0</v>
      </c>
      <c r="N230">
        <v>2875</v>
      </c>
    </row>
    <row r="231" spans="1:14" x14ac:dyDescent="0.25">
      <c r="A231">
        <v>35.555475000000001</v>
      </c>
      <c r="B231" s="1">
        <f>DATE(2010,6,5) + TIME(13,19,52)</f>
        <v>40334.555462962962</v>
      </c>
      <c r="C231">
        <v>80</v>
      </c>
      <c r="D231">
        <v>79.917724609000004</v>
      </c>
      <c r="E231">
        <v>50</v>
      </c>
      <c r="F231">
        <v>14.997029305</v>
      </c>
      <c r="G231">
        <v>1402.6217041</v>
      </c>
      <c r="H231">
        <v>1386.1542969</v>
      </c>
      <c r="I231">
        <v>1235.3426514</v>
      </c>
      <c r="J231">
        <v>1188.0780029</v>
      </c>
      <c r="K231">
        <v>2875</v>
      </c>
      <c r="L231">
        <v>0</v>
      </c>
      <c r="M231">
        <v>0</v>
      </c>
      <c r="N231">
        <v>2875</v>
      </c>
    </row>
    <row r="232" spans="1:14" x14ac:dyDescent="0.25">
      <c r="A232">
        <v>36.050539999999998</v>
      </c>
      <c r="B232" s="1">
        <f>DATE(2010,6,6) + TIME(1,12,46)</f>
        <v>40335.050532407404</v>
      </c>
      <c r="C232">
        <v>80</v>
      </c>
      <c r="D232">
        <v>79.917770386000001</v>
      </c>
      <c r="E232">
        <v>50</v>
      </c>
      <c r="F232">
        <v>14.997049332</v>
      </c>
      <c r="G232">
        <v>1402.5131836</v>
      </c>
      <c r="H232">
        <v>1386.0511475000001</v>
      </c>
      <c r="I232">
        <v>1235.3530272999999</v>
      </c>
      <c r="J232">
        <v>1188.0881348</v>
      </c>
      <c r="K232">
        <v>2875</v>
      </c>
      <c r="L232">
        <v>0</v>
      </c>
      <c r="M232">
        <v>0</v>
      </c>
      <c r="N232">
        <v>2875</v>
      </c>
    </row>
    <row r="233" spans="1:14" x14ac:dyDescent="0.25">
      <c r="A233">
        <v>36.300904000000003</v>
      </c>
      <c r="B233" s="1">
        <f>DATE(2010,6,6) + TIME(7,13,18)</f>
        <v>40335.300902777781</v>
      </c>
      <c r="C233">
        <v>80</v>
      </c>
      <c r="D233">
        <v>79.917785644999995</v>
      </c>
      <c r="E233">
        <v>50</v>
      </c>
      <c r="F233">
        <v>14.997062682999999</v>
      </c>
      <c r="G233">
        <v>1402.4038086</v>
      </c>
      <c r="H233">
        <v>1385.9470214999999</v>
      </c>
      <c r="I233">
        <v>1235.3631591999999</v>
      </c>
      <c r="J233">
        <v>1188.0977783000001</v>
      </c>
      <c r="K233">
        <v>2875</v>
      </c>
      <c r="L233">
        <v>0</v>
      </c>
      <c r="M233">
        <v>0</v>
      </c>
      <c r="N233">
        <v>2875</v>
      </c>
    </row>
    <row r="234" spans="1:14" x14ac:dyDescent="0.25">
      <c r="A234">
        <v>36.551268999999998</v>
      </c>
      <c r="B234" s="1">
        <f>DATE(2010,6,6) + TIME(13,13,49)</f>
        <v>40335.551261574074</v>
      </c>
      <c r="C234">
        <v>80</v>
      </c>
      <c r="D234">
        <v>79.917808532999999</v>
      </c>
      <c r="E234">
        <v>50</v>
      </c>
      <c r="F234">
        <v>14.997074126999999</v>
      </c>
      <c r="G234">
        <v>1402.3481445</v>
      </c>
      <c r="H234">
        <v>1385.894043</v>
      </c>
      <c r="I234">
        <v>1235.3687743999999</v>
      </c>
      <c r="J234">
        <v>1188.1031493999999</v>
      </c>
      <c r="K234">
        <v>2875</v>
      </c>
      <c r="L234">
        <v>0</v>
      </c>
      <c r="M234">
        <v>0</v>
      </c>
      <c r="N234">
        <v>2875</v>
      </c>
    </row>
    <row r="235" spans="1:14" x14ac:dyDescent="0.25">
      <c r="A235">
        <v>36.801634</v>
      </c>
      <c r="B235" s="1">
        <f>DATE(2010,6,6) + TIME(19,14,21)</f>
        <v>40335.801631944443</v>
      </c>
      <c r="C235">
        <v>80</v>
      </c>
      <c r="D235">
        <v>79.917839049999998</v>
      </c>
      <c r="E235">
        <v>50</v>
      </c>
      <c r="F235">
        <v>14.997085571</v>
      </c>
      <c r="G235">
        <v>1402.2938231999999</v>
      </c>
      <c r="H235">
        <v>1385.8422852000001</v>
      </c>
      <c r="I235">
        <v>1235.3741454999999</v>
      </c>
      <c r="J235">
        <v>1188.1083983999999</v>
      </c>
      <c r="K235">
        <v>2875</v>
      </c>
      <c r="L235">
        <v>0</v>
      </c>
      <c r="M235">
        <v>0</v>
      </c>
      <c r="N235">
        <v>2875</v>
      </c>
    </row>
    <row r="236" spans="1:14" x14ac:dyDescent="0.25">
      <c r="A236">
        <v>37.051997999999998</v>
      </c>
      <c r="B236" s="1">
        <f>DATE(2010,6,7) + TIME(1,14,52)</f>
        <v>40336.051990740743</v>
      </c>
      <c r="C236">
        <v>80</v>
      </c>
      <c r="D236">
        <v>79.917861938000001</v>
      </c>
      <c r="E236">
        <v>50</v>
      </c>
      <c r="F236">
        <v>14.997097015</v>
      </c>
      <c r="G236">
        <v>1402.2398682</v>
      </c>
      <c r="H236">
        <v>1385.7910156</v>
      </c>
      <c r="I236">
        <v>1235.3796387</v>
      </c>
      <c r="J236">
        <v>1188.1136475000001</v>
      </c>
      <c r="K236">
        <v>2875</v>
      </c>
      <c r="L236">
        <v>0</v>
      </c>
      <c r="M236">
        <v>0</v>
      </c>
      <c r="N236">
        <v>2875</v>
      </c>
    </row>
    <row r="237" spans="1:14" x14ac:dyDescent="0.25">
      <c r="A237">
        <v>37.302363</v>
      </c>
      <c r="B237" s="1">
        <f>DATE(2010,6,7) + TIME(7,15,24)</f>
        <v>40336.302361111113</v>
      </c>
      <c r="C237">
        <v>80</v>
      </c>
      <c r="D237">
        <v>79.917884826999995</v>
      </c>
      <c r="E237">
        <v>50</v>
      </c>
      <c r="F237">
        <v>14.997107506000001</v>
      </c>
      <c r="G237">
        <v>1402.1864014</v>
      </c>
      <c r="H237">
        <v>1385.7401123</v>
      </c>
      <c r="I237">
        <v>1235.3850098</v>
      </c>
      <c r="J237">
        <v>1188.1188964999999</v>
      </c>
      <c r="K237">
        <v>2875</v>
      </c>
      <c r="L237">
        <v>0</v>
      </c>
      <c r="M237">
        <v>0</v>
      </c>
      <c r="N237">
        <v>2875</v>
      </c>
    </row>
    <row r="238" spans="1:14" x14ac:dyDescent="0.25">
      <c r="A238">
        <v>37.552726999999997</v>
      </c>
      <c r="B238" s="1">
        <f>DATE(2010,6,7) + TIME(13,15,55)</f>
        <v>40336.552719907406</v>
      </c>
      <c r="C238">
        <v>80</v>
      </c>
      <c r="D238">
        <v>79.917907714999998</v>
      </c>
      <c r="E238">
        <v>50</v>
      </c>
      <c r="F238">
        <v>14.997117996</v>
      </c>
      <c r="G238">
        <v>1402.1331786999999</v>
      </c>
      <c r="H238">
        <v>1385.6895752</v>
      </c>
      <c r="I238">
        <v>1235.3905029</v>
      </c>
      <c r="J238">
        <v>1188.1241454999999</v>
      </c>
      <c r="K238">
        <v>2875</v>
      </c>
      <c r="L238">
        <v>0</v>
      </c>
      <c r="M238">
        <v>0</v>
      </c>
      <c r="N238">
        <v>2875</v>
      </c>
    </row>
    <row r="239" spans="1:14" x14ac:dyDescent="0.25">
      <c r="A239">
        <v>37.803091999999999</v>
      </c>
      <c r="B239" s="1">
        <f>DATE(2010,6,7) + TIME(19,16,27)</f>
        <v>40336.803090277775</v>
      </c>
      <c r="C239">
        <v>80</v>
      </c>
      <c r="D239">
        <v>79.917930603000002</v>
      </c>
      <c r="E239">
        <v>50</v>
      </c>
      <c r="F239">
        <v>14.997128486999999</v>
      </c>
      <c r="G239">
        <v>1402.0803223</v>
      </c>
      <c r="H239">
        <v>1385.6392822</v>
      </c>
      <c r="I239">
        <v>1235.3959961</v>
      </c>
      <c r="J239">
        <v>1188.1293945</v>
      </c>
      <c r="K239">
        <v>2875</v>
      </c>
      <c r="L239">
        <v>0</v>
      </c>
      <c r="M239">
        <v>0</v>
      </c>
      <c r="N239">
        <v>2875</v>
      </c>
    </row>
    <row r="240" spans="1:14" x14ac:dyDescent="0.25">
      <c r="A240">
        <v>38.053457000000002</v>
      </c>
      <c r="B240" s="1">
        <f>DATE(2010,6,8) + TIME(1,16,58)</f>
        <v>40337.053449074076</v>
      </c>
      <c r="C240">
        <v>80</v>
      </c>
      <c r="D240">
        <v>79.917961121000005</v>
      </c>
      <c r="E240">
        <v>50</v>
      </c>
      <c r="F240">
        <v>14.997138023</v>
      </c>
      <c r="G240">
        <v>1402.027832</v>
      </c>
      <c r="H240">
        <v>1385.5893555</v>
      </c>
      <c r="I240">
        <v>1235.4014893000001</v>
      </c>
      <c r="J240">
        <v>1188.1346435999999</v>
      </c>
      <c r="K240">
        <v>2875</v>
      </c>
      <c r="L240">
        <v>0</v>
      </c>
      <c r="M240">
        <v>0</v>
      </c>
      <c r="N240">
        <v>2875</v>
      </c>
    </row>
    <row r="241" spans="1:14" x14ac:dyDescent="0.25">
      <c r="A241">
        <v>38.554186000000001</v>
      </c>
      <c r="B241" s="1">
        <f>DATE(2010,6,8) + TIME(13,18,1)</f>
        <v>40337.554178240738</v>
      </c>
      <c r="C241">
        <v>80</v>
      </c>
      <c r="D241">
        <v>79.918014525999993</v>
      </c>
      <c r="E241">
        <v>50</v>
      </c>
      <c r="F241">
        <v>14.997154236</v>
      </c>
      <c r="G241">
        <v>1401.9765625</v>
      </c>
      <c r="H241">
        <v>1385.5407714999999</v>
      </c>
      <c r="I241">
        <v>1235.4074707</v>
      </c>
      <c r="J241">
        <v>1188.1405029</v>
      </c>
      <c r="K241">
        <v>2875</v>
      </c>
      <c r="L241">
        <v>0</v>
      </c>
      <c r="M241">
        <v>0</v>
      </c>
      <c r="N241">
        <v>2875</v>
      </c>
    </row>
    <row r="242" spans="1:14" x14ac:dyDescent="0.25">
      <c r="A242">
        <v>39.055757</v>
      </c>
      <c r="B242" s="1">
        <f>DATE(2010,6,9) + TIME(1,20,17)</f>
        <v>40338.055752314816</v>
      </c>
      <c r="C242">
        <v>80</v>
      </c>
      <c r="D242">
        <v>79.918067932</v>
      </c>
      <c r="E242">
        <v>50</v>
      </c>
      <c r="F242">
        <v>14.997171401999999</v>
      </c>
      <c r="G242">
        <v>1401.8739014</v>
      </c>
      <c r="H242">
        <v>1385.4432373</v>
      </c>
      <c r="I242">
        <v>1235.418457</v>
      </c>
      <c r="J242">
        <v>1188.151001</v>
      </c>
      <c r="K242">
        <v>2875</v>
      </c>
      <c r="L242">
        <v>0</v>
      </c>
      <c r="M242">
        <v>0</v>
      </c>
      <c r="N242">
        <v>2875</v>
      </c>
    </row>
    <row r="243" spans="1:14" x14ac:dyDescent="0.25">
      <c r="A243">
        <v>39.560505999999997</v>
      </c>
      <c r="B243" s="1">
        <f>DATE(2010,6,9) + TIME(13,27,7)</f>
        <v>40338.560497685183</v>
      </c>
      <c r="C243">
        <v>80</v>
      </c>
      <c r="D243">
        <v>79.918121338000006</v>
      </c>
      <c r="E243">
        <v>50</v>
      </c>
      <c r="F243">
        <v>14.997188568</v>
      </c>
      <c r="G243">
        <v>1401.7716064000001</v>
      </c>
      <c r="H243">
        <v>1385.3461914</v>
      </c>
      <c r="I243">
        <v>1235.4295654</v>
      </c>
      <c r="J243">
        <v>1188.1616211</v>
      </c>
      <c r="K243">
        <v>2875</v>
      </c>
      <c r="L243">
        <v>0</v>
      </c>
      <c r="M243">
        <v>0</v>
      </c>
      <c r="N243">
        <v>2875</v>
      </c>
    </row>
    <row r="244" spans="1:14" x14ac:dyDescent="0.25">
      <c r="A244">
        <v>40.069178999999998</v>
      </c>
      <c r="B244" s="1">
        <f>DATE(2010,6,10) + TIME(1,39,37)</f>
        <v>40339.069178240738</v>
      </c>
      <c r="C244">
        <v>80</v>
      </c>
      <c r="D244">
        <v>79.918167113999999</v>
      </c>
      <c r="E244">
        <v>50</v>
      </c>
      <c r="F244">
        <v>14.997207641999999</v>
      </c>
      <c r="G244">
        <v>1401.6700439000001</v>
      </c>
      <c r="H244">
        <v>1385.2497559000001</v>
      </c>
      <c r="I244">
        <v>1235.4406738</v>
      </c>
      <c r="J244">
        <v>1188.1723632999999</v>
      </c>
      <c r="K244">
        <v>2875</v>
      </c>
      <c r="L244">
        <v>0</v>
      </c>
      <c r="M244">
        <v>0</v>
      </c>
      <c r="N244">
        <v>2875</v>
      </c>
    </row>
    <row r="245" spans="1:14" x14ac:dyDescent="0.25">
      <c r="A245">
        <v>40.582549</v>
      </c>
      <c r="B245" s="1">
        <f>DATE(2010,6,10) + TIME(13,58,52)</f>
        <v>40339.582546296297</v>
      </c>
      <c r="C245">
        <v>80</v>
      </c>
      <c r="D245">
        <v>79.918220520000006</v>
      </c>
      <c r="E245">
        <v>50</v>
      </c>
      <c r="F245">
        <v>14.997225760999999</v>
      </c>
      <c r="G245">
        <v>1401.5689697</v>
      </c>
      <c r="H245">
        <v>1385.1538086</v>
      </c>
      <c r="I245">
        <v>1235.4520264</v>
      </c>
      <c r="J245">
        <v>1188.1833495999999</v>
      </c>
      <c r="K245">
        <v>2875</v>
      </c>
      <c r="L245">
        <v>0</v>
      </c>
      <c r="M245">
        <v>0</v>
      </c>
      <c r="N245">
        <v>2875</v>
      </c>
    </row>
    <row r="246" spans="1:14" x14ac:dyDescent="0.25">
      <c r="A246">
        <v>41.101415000000003</v>
      </c>
      <c r="B246" s="1">
        <f>DATE(2010,6,11) + TIME(2,26,2)</f>
        <v>40340.101412037038</v>
      </c>
      <c r="C246">
        <v>80</v>
      </c>
      <c r="D246">
        <v>79.918273925999998</v>
      </c>
      <c r="E246">
        <v>50</v>
      </c>
      <c r="F246">
        <v>14.997244835</v>
      </c>
      <c r="G246">
        <v>1401.4681396000001</v>
      </c>
      <c r="H246">
        <v>1385.0581055</v>
      </c>
      <c r="I246">
        <v>1235.463501</v>
      </c>
      <c r="J246">
        <v>1188.1943358999999</v>
      </c>
      <c r="K246">
        <v>2875</v>
      </c>
      <c r="L246">
        <v>0</v>
      </c>
      <c r="M246">
        <v>0</v>
      </c>
      <c r="N246">
        <v>2875</v>
      </c>
    </row>
    <row r="247" spans="1:14" x14ac:dyDescent="0.25">
      <c r="A247">
        <v>41.626744000000002</v>
      </c>
      <c r="B247" s="1">
        <f>DATE(2010,6,11) + TIME(15,2,30)</f>
        <v>40340.626736111109</v>
      </c>
      <c r="C247">
        <v>80</v>
      </c>
      <c r="D247">
        <v>79.918327332000004</v>
      </c>
      <c r="E247">
        <v>50</v>
      </c>
      <c r="F247">
        <v>14.997262955</v>
      </c>
      <c r="G247">
        <v>1401.3674315999999</v>
      </c>
      <c r="H247">
        <v>1384.9626464999999</v>
      </c>
      <c r="I247">
        <v>1235.4752197</v>
      </c>
      <c r="J247">
        <v>1188.2055664</v>
      </c>
      <c r="K247">
        <v>2875</v>
      </c>
      <c r="L247">
        <v>0</v>
      </c>
      <c r="M247">
        <v>0</v>
      </c>
      <c r="N247">
        <v>2875</v>
      </c>
    </row>
    <row r="248" spans="1:14" x14ac:dyDescent="0.25">
      <c r="A248">
        <v>42.159388</v>
      </c>
      <c r="B248" s="1">
        <f>DATE(2010,6,12) + TIME(3,49,31)</f>
        <v>40341.159386574072</v>
      </c>
      <c r="C248">
        <v>80</v>
      </c>
      <c r="D248">
        <v>79.918380737000007</v>
      </c>
      <c r="E248">
        <v>50</v>
      </c>
      <c r="F248">
        <v>14.997282028000001</v>
      </c>
      <c r="G248">
        <v>1401.2668457</v>
      </c>
      <c r="H248">
        <v>1384.8670654</v>
      </c>
      <c r="I248">
        <v>1235.4870605000001</v>
      </c>
      <c r="J248">
        <v>1188.2169189000001</v>
      </c>
      <c r="K248">
        <v>2875</v>
      </c>
      <c r="L248">
        <v>0</v>
      </c>
      <c r="M248">
        <v>0</v>
      </c>
      <c r="N248">
        <v>2875</v>
      </c>
    </row>
    <row r="249" spans="1:14" x14ac:dyDescent="0.25">
      <c r="A249">
        <v>42.700159999999997</v>
      </c>
      <c r="B249" s="1">
        <f>DATE(2010,6,12) + TIME(16,48,13)</f>
        <v>40341.700150462966</v>
      </c>
      <c r="C249">
        <v>80</v>
      </c>
      <c r="D249">
        <v>79.918434142999999</v>
      </c>
      <c r="E249">
        <v>50</v>
      </c>
      <c r="F249">
        <v>14.997301102</v>
      </c>
      <c r="G249">
        <v>1401.1658935999999</v>
      </c>
      <c r="H249">
        <v>1384.7714844</v>
      </c>
      <c r="I249">
        <v>1235.4991454999999</v>
      </c>
      <c r="J249">
        <v>1188.2285156</v>
      </c>
      <c r="K249">
        <v>2875</v>
      </c>
      <c r="L249">
        <v>0</v>
      </c>
      <c r="M249">
        <v>0</v>
      </c>
      <c r="N249">
        <v>2875</v>
      </c>
    </row>
    <row r="250" spans="1:14" x14ac:dyDescent="0.25">
      <c r="A250">
        <v>43.250022999999999</v>
      </c>
      <c r="B250" s="1">
        <f>DATE(2010,6,13) + TIME(6,0,2)</f>
        <v>40342.250023148146</v>
      </c>
      <c r="C250">
        <v>80</v>
      </c>
      <c r="D250">
        <v>79.918487549000005</v>
      </c>
      <c r="E250">
        <v>50</v>
      </c>
      <c r="F250">
        <v>14.997320175</v>
      </c>
      <c r="G250">
        <v>1401.0648193</v>
      </c>
      <c r="H250">
        <v>1384.6755370999999</v>
      </c>
      <c r="I250">
        <v>1235.5115966999999</v>
      </c>
      <c r="J250">
        <v>1188.2404785000001</v>
      </c>
      <c r="K250">
        <v>2875</v>
      </c>
      <c r="L250">
        <v>0</v>
      </c>
      <c r="M250">
        <v>0</v>
      </c>
      <c r="N250">
        <v>2875</v>
      </c>
    </row>
    <row r="251" spans="1:14" x14ac:dyDescent="0.25">
      <c r="A251">
        <v>43.810175999999998</v>
      </c>
      <c r="B251" s="1">
        <f>DATE(2010,6,13) + TIME(19,26,39)</f>
        <v>40342.810173611113</v>
      </c>
      <c r="C251">
        <v>80</v>
      </c>
      <c r="D251">
        <v>79.918548584000007</v>
      </c>
      <c r="E251">
        <v>50</v>
      </c>
      <c r="F251">
        <v>14.997339248999999</v>
      </c>
      <c r="G251">
        <v>1400.9632568</v>
      </c>
      <c r="H251">
        <v>1384.5792236</v>
      </c>
      <c r="I251">
        <v>1235.5241699000001</v>
      </c>
      <c r="J251">
        <v>1188.2525635</v>
      </c>
      <c r="K251">
        <v>2875</v>
      </c>
      <c r="L251">
        <v>0</v>
      </c>
      <c r="M251">
        <v>0</v>
      </c>
      <c r="N251">
        <v>2875</v>
      </c>
    </row>
    <row r="252" spans="1:14" x14ac:dyDescent="0.25">
      <c r="A252">
        <v>44.380839000000002</v>
      </c>
      <c r="B252" s="1">
        <f>DATE(2010,6,14) + TIME(9,8,24)</f>
        <v>40343.380833333336</v>
      </c>
      <c r="C252">
        <v>80</v>
      </c>
      <c r="D252">
        <v>79.918601989999999</v>
      </c>
      <c r="E252">
        <v>50</v>
      </c>
      <c r="F252">
        <v>14.997358322</v>
      </c>
      <c r="G252">
        <v>1400.8609618999999</v>
      </c>
      <c r="H252">
        <v>1384.4824219</v>
      </c>
      <c r="I252">
        <v>1235.5371094</v>
      </c>
      <c r="J252">
        <v>1188.2648925999999</v>
      </c>
      <c r="K252">
        <v>2875</v>
      </c>
      <c r="L252">
        <v>0</v>
      </c>
      <c r="M252">
        <v>0</v>
      </c>
      <c r="N252">
        <v>2875</v>
      </c>
    </row>
    <row r="253" spans="1:14" x14ac:dyDescent="0.25">
      <c r="A253">
        <v>44.667755</v>
      </c>
      <c r="B253" s="1">
        <f>DATE(2010,6,14) + TIME(16,1,34)</f>
        <v>40343.667754629627</v>
      </c>
      <c r="C253">
        <v>80</v>
      </c>
      <c r="D253">
        <v>79.918624878000003</v>
      </c>
      <c r="E253">
        <v>50</v>
      </c>
      <c r="F253">
        <v>14.997371674</v>
      </c>
      <c r="G253">
        <v>1400.7576904</v>
      </c>
      <c r="H253">
        <v>1384.3843993999999</v>
      </c>
      <c r="I253">
        <v>1235.5496826000001</v>
      </c>
      <c r="J253">
        <v>1188.2769774999999</v>
      </c>
      <c r="K253">
        <v>2875</v>
      </c>
      <c r="L253">
        <v>0</v>
      </c>
      <c r="M253">
        <v>0</v>
      </c>
      <c r="N253">
        <v>2875</v>
      </c>
    </row>
    <row r="254" spans="1:14" x14ac:dyDescent="0.25">
      <c r="A254">
        <v>44.954670999999998</v>
      </c>
      <c r="B254" s="1">
        <f>DATE(2010,6,14) + TIME(22,54,43)</f>
        <v>40343.954664351855</v>
      </c>
      <c r="C254">
        <v>80</v>
      </c>
      <c r="D254">
        <v>79.918647766000007</v>
      </c>
      <c r="E254">
        <v>50</v>
      </c>
      <c r="F254">
        <v>14.997383118</v>
      </c>
      <c r="G254">
        <v>1400.7054443</v>
      </c>
      <c r="H254">
        <v>1384.3347168</v>
      </c>
      <c r="I254">
        <v>1235.5565185999999</v>
      </c>
      <c r="J254">
        <v>1188.2835693</v>
      </c>
      <c r="K254">
        <v>2875</v>
      </c>
      <c r="L254">
        <v>0</v>
      </c>
      <c r="M254">
        <v>0</v>
      </c>
      <c r="N254">
        <v>2875</v>
      </c>
    </row>
    <row r="255" spans="1:14" x14ac:dyDescent="0.25">
      <c r="A255">
        <v>45.241588</v>
      </c>
      <c r="B255" s="1">
        <f>DATE(2010,6,15) + TIME(5,47,53)</f>
        <v>40344.241585648146</v>
      </c>
      <c r="C255">
        <v>80</v>
      </c>
      <c r="D255">
        <v>79.918678283999995</v>
      </c>
      <c r="E255">
        <v>50</v>
      </c>
      <c r="F255">
        <v>14.997394562</v>
      </c>
      <c r="G255">
        <v>1400.6542969</v>
      </c>
      <c r="H255">
        <v>1384.2863769999999</v>
      </c>
      <c r="I255">
        <v>1235.5632324000001</v>
      </c>
      <c r="J255">
        <v>1188.2900391000001</v>
      </c>
      <c r="K255">
        <v>2875</v>
      </c>
      <c r="L255">
        <v>0</v>
      </c>
      <c r="M255">
        <v>0</v>
      </c>
      <c r="N255">
        <v>2875</v>
      </c>
    </row>
    <row r="256" spans="1:14" x14ac:dyDescent="0.25">
      <c r="A256">
        <v>45.528503999999998</v>
      </c>
      <c r="B256" s="1">
        <f>DATE(2010,6,15) + TIME(12,41,2)</f>
        <v>40344.528495370374</v>
      </c>
      <c r="C256">
        <v>80</v>
      </c>
      <c r="D256">
        <v>79.918708800999994</v>
      </c>
      <c r="E256">
        <v>50</v>
      </c>
      <c r="F256">
        <v>14.997405052</v>
      </c>
      <c r="G256">
        <v>1400.6036377</v>
      </c>
      <c r="H256">
        <v>1384.2382812000001</v>
      </c>
      <c r="I256">
        <v>1235.5699463000001</v>
      </c>
      <c r="J256">
        <v>1188.2963867000001</v>
      </c>
      <c r="K256">
        <v>2875</v>
      </c>
      <c r="L256">
        <v>0</v>
      </c>
      <c r="M256">
        <v>0</v>
      </c>
      <c r="N256">
        <v>2875</v>
      </c>
    </row>
    <row r="257" spans="1:14" x14ac:dyDescent="0.25">
      <c r="A257">
        <v>45.815420000000003</v>
      </c>
      <c r="B257" s="1">
        <f>DATE(2010,6,15) + TIME(19,34,12)</f>
        <v>40344.815416666665</v>
      </c>
      <c r="C257">
        <v>80</v>
      </c>
      <c r="D257">
        <v>79.918739318999997</v>
      </c>
      <c r="E257">
        <v>50</v>
      </c>
      <c r="F257">
        <v>14.997415543000001</v>
      </c>
      <c r="G257">
        <v>1400.5532227000001</v>
      </c>
      <c r="H257">
        <v>1384.1905518000001</v>
      </c>
      <c r="I257">
        <v>1235.5767822</v>
      </c>
      <c r="J257">
        <v>1188.3028564000001</v>
      </c>
      <c r="K257">
        <v>2875</v>
      </c>
      <c r="L257">
        <v>0</v>
      </c>
      <c r="M257">
        <v>0</v>
      </c>
      <c r="N257">
        <v>2875</v>
      </c>
    </row>
    <row r="258" spans="1:14" x14ac:dyDescent="0.25">
      <c r="A258">
        <v>46.102336000000001</v>
      </c>
      <c r="B258" s="1">
        <f>DATE(2010,6,16) + TIME(2,27,21)</f>
        <v>40345.102326388886</v>
      </c>
      <c r="C258">
        <v>80</v>
      </c>
      <c r="D258">
        <v>79.918769835999996</v>
      </c>
      <c r="E258">
        <v>50</v>
      </c>
      <c r="F258">
        <v>14.997425078999999</v>
      </c>
      <c r="G258">
        <v>1400.5031738</v>
      </c>
      <c r="H258">
        <v>1384.1430664</v>
      </c>
      <c r="I258">
        <v>1235.5834961</v>
      </c>
      <c r="J258">
        <v>1188.3094481999999</v>
      </c>
      <c r="K258">
        <v>2875</v>
      </c>
      <c r="L258">
        <v>0</v>
      </c>
      <c r="M258">
        <v>0</v>
      </c>
      <c r="N258">
        <v>2875</v>
      </c>
    </row>
    <row r="259" spans="1:14" x14ac:dyDescent="0.25">
      <c r="A259">
        <v>46.389252999999997</v>
      </c>
      <c r="B259" s="1">
        <f>DATE(2010,6,16) + TIME(9,20,31)</f>
        <v>40345.389247685183</v>
      </c>
      <c r="C259">
        <v>80</v>
      </c>
      <c r="D259">
        <v>79.918792725000003</v>
      </c>
      <c r="E259">
        <v>50</v>
      </c>
      <c r="F259">
        <v>14.99743557</v>
      </c>
      <c r="G259">
        <v>1400.4533690999999</v>
      </c>
      <c r="H259">
        <v>1384.0958252</v>
      </c>
      <c r="I259">
        <v>1235.590332</v>
      </c>
      <c r="J259">
        <v>1188.315918</v>
      </c>
      <c r="K259">
        <v>2875</v>
      </c>
      <c r="L259">
        <v>0</v>
      </c>
      <c r="M259">
        <v>0</v>
      </c>
      <c r="N259">
        <v>2875</v>
      </c>
    </row>
    <row r="260" spans="1:14" x14ac:dyDescent="0.25">
      <c r="A260">
        <v>46.963085</v>
      </c>
      <c r="B260" s="1">
        <f>DATE(2010,6,16) + TIME(23,6,50)</f>
        <v>40345.963078703702</v>
      </c>
      <c r="C260">
        <v>80</v>
      </c>
      <c r="D260">
        <v>79.918861389</v>
      </c>
      <c r="E260">
        <v>50</v>
      </c>
      <c r="F260">
        <v>14.997449874999999</v>
      </c>
      <c r="G260">
        <v>1400.4047852000001</v>
      </c>
      <c r="H260">
        <v>1384.0499268000001</v>
      </c>
      <c r="I260">
        <v>1235.5976562000001</v>
      </c>
      <c r="J260">
        <v>1188.322876</v>
      </c>
      <c r="K260">
        <v>2875</v>
      </c>
      <c r="L260">
        <v>0</v>
      </c>
      <c r="M260">
        <v>0</v>
      </c>
      <c r="N260">
        <v>2875</v>
      </c>
    </row>
    <row r="261" spans="1:14" x14ac:dyDescent="0.25">
      <c r="A261">
        <v>47.537291000000003</v>
      </c>
      <c r="B261" s="1">
        <f>DATE(2010,6,17) + TIME(12,53,41)</f>
        <v>40346.537280092591</v>
      </c>
      <c r="C261">
        <v>80</v>
      </c>
      <c r="D261">
        <v>79.918922424000002</v>
      </c>
      <c r="E261">
        <v>50</v>
      </c>
      <c r="F261">
        <v>14.997466086999999</v>
      </c>
      <c r="G261">
        <v>1400.307251</v>
      </c>
      <c r="H261">
        <v>1383.9575195</v>
      </c>
      <c r="I261">
        <v>1235.6110839999999</v>
      </c>
      <c r="J261">
        <v>1188.3359375</v>
      </c>
      <c r="K261">
        <v>2875</v>
      </c>
      <c r="L261">
        <v>0</v>
      </c>
      <c r="M261">
        <v>0</v>
      </c>
      <c r="N261">
        <v>2875</v>
      </c>
    </row>
    <row r="262" spans="1:14" x14ac:dyDescent="0.25">
      <c r="A262">
        <v>48.114977000000003</v>
      </c>
      <c r="B262" s="1">
        <f>DATE(2010,6,18) + TIME(2,45,34)</f>
        <v>40347.114976851852</v>
      </c>
      <c r="C262">
        <v>80</v>
      </c>
      <c r="D262">
        <v>79.918983459000003</v>
      </c>
      <c r="E262">
        <v>50</v>
      </c>
      <c r="F262">
        <v>14.997483253</v>
      </c>
      <c r="G262">
        <v>1400.2103271000001</v>
      </c>
      <c r="H262">
        <v>1383.8657227000001</v>
      </c>
      <c r="I262">
        <v>1235.6247559000001</v>
      </c>
      <c r="J262">
        <v>1188.348999</v>
      </c>
      <c r="K262">
        <v>2875</v>
      </c>
      <c r="L262">
        <v>0</v>
      </c>
      <c r="M262">
        <v>0</v>
      </c>
      <c r="N262">
        <v>2875</v>
      </c>
    </row>
    <row r="263" spans="1:14" x14ac:dyDescent="0.25">
      <c r="A263">
        <v>48.697015</v>
      </c>
      <c r="B263" s="1">
        <f>DATE(2010,6,18) + TIME(16,43,42)</f>
        <v>40347.697013888886</v>
      </c>
      <c r="C263">
        <v>80</v>
      </c>
      <c r="D263">
        <v>79.919044494999994</v>
      </c>
      <c r="E263">
        <v>50</v>
      </c>
      <c r="F263">
        <v>14.997501373</v>
      </c>
      <c r="G263">
        <v>1400.1138916</v>
      </c>
      <c r="H263">
        <v>1383.7744141000001</v>
      </c>
      <c r="I263">
        <v>1235.6386719</v>
      </c>
      <c r="J263">
        <v>1188.3623047000001</v>
      </c>
      <c r="K263">
        <v>2875</v>
      </c>
      <c r="L263">
        <v>0</v>
      </c>
      <c r="M263">
        <v>0</v>
      </c>
      <c r="N263">
        <v>2875</v>
      </c>
    </row>
    <row r="264" spans="1:14" x14ac:dyDescent="0.25">
      <c r="A264">
        <v>49.284298</v>
      </c>
      <c r="B264" s="1">
        <f>DATE(2010,6,19) + TIME(6,49,23)</f>
        <v>40348.28429398148</v>
      </c>
      <c r="C264">
        <v>80</v>
      </c>
      <c r="D264">
        <v>79.919105529999996</v>
      </c>
      <c r="E264">
        <v>50</v>
      </c>
      <c r="F264">
        <v>14.997519493</v>
      </c>
      <c r="G264">
        <v>1400.0179443</v>
      </c>
      <c r="H264">
        <v>1383.6835937999999</v>
      </c>
      <c r="I264">
        <v>1235.6527100000001</v>
      </c>
      <c r="J264">
        <v>1188.3757324000001</v>
      </c>
      <c r="K264">
        <v>2875</v>
      </c>
      <c r="L264">
        <v>0</v>
      </c>
      <c r="M264">
        <v>0</v>
      </c>
      <c r="N264">
        <v>2875</v>
      </c>
    </row>
    <row r="265" spans="1:14" x14ac:dyDescent="0.25">
      <c r="A265">
        <v>49.877757000000003</v>
      </c>
      <c r="B265" s="1">
        <f>DATE(2010,6,19) + TIME(21,3,58)</f>
        <v>40348.877754629626</v>
      </c>
      <c r="C265">
        <v>80</v>
      </c>
      <c r="D265">
        <v>79.919166564999998</v>
      </c>
      <c r="E265">
        <v>50</v>
      </c>
      <c r="F265">
        <v>14.997537613</v>
      </c>
      <c r="G265">
        <v>1399.9221190999999</v>
      </c>
      <c r="H265">
        <v>1383.5928954999999</v>
      </c>
      <c r="I265">
        <v>1235.6669922000001</v>
      </c>
      <c r="J265">
        <v>1188.3892822</v>
      </c>
      <c r="K265">
        <v>2875</v>
      </c>
      <c r="L265">
        <v>0</v>
      </c>
      <c r="M265">
        <v>0</v>
      </c>
      <c r="N265">
        <v>2875</v>
      </c>
    </row>
    <row r="266" spans="1:14" x14ac:dyDescent="0.25">
      <c r="A266">
        <v>50.478543999999999</v>
      </c>
      <c r="B266" s="1">
        <f>DATE(2010,6,20) + TIME(11,29,6)</f>
        <v>40349.478541666664</v>
      </c>
      <c r="C266">
        <v>80</v>
      </c>
      <c r="D266">
        <v>79.919227599999999</v>
      </c>
      <c r="E266">
        <v>50</v>
      </c>
      <c r="F266">
        <v>14.997555733</v>
      </c>
      <c r="G266">
        <v>1399.8264160000001</v>
      </c>
      <c r="H266">
        <v>1383.5023193</v>
      </c>
      <c r="I266">
        <v>1235.6813964999999</v>
      </c>
      <c r="J266">
        <v>1188.4031981999999</v>
      </c>
      <c r="K266">
        <v>2875</v>
      </c>
      <c r="L266">
        <v>0</v>
      </c>
      <c r="M266">
        <v>0</v>
      </c>
      <c r="N266">
        <v>2875</v>
      </c>
    </row>
    <row r="267" spans="1:14" x14ac:dyDescent="0.25">
      <c r="A267">
        <v>51.087587999999997</v>
      </c>
      <c r="B267" s="1">
        <f>DATE(2010,6,21) + TIME(2,6,7)</f>
        <v>40350.087581018517</v>
      </c>
      <c r="C267">
        <v>80</v>
      </c>
      <c r="D267">
        <v>79.919288635000001</v>
      </c>
      <c r="E267">
        <v>50</v>
      </c>
      <c r="F267">
        <v>14.997574805999999</v>
      </c>
      <c r="G267">
        <v>1399.7305908000001</v>
      </c>
      <c r="H267">
        <v>1383.4116211</v>
      </c>
      <c r="I267">
        <v>1235.6961670000001</v>
      </c>
      <c r="J267">
        <v>1188.4172363</v>
      </c>
      <c r="K267">
        <v>2875</v>
      </c>
      <c r="L267">
        <v>0</v>
      </c>
      <c r="M267">
        <v>0</v>
      </c>
      <c r="N267">
        <v>2875</v>
      </c>
    </row>
    <row r="268" spans="1:14" x14ac:dyDescent="0.25">
      <c r="A268">
        <v>51.705851000000003</v>
      </c>
      <c r="B268" s="1">
        <f>DATE(2010,6,21) + TIME(16,56,25)</f>
        <v>40350.70584490741</v>
      </c>
      <c r="C268">
        <v>80</v>
      </c>
      <c r="D268">
        <v>79.919357300000001</v>
      </c>
      <c r="E268">
        <v>50</v>
      </c>
      <c r="F268">
        <v>14.997592925999999</v>
      </c>
      <c r="G268">
        <v>1399.6345214999999</v>
      </c>
      <c r="H268">
        <v>1383.3208007999999</v>
      </c>
      <c r="I268">
        <v>1235.7111815999999</v>
      </c>
      <c r="J268">
        <v>1188.4316406</v>
      </c>
      <c r="K268">
        <v>2875</v>
      </c>
      <c r="L268">
        <v>0</v>
      </c>
      <c r="M268">
        <v>0</v>
      </c>
      <c r="N268">
        <v>2875</v>
      </c>
    </row>
    <row r="269" spans="1:14" x14ac:dyDescent="0.25">
      <c r="A269">
        <v>52.334460999999997</v>
      </c>
      <c r="B269" s="1">
        <f>DATE(2010,6,22) + TIME(8,1,37)</f>
        <v>40351.334456018521</v>
      </c>
      <c r="C269">
        <v>80</v>
      </c>
      <c r="D269">
        <v>79.919418335000003</v>
      </c>
      <c r="E269">
        <v>50</v>
      </c>
      <c r="F269">
        <v>14.997612</v>
      </c>
      <c r="G269">
        <v>1399.5382079999999</v>
      </c>
      <c r="H269">
        <v>1383.2296143000001</v>
      </c>
      <c r="I269">
        <v>1235.7265625</v>
      </c>
      <c r="J269">
        <v>1188.4462891000001</v>
      </c>
      <c r="K269">
        <v>2875</v>
      </c>
      <c r="L269">
        <v>0</v>
      </c>
      <c r="M269">
        <v>0</v>
      </c>
      <c r="N269">
        <v>2875</v>
      </c>
    </row>
    <row r="270" spans="1:14" x14ac:dyDescent="0.25">
      <c r="A270">
        <v>52.974832999999997</v>
      </c>
      <c r="B270" s="1">
        <f>DATE(2010,6,22) + TIME(23,23,45)</f>
        <v>40351.974826388891</v>
      </c>
      <c r="C270">
        <v>80</v>
      </c>
      <c r="D270">
        <v>79.919487000000004</v>
      </c>
      <c r="E270">
        <v>50</v>
      </c>
      <c r="F270">
        <v>14.997630119</v>
      </c>
      <c r="G270">
        <v>1399.4412841999999</v>
      </c>
      <c r="H270">
        <v>1383.1379394999999</v>
      </c>
      <c r="I270">
        <v>1235.7421875</v>
      </c>
      <c r="J270">
        <v>1188.4613036999999</v>
      </c>
      <c r="K270">
        <v>2875</v>
      </c>
      <c r="L270">
        <v>0</v>
      </c>
      <c r="M270">
        <v>0</v>
      </c>
      <c r="N270">
        <v>2875</v>
      </c>
    </row>
    <row r="271" spans="1:14" x14ac:dyDescent="0.25">
      <c r="A271">
        <v>53.298493000000001</v>
      </c>
      <c r="B271" s="1">
        <f>DATE(2010,6,23) + TIME(7,9,49)</f>
        <v>40352.298483796294</v>
      </c>
      <c r="C271">
        <v>80</v>
      </c>
      <c r="D271">
        <v>79.919509887999993</v>
      </c>
      <c r="E271">
        <v>50</v>
      </c>
      <c r="F271">
        <v>14.997643471</v>
      </c>
      <c r="G271">
        <v>1399.3433838000001</v>
      </c>
      <c r="H271">
        <v>1383.0452881000001</v>
      </c>
      <c r="I271">
        <v>1235.7576904</v>
      </c>
      <c r="J271">
        <v>1188.4759521000001</v>
      </c>
      <c r="K271">
        <v>2875</v>
      </c>
      <c r="L271">
        <v>0</v>
      </c>
      <c r="M271">
        <v>0</v>
      </c>
      <c r="N271">
        <v>2875</v>
      </c>
    </row>
    <row r="272" spans="1:14" x14ac:dyDescent="0.25">
      <c r="A272">
        <v>53.621850000000002</v>
      </c>
      <c r="B272" s="1">
        <f>DATE(2010,6,23) + TIME(14,55,27)</f>
        <v>40352.621840277781</v>
      </c>
      <c r="C272">
        <v>80</v>
      </c>
      <c r="D272">
        <v>79.919548035000005</v>
      </c>
      <c r="E272">
        <v>50</v>
      </c>
      <c r="F272">
        <v>14.997654915</v>
      </c>
      <c r="G272">
        <v>1399.293457</v>
      </c>
      <c r="H272">
        <v>1382.9980469</v>
      </c>
      <c r="I272">
        <v>1235.7661132999999</v>
      </c>
      <c r="J272">
        <v>1188.4840088000001</v>
      </c>
      <c r="K272">
        <v>2875</v>
      </c>
      <c r="L272">
        <v>0</v>
      </c>
      <c r="M272">
        <v>0</v>
      </c>
      <c r="N272">
        <v>2875</v>
      </c>
    </row>
    <row r="273" spans="1:14" x14ac:dyDescent="0.25">
      <c r="A273">
        <v>53.945143999999999</v>
      </c>
      <c r="B273" s="1">
        <f>DATE(2010,6,23) + TIME(22,41,0)</f>
        <v>40352.945138888892</v>
      </c>
      <c r="C273">
        <v>80</v>
      </c>
      <c r="D273">
        <v>79.919578552000004</v>
      </c>
      <c r="E273">
        <v>50</v>
      </c>
      <c r="F273">
        <v>14.997665404999999</v>
      </c>
      <c r="G273">
        <v>1399.2448730000001</v>
      </c>
      <c r="H273">
        <v>1382.9519043</v>
      </c>
      <c r="I273">
        <v>1235.7742920000001</v>
      </c>
      <c r="J273">
        <v>1188.4918213000001</v>
      </c>
      <c r="K273">
        <v>2875</v>
      </c>
      <c r="L273">
        <v>0</v>
      </c>
      <c r="M273">
        <v>0</v>
      </c>
      <c r="N273">
        <v>2875</v>
      </c>
    </row>
    <row r="274" spans="1:14" x14ac:dyDescent="0.25">
      <c r="A274">
        <v>54.268436999999999</v>
      </c>
      <c r="B274" s="1">
        <f>DATE(2010,6,24) + TIME(6,26,32)</f>
        <v>40353.268425925926</v>
      </c>
      <c r="C274">
        <v>80</v>
      </c>
      <c r="D274">
        <v>79.919609070000007</v>
      </c>
      <c r="E274">
        <v>50</v>
      </c>
      <c r="F274">
        <v>14.997675896000001</v>
      </c>
      <c r="G274">
        <v>1399.1965332</v>
      </c>
      <c r="H274">
        <v>1382.90625</v>
      </c>
      <c r="I274">
        <v>1235.7825928</v>
      </c>
      <c r="J274">
        <v>1188.4996338000001</v>
      </c>
      <c r="K274">
        <v>2875</v>
      </c>
      <c r="L274">
        <v>0</v>
      </c>
      <c r="M274">
        <v>0</v>
      </c>
      <c r="N274">
        <v>2875</v>
      </c>
    </row>
    <row r="275" spans="1:14" x14ac:dyDescent="0.25">
      <c r="A275">
        <v>54.591729999999998</v>
      </c>
      <c r="B275" s="1">
        <f>DATE(2010,6,24) + TIME(14,12,5)</f>
        <v>40353.591724537036</v>
      </c>
      <c r="C275">
        <v>80</v>
      </c>
      <c r="D275">
        <v>79.919647217000005</v>
      </c>
      <c r="E275">
        <v>50</v>
      </c>
      <c r="F275">
        <v>14.997686386</v>
      </c>
      <c r="G275">
        <v>1399.1484375</v>
      </c>
      <c r="H275">
        <v>1382.8607178</v>
      </c>
      <c r="I275">
        <v>1235.7907714999999</v>
      </c>
      <c r="J275">
        <v>1188.5075684000001</v>
      </c>
      <c r="K275">
        <v>2875</v>
      </c>
      <c r="L275">
        <v>0</v>
      </c>
      <c r="M275">
        <v>0</v>
      </c>
      <c r="N275">
        <v>2875</v>
      </c>
    </row>
    <row r="276" spans="1:14" x14ac:dyDescent="0.25">
      <c r="A276">
        <v>54.915022999999998</v>
      </c>
      <c r="B276" s="1">
        <f>DATE(2010,6,24) + TIME(21,57,38)</f>
        <v>40353.915023148147</v>
      </c>
      <c r="C276">
        <v>80</v>
      </c>
      <c r="D276">
        <v>79.919677734000004</v>
      </c>
      <c r="E276">
        <v>50</v>
      </c>
      <c r="F276">
        <v>14.997695923</v>
      </c>
      <c r="G276">
        <v>1399.1005858999999</v>
      </c>
      <c r="H276">
        <v>1382.8154297000001</v>
      </c>
      <c r="I276">
        <v>1235.7990723</v>
      </c>
      <c r="J276">
        <v>1188.5155029</v>
      </c>
      <c r="K276">
        <v>2875</v>
      </c>
      <c r="L276">
        <v>0</v>
      </c>
      <c r="M276">
        <v>0</v>
      </c>
      <c r="N276">
        <v>2875</v>
      </c>
    </row>
    <row r="277" spans="1:14" x14ac:dyDescent="0.25">
      <c r="A277">
        <v>55.238317000000002</v>
      </c>
      <c r="B277" s="1">
        <f>DATE(2010,6,25) + TIME(5,43,10)</f>
        <v>40354.238310185188</v>
      </c>
      <c r="C277">
        <v>80</v>
      </c>
      <c r="D277">
        <v>79.919708252000007</v>
      </c>
      <c r="E277">
        <v>50</v>
      </c>
      <c r="F277">
        <v>14.997705460000001</v>
      </c>
      <c r="G277">
        <v>1399.0531006000001</v>
      </c>
      <c r="H277">
        <v>1382.7705077999999</v>
      </c>
      <c r="I277">
        <v>1235.8073730000001</v>
      </c>
      <c r="J277">
        <v>1188.5234375</v>
      </c>
      <c r="K277">
        <v>2875</v>
      </c>
      <c r="L277">
        <v>0</v>
      </c>
      <c r="M277">
        <v>0</v>
      </c>
      <c r="N277">
        <v>2875</v>
      </c>
    </row>
    <row r="278" spans="1:14" x14ac:dyDescent="0.25">
      <c r="A278">
        <v>55.561610000000002</v>
      </c>
      <c r="B278" s="1">
        <f>DATE(2010,6,25) + TIME(13,28,43)</f>
        <v>40354.561608796299</v>
      </c>
      <c r="C278">
        <v>80</v>
      </c>
      <c r="D278">
        <v>79.919746399000005</v>
      </c>
      <c r="E278">
        <v>50</v>
      </c>
      <c r="F278">
        <v>14.997714995999999</v>
      </c>
      <c r="G278">
        <v>1399.0058594</v>
      </c>
      <c r="H278">
        <v>1382.7258300999999</v>
      </c>
      <c r="I278">
        <v>1235.8157959</v>
      </c>
      <c r="J278">
        <v>1188.5313721</v>
      </c>
      <c r="K278">
        <v>2875</v>
      </c>
      <c r="L278">
        <v>0</v>
      </c>
      <c r="M278">
        <v>0</v>
      </c>
      <c r="N278">
        <v>2875</v>
      </c>
    </row>
    <row r="279" spans="1:14" x14ac:dyDescent="0.25">
      <c r="A279">
        <v>56.208196000000001</v>
      </c>
      <c r="B279" s="1">
        <f>DATE(2010,6,26) + TIME(4,59,48)</f>
        <v>40355.208194444444</v>
      </c>
      <c r="C279">
        <v>80</v>
      </c>
      <c r="D279">
        <v>79.919822693</v>
      </c>
      <c r="E279">
        <v>50</v>
      </c>
      <c r="F279">
        <v>14.997728348000001</v>
      </c>
      <c r="G279">
        <v>1398.9595947</v>
      </c>
      <c r="H279">
        <v>1382.6821289</v>
      </c>
      <c r="I279">
        <v>1235.824707</v>
      </c>
      <c r="J279">
        <v>1188.5399170000001</v>
      </c>
      <c r="K279">
        <v>2875</v>
      </c>
      <c r="L279">
        <v>0</v>
      </c>
      <c r="M279">
        <v>0</v>
      </c>
      <c r="N279">
        <v>2875</v>
      </c>
    </row>
    <row r="280" spans="1:14" x14ac:dyDescent="0.25">
      <c r="A280">
        <v>56.854832999999999</v>
      </c>
      <c r="B280" s="1">
        <f>DATE(2010,6,26) + TIME(20,30,57)</f>
        <v>40355.854826388888</v>
      </c>
      <c r="C280">
        <v>80</v>
      </c>
      <c r="D280">
        <v>79.919891356999997</v>
      </c>
      <c r="E280">
        <v>50</v>
      </c>
      <c r="F280">
        <v>14.997744559999999</v>
      </c>
      <c r="G280">
        <v>1398.8669434000001</v>
      </c>
      <c r="H280">
        <v>1382.5946045000001</v>
      </c>
      <c r="I280">
        <v>1235.8413086</v>
      </c>
      <c r="J280">
        <v>1188.5557861</v>
      </c>
      <c r="K280">
        <v>2875</v>
      </c>
      <c r="L280">
        <v>0</v>
      </c>
      <c r="M280">
        <v>0</v>
      </c>
      <c r="N280">
        <v>2875</v>
      </c>
    </row>
    <row r="281" spans="1:14" x14ac:dyDescent="0.25">
      <c r="A281">
        <v>57.505668999999997</v>
      </c>
      <c r="B281" s="1">
        <f>DATE(2010,6,27) + TIME(12,8,9)</f>
        <v>40356.505659722221</v>
      </c>
      <c r="C281">
        <v>80</v>
      </c>
      <c r="D281">
        <v>79.919960021999998</v>
      </c>
      <c r="E281">
        <v>50</v>
      </c>
      <c r="F281">
        <v>14.997761726</v>
      </c>
      <c r="G281">
        <v>1398.7747803</v>
      </c>
      <c r="H281">
        <v>1382.5074463000001</v>
      </c>
      <c r="I281">
        <v>1235.8582764</v>
      </c>
      <c r="J281">
        <v>1188.5718993999999</v>
      </c>
      <c r="K281">
        <v>2875</v>
      </c>
      <c r="L281">
        <v>0</v>
      </c>
      <c r="M281">
        <v>0</v>
      </c>
      <c r="N281">
        <v>2875</v>
      </c>
    </row>
    <row r="282" spans="1:14" x14ac:dyDescent="0.25">
      <c r="A282">
        <v>58.161676</v>
      </c>
      <c r="B282" s="1">
        <f>DATE(2010,6,28) + TIME(3,52,48)</f>
        <v>40357.161666666667</v>
      </c>
      <c r="C282">
        <v>80</v>
      </c>
      <c r="D282">
        <v>79.920028686999999</v>
      </c>
      <c r="E282">
        <v>50</v>
      </c>
      <c r="F282">
        <v>14.997778893</v>
      </c>
      <c r="G282">
        <v>1398.6831055</v>
      </c>
      <c r="H282">
        <v>1382.4206543</v>
      </c>
      <c r="I282">
        <v>1235.8753661999999</v>
      </c>
      <c r="J282">
        <v>1188.5881348</v>
      </c>
      <c r="K282">
        <v>2875</v>
      </c>
      <c r="L282">
        <v>0</v>
      </c>
      <c r="M282">
        <v>0</v>
      </c>
      <c r="N282">
        <v>2875</v>
      </c>
    </row>
    <row r="283" spans="1:14" x14ac:dyDescent="0.25">
      <c r="A283">
        <v>58.823877000000003</v>
      </c>
      <c r="B283" s="1">
        <f>DATE(2010,6,28) + TIME(19,46,22)</f>
        <v>40357.823865740742</v>
      </c>
      <c r="C283">
        <v>80</v>
      </c>
      <c r="D283">
        <v>79.920097350999995</v>
      </c>
      <c r="E283">
        <v>50</v>
      </c>
      <c r="F283">
        <v>14.997796059000001</v>
      </c>
      <c r="G283">
        <v>1398.5915527</v>
      </c>
      <c r="H283">
        <v>1382.3342285000001</v>
      </c>
      <c r="I283">
        <v>1235.8927002</v>
      </c>
      <c r="J283">
        <v>1188.6047363</v>
      </c>
      <c r="K283">
        <v>2875</v>
      </c>
      <c r="L283">
        <v>0</v>
      </c>
      <c r="M283">
        <v>0</v>
      </c>
      <c r="N283">
        <v>2875</v>
      </c>
    </row>
    <row r="284" spans="1:14" x14ac:dyDescent="0.25">
      <c r="A284">
        <v>59.493335000000002</v>
      </c>
      <c r="B284" s="1">
        <f>DATE(2010,6,29) + TIME(11,50,24)</f>
        <v>40358.493333333332</v>
      </c>
      <c r="C284">
        <v>80</v>
      </c>
      <c r="D284">
        <v>79.920166015999996</v>
      </c>
      <c r="E284">
        <v>50</v>
      </c>
      <c r="F284">
        <v>14.997814178</v>
      </c>
      <c r="G284">
        <v>1398.5001221</v>
      </c>
      <c r="H284">
        <v>1382.2478027</v>
      </c>
      <c r="I284">
        <v>1235.9104004000001</v>
      </c>
      <c r="J284">
        <v>1188.6214600000001</v>
      </c>
      <c r="K284">
        <v>2875</v>
      </c>
      <c r="L284">
        <v>0</v>
      </c>
      <c r="M284">
        <v>0</v>
      </c>
      <c r="N284">
        <v>2875</v>
      </c>
    </row>
    <row r="285" spans="1:14" x14ac:dyDescent="0.25">
      <c r="A285">
        <v>60.171444999999999</v>
      </c>
      <c r="B285" s="1">
        <f>DATE(2010,6,30) + TIME(4,6,52)</f>
        <v>40359.171435185184</v>
      </c>
      <c r="C285">
        <v>80</v>
      </c>
      <c r="D285">
        <v>79.920242310000006</v>
      </c>
      <c r="E285">
        <v>50</v>
      </c>
      <c r="F285">
        <v>14.997832298000001</v>
      </c>
      <c r="G285">
        <v>1398.4086914</v>
      </c>
      <c r="H285">
        <v>1382.1613769999999</v>
      </c>
      <c r="I285">
        <v>1235.9283447</v>
      </c>
      <c r="J285">
        <v>1188.6385498</v>
      </c>
      <c r="K285">
        <v>2875</v>
      </c>
      <c r="L285">
        <v>0</v>
      </c>
      <c r="M285">
        <v>0</v>
      </c>
      <c r="N285">
        <v>2875</v>
      </c>
    </row>
    <row r="286" spans="1:14" x14ac:dyDescent="0.25">
      <c r="A286">
        <v>60.859099999999998</v>
      </c>
      <c r="B286" s="1">
        <f>DATE(2010,6,30) + TIME(20,37,6)</f>
        <v>40359.859097222223</v>
      </c>
      <c r="C286">
        <v>80</v>
      </c>
      <c r="D286">
        <v>79.920310974000003</v>
      </c>
      <c r="E286">
        <v>50</v>
      </c>
      <c r="F286">
        <v>14.997850418000001</v>
      </c>
      <c r="G286">
        <v>1398.3170166</v>
      </c>
      <c r="H286">
        <v>1382.0748291</v>
      </c>
      <c r="I286">
        <v>1235.9466553</v>
      </c>
      <c r="J286">
        <v>1188.6560059000001</v>
      </c>
      <c r="K286">
        <v>2875</v>
      </c>
      <c r="L286">
        <v>0</v>
      </c>
      <c r="M286">
        <v>0</v>
      </c>
      <c r="N286">
        <v>2875</v>
      </c>
    </row>
    <row r="287" spans="1:14" x14ac:dyDescent="0.25">
      <c r="A287">
        <v>61</v>
      </c>
      <c r="B287" s="1">
        <f>DATE(2010,7,1) + TIME(0,0,0)</f>
        <v>40360</v>
      </c>
      <c r="C287">
        <v>80</v>
      </c>
      <c r="D287">
        <v>79.920318604000002</v>
      </c>
      <c r="E287">
        <v>50</v>
      </c>
      <c r="F287">
        <v>14.997858046999999</v>
      </c>
      <c r="G287">
        <v>1398.2268065999999</v>
      </c>
      <c r="H287">
        <v>1381.9895019999999</v>
      </c>
      <c r="I287">
        <v>1235.9637451000001</v>
      </c>
      <c r="J287">
        <v>1188.6722411999999</v>
      </c>
      <c r="K287">
        <v>2875</v>
      </c>
      <c r="L287">
        <v>0</v>
      </c>
      <c r="M287">
        <v>0</v>
      </c>
      <c r="N287">
        <v>2875</v>
      </c>
    </row>
    <row r="288" spans="1:14" x14ac:dyDescent="0.25">
      <c r="A288">
        <v>61.698382000000002</v>
      </c>
      <c r="B288" s="1">
        <f>DATE(2010,7,1) + TIME(16,45,40)</f>
        <v>40360.698379629626</v>
      </c>
      <c r="C288">
        <v>80</v>
      </c>
      <c r="D288">
        <v>79.920402526999993</v>
      </c>
      <c r="E288">
        <v>50</v>
      </c>
      <c r="F288">
        <v>14.99787426</v>
      </c>
      <c r="G288">
        <v>1398.2056885</v>
      </c>
      <c r="H288">
        <v>1381.9694824000001</v>
      </c>
      <c r="I288">
        <v>1235.9693603999999</v>
      </c>
      <c r="J288">
        <v>1188.6776123</v>
      </c>
      <c r="K288">
        <v>2875</v>
      </c>
      <c r="L288">
        <v>0</v>
      </c>
      <c r="M288">
        <v>0</v>
      </c>
      <c r="N288">
        <v>2875</v>
      </c>
    </row>
    <row r="289" spans="1:14" x14ac:dyDescent="0.25">
      <c r="A289">
        <v>62.403002000000001</v>
      </c>
      <c r="B289" s="1">
        <f>DATE(2010,7,2) + TIME(9,40,19)</f>
        <v>40361.402997685182</v>
      </c>
      <c r="C289">
        <v>80</v>
      </c>
      <c r="D289">
        <v>79.920478821000003</v>
      </c>
      <c r="E289">
        <v>50</v>
      </c>
      <c r="F289">
        <v>14.997891426000001</v>
      </c>
      <c r="G289">
        <v>1398.1141356999999</v>
      </c>
      <c r="H289">
        <v>1381.8830565999999</v>
      </c>
      <c r="I289">
        <v>1235.9884033000001</v>
      </c>
      <c r="J289">
        <v>1188.6956786999999</v>
      </c>
      <c r="K289">
        <v>2875</v>
      </c>
      <c r="L289">
        <v>0</v>
      </c>
      <c r="M289">
        <v>0</v>
      </c>
      <c r="N289">
        <v>2875</v>
      </c>
    </row>
    <row r="290" spans="1:14" x14ac:dyDescent="0.25">
      <c r="A290">
        <v>63.111885000000001</v>
      </c>
      <c r="B290" s="1">
        <f>DATE(2010,7,3) + TIME(2,41,6)</f>
        <v>40362.111875000002</v>
      </c>
      <c r="C290">
        <v>80</v>
      </c>
      <c r="D290">
        <v>79.920547485</v>
      </c>
      <c r="E290">
        <v>50</v>
      </c>
      <c r="F290">
        <v>14.997909546000001</v>
      </c>
      <c r="G290">
        <v>1398.0220947</v>
      </c>
      <c r="H290">
        <v>1381.7960204999999</v>
      </c>
      <c r="I290">
        <v>1236.0078125</v>
      </c>
      <c r="J290">
        <v>1188.7141113</v>
      </c>
      <c r="K290">
        <v>2875</v>
      </c>
      <c r="L290">
        <v>0</v>
      </c>
      <c r="M290">
        <v>0</v>
      </c>
      <c r="N290">
        <v>2875</v>
      </c>
    </row>
    <row r="291" spans="1:14" x14ac:dyDescent="0.25">
      <c r="A291">
        <v>63.826193000000004</v>
      </c>
      <c r="B291" s="1">
        <f>DATE(2010,7,3) + TIME(19,49,43)</f>
        <v>40362.826192129629</v>
      </c>
      <c r="C291">
        <v>80</v>
      </c>
      <c r="D291">
        <v>79.920623778999996</v>
      </c>
      <c r="E291">
        <v>50</v>
      </c>
      <c r="F291">
        <v>14.997927666000001</v>
      </c>
      <c r="G291">
        <v>1397.9304199000001</v>
      </c>
      <c r="H291">
        <v>1381.7094727000001</v>
      </c>
      <c r="I291">
        <v>1236.0275879000001</v>
      </c>
      <c r="J291">
        <v>1188.7329102000001</v>
      </c>
      <c r="K291">
        <v>2875</v>
      </c>
      <c r="L291">
        <v>0</v>
      </c>
      <c r="M291">
        <v>0</v>
      </c>
      <c r="N291">
        <v>2875</v>
      </c>
    </row>
    <row r="292" spans="1:14" x14ac:dyDescent="0.25">
      <c r="A292">
        <v>64.542636999999999</v>
      </c>
      <c r="B292" s="1">
        <f>DATE(2010,7,4) + TIME(13,1,23)</f>
        <v>40363.542627314811</v>
      </c>
      <c r="C292">
        <v>80</v>
      </c>
      <c r="D292">
        <v>79.920700073000006</v>
      </c>
      <c r="E292">
        <v>50</v>
      </c>
      <c r="F292">
        <v>14.997945786000001</v>
      </c>
      <c r="G292">
        <v>1397.8391113</v>
      </c>
      <c r="H292">
        <v>1381.6231689000001</v>
      </c>
      <c r="I292">
        <v>1236.0476074000001</v>
      </c>
      <c r="J292">
        <v>1188.7518310999999</v>
      </c>
      <c r="K292">
        <v>2875</v>
      </c>
      <c r="L292">
        <v>0</v>
      </c>
      <c r="M292">
        <v>0</v>
      </c>
      <c r="N292">
        <v>2875</v>
      </c>
    </row>
    <row r="293" spans="1:14" x14ac:dyDescent="0.25">
      <c r="A293">
        <v>65.260378000000003</v>
      </c>
      <c r="B293" s="1">
        <f>DATE(2010,7,5) + TIME(6,14,56)</f>
        <v>40364.260370370372</v>
      </c>
      <c r="C293">
        <v>80</v>
      </c>
      <c r="D293">
        <v>79.920776367000002</v>
      </c>
      <c r="E293">
        <v>50</v>
      </c>
      <c r="F293">
        <v>14.997963905000001</v>
      </c>
      <c r="G293">
        <v>1397.7484131000001</v>
      </c>
      <c r="H293">
        <v>1381.5373535000001</v>
      </c>
      <c r="I293">
        <v>1236.0678711</v>
      </c>
      <c r="J293">
        <v>1188.7711182</v>
      </c>
      <c r="K293">
        <v>2875</v>
      </c>
      <c r="L293">
        <v>0</v>
      </c>
      <c r="M293">
        <v>0</v>
      </c>
      <c r="N293">
        <v>2875</v>
      </c>
    </row>
    <row r="294" spans="1:14" x14ac:dyDescent="0.25">
      <c r="A294">
        <v>65.980576999999997</v>
      </c>
      <c r="B294" s="1">
        <f>DATE(2010,7,5) + TIME(23,32,1)</f>
        <v>40364.980567129627</v>
      </c>
      <c r="C294">
        <v>80</v>
      </c>
      <c r="D294">
        <v>79.920852660999998</v>
      </c>
      <c r="E294">
        <v>50</v>
      </c>
      <c r="F294">
        <v>14.997982025000001</v>
      </c>
      <c r="G294">
        <v>1397.6584473</v>
      </c>
      <c r="H294">
        <v>1381.4523925999999</v>
      </c>
      <c r="I294">
        <v>1236.0883789</v>
      </c>
      <c r="J294">
        <v>1188.7905272999999</v>
      </c>
      <c r="K294">
        <v>2875</v>
      </c>
      <c r="L294">
        <v>0</v>
      </c>
      <c r="M294">
        <v>0</v>
      </c>
      <c r="N294">
        <v>2875</v>
      </c>
    </row>
    <row r="295" spans="1:14" x14ac:dyDescent="0.25">
      <c r="A295">
        <v>66.704381999999995</v>
      </c>
      <c r="B295" s="1">
        <f>DATE(2010,7,6) + TIME(16,54,18)</f>
        <v>40365.704375000001</v>
      </c>
      <c r="C295">
        <v>80</v>
      </c>
      <c r="D295">
        <v>79.920928954999994</v>
      </c>
      <c r="E295">
        <v>50</v>
      </c>
      <c r="F295">
        <v>14.998000145000001</v>
      </c>
      <c r="G295">
        <v>1397.5690918</v>
      </c>
      <c r="H295">
        <v>1381.3680420000001</v>
      </c>
      <c r="I295">
        <v>1236.1090088000001</v>
      </c>
      <c r="J295">
        <v>1188.8100586</v>
      </c>
      <c r="K295">
        <v>2875</v>
      </c>
      <c r="L295">
        <v>0</v>
      </c>
      <c r="M295">
        <v>0</v>
      </c>
      <c r="N295">
        <v>2875</v>
      </c>
    </row>
    <row r="296" spans="1:14" x14ac:dyDescent="0.25">
      <c r="A296">
        <v>67.432838000000004</v>
      </c>
      <c r="B296" s="1">
        <f>DATE(2010,7,7) + TIME(10,23,17)</f>
        <v>40366.432835648149</v>
      </c>
      <c r="C296">
        <v>80</v>
      </c>
      <c r="D296">
        <v>79.921005249000004</v>
      </c>
      <c r="E296">
        <v>50</v>
      </c>
      <c r="F296">
        <v>14.998018265000001</v>
      </c>
      <c r="G296">
        <v>1397.4802245999999</v>
      </c>
      <c r="H296">
        <v>1381.2840576000001</v>
      </c>
      <c r="I296">
        <v>1236.1300048999999</v>
      </c>
      <c r="J296">
        <v>1188.8299560999999</v>
      </c>
      <c r="K296">
        <v>2875</v>
      </c>
      <c r="L296">
        <v>0</v>
      </c>
      <c r="M296">
        <v>0</v>
      </c>
      <c r="N296">
        <v>2875</v>
      </c>
    </row>
    <row r="297" spans="1:14" x14ac:dyDescent="0.25">
      <c r="A297">
        <v>68.166908000000006</v>
      </c>
      <c r="B297" s="1">
        <f>DATE(2010,7,8) + TIME(4,0,20)</f>
        <v>40367.166898148149</v>
      </c>
      <c r="C297">
        <v>80</v>
      </c>
      <c r="D297">
        <v>79.921081543</v>
      </c>
      <c r="E297">
        <v>50</v>
      </c>
      <c r="F297">
        <v>14.998036385000001</v>
      </c>
      <c r="G297">
        <v>1397.3916016000001</v>
      </c>
      <c r="H297">
        <v>1381.2003173999999</v>
      </c>
      <c r="I297">
        <v>1236.1512451000001</v>
      </c>
      <c r="J297">
        <v>1188.8500977000001</v>
      </c>
      <c r="K297">
        <v>2875</v>
      </c>
      <c r="L297">
        <v>0</v>
      </c>
      <c r="M297">
        <v>0</v>
      </c>
      <c r="N297">
        <v>2875</v>
      </c>
    </row>
    <row r="298" spans="1:14" x14ac:dyDescent="0.25">
      <c r="A298">
        <v>68.907722000000007</v>
      </c>
      <c r="B298" s="1">
        <f>DATE(2010,7,8) + TIME(21,47,7)</f>
        <v>40367.907719907409</v>
      </c>
      <c r="C298">
        <v>80</v>
      </c>
      <c r="D298">
        <v>79.921165466000005</v>
      </c>
      <c r="E298">
        <v>50</v>
      </c>
      <c r="F298">
        <v>14.998054504000001</v>
      </c>
      <c r="G298">
        <v>1397.3032227000001</v>
      </c>
      <c r="H298">
        <v>1381.1168213000001</v>
      </c>
      <c r="I298">
        <v>1236.1728516000001</v>
      </c>
      <c r="J298">
        <v>1188.8704834</v>
      </c>
      <c r="K298">
        <v>2875</v>
      </c>
      <c r="L298">
        <v>0</v>
      </c>
      <c r="M298">
        <v>0</v>
      </c>
      <c r="N298">
        <v>2875</v>
      </c>
    </row>
    <row r="299" spans="1:14" x14ac:dyDescent="0.25">
      <c r="A299">
        <v>69.655030999999994</v>
      </c>
      <c r="B299" s="1">
        <f>DATE(2010,7,9) + TIME(15,43,14)</f>
        <v>40368.655023148145</v>
      </c>
      <c r="C299">
        <v>80</v>
      </c>
      <c r="D299">
        <v>79.921241760000001</v>
      </c>
      <c r="E299">
        <v>50</v>
      </c>
      <c r="F299">
        <v>14.998072624000001</v>
      </c>
      <c r="G299">
        <v>1397.2149658000001</v>
      </c>
      <c r="H299">
        <v>1381.0334473</v>
      </c>
      <c r="I299">
        <v>1236.1948242000001</v>
      </c>
      <c r="J299">
        <v>1188.8913574000001</v>
      </c>
      <c r="K299">
        <v>2875</v>
      </c>
      <c r="L299">
        <v>0</v>
      </c>
      <c r="M299">
        <v>0</v>
      </c>
      <c r="N299">
        <v>2875</v>
      </c>
    </row>
    <row r="300" spans="1:14" x14ac:dyDescent="0.25">
      <c r="A300">
        <v>70.403666999999999</v>
      </c>
      <c r="B300" s="1">
        <f>DATE(2010,7,10) + TIME(9,41,16)</f>
        <v>40369.403657407405</v>
      </c>
      <c r="C300">
        <v>80</v>
      </c>
      <c r="D300">
        <v>79.921318053999997</v>
      </c>
      <c r="E300">
        <v>50</v>
      </c>
      <c r="F300">
        <v>14.998091698</v>
      </c>
      <c r="G300">
        <v>1397.1267089999999</v>
      </c>
      <c r="H300">
        <v>1380.9500731999999</v>
      </c>
      <c r="I300">
        <v>1236.2171631000001</v>
      </c>
      <c r="J300">
        <v>1188.9124756000001</v>
      </c>
      <c r="K300">
        <v>2875</v>
      </c>
      <c r="L300">
        <v>0</v>
      </c>
      <c r="M300">
        <v>0</v>
      </c>
      <c r="N300">
        <v>2875</v>
      </c>
    </row>
    <row r="301" spans="1:14" x14ac:dyDescent="0.25">
      <c r="A301">
        <v>71.154380000000003</v>
      </c>
      <c r="B301" s="1">
        <f>DATE(2010,7,11) + TIME(3,42,18)</f>
        <v>40370.154374999998</v>
      </c>
      <c r="C301">
        <v>80</v>
      </c>
      <c r="D301">
        <v>79.921401978000006</v>
      </c>
      <c r="E301">
        <v>50</v>
      </c>
      <c r="F301">
        <v>14.998109818</v>
      </c>
      <c r="G301">
        <v>1397.0391846</v>
      </c>
      <c r="H301">
        <v>1380.8674315999999</v>
      </c>
      <c r="I301">
        <v>1236.2397461</v>
      </c>
      <c r="J301">
        <v>1188.9338379000001</v>
      </c>
      <c r="K301">
        <v>2875</v>
      </c>
      <c r="L301">
        <v>0</v>
      </c>
      <c r="M301">
        <v>0</v>
      </c>
      <c r="N301">
        <v>2875</v>
      </c>
    </row>
    <row r="302" spans="1:14" x14ac:dyDescent="0.25">
      <c r="A302">
        <v>71.908416000000003</v>
      </c>
      <c r="B302" s="1">
        <f>DATE(2010,7,11) + TIME(21,48,7)</f>
        <v>40370.908414351848</v>
      </c>
      <c r="C302">
        <v>80</v>
      </c>
      <c r="D302">
        <v>79.921478270999998</v>
      </c>
      <c r="E302">
        <v>50</v>
      </c>
      <c r="F302">
        <v>14.998127937</v>
      </c>
      <c r="G302">
        <v>1396.9523925999999</v>
      </c>
      <c r="H302">
        <v>1380.7852783000001</v>
      </c>
      <c r="I302">
        <v>1236.2626952999999</v>
      </c>
      <c r="J302">
        <v>1188.9553223</v>
      </c>
      <c r="K302">
        <v>2875</v>
      </c>
      <c r="L302">
        <v>0</v>
      </c>
      <c r="M302">
        <v>0</v>
      </c>
      <c r="N302">
        <v>2875</v>
      </c>
    </row>
    <row r="303" spans="1:14" x14ac:dyDescent="0.25">
      <c r="A303">
        <v>72.667005000000003</v>
      </c>
      <c r="B303" s="1">
        <f>DATE(2010,7,12) + TIME(16,0,29)</f>
        <v>40371.667002314818</v>
      </c>
      <c r="C303">
        <v>80</v>
      </c>
      <c r="D303">
        <v>79.921562195000007</v>
      </c>
      <c r="E303">
        <v>50</v>
      </c>
      <c r="F303">
        <v>14.998146057</v>
      </c>
      <c r="G303">
        <v>1396.8659668</v>
      </c>
      <c r="H303">
        <v>1380.7036132999999</v>
      </c>
      <c r="I303">
        <v>1236.2857666</v>
      </c>
      <c r="J303">
        <v>1188.9771728999999</v>
      </c>
      <c r="K303">
        <v>2875</v>
      </c>
      <c r="L303">
        <v>0</v>
      </c>
      <c r="M303">
        <v>0</v>
      </c>
      <c r="N303">
        <v>2875</v>
      </c>
    </row>
    <row r="304" spans="1:14" x14ac:dyDescent="0.25">
      <c r="A304">
        <v>73.431393</v>
      </c>
      <c r="B304" s="1">
        <f>DATE(2010,7,13) + TIME(10,21,12)</f>
        <v>40372.431388888886</v>
      </c>
      <c r="C304">
        <v>80</v>
      </c>
      <c r="D304">
        <v>79.921646117999998</v>
      </c>
      <c r="E304">
        <v>50</v>
      </c>
      <c r="F304">
        <v>14.998164177</v>
      </c>
      <c r="G304">
        <v>1396.7797852000001</v>
      </c>
      <c r="H304">
        <v>1380.6223144999999</v>
      </c>
      <c r="I304">
        <v>1236.3093262</v>
      </c>
      <c r="J304">
        <v>1188.9993896000001</v>
      </c>
      <c r="K304">
        <v>2875</v>
      </c>
      <c r="L304">
        <v>0</v>
      </c>
      <c r="M304">
        <v>0</v>
      </c>
      <c r="N304">
        <v>2875</v>
      </c>
    </row>
    <row r="305" spans="1:14" x14ac:dyDescent="0.25">
      <c r="A305">
        <v>74.202856999999995</v>
      </c>
      <c r="B305" s="1">
        <f>DATE(2010,7,14) + TIME(4,52,6)</f>
        <v>40373.202847222223</v>
      </c>
      <c r="C305">
        <v>80</v>
      </c>
      <c r="D305">
        <v>79.921722411999994</v>
      </c>
      <c r="E305">
        <v>50</v>
      </c>
      <c r="F305">
        <v>14.99818325</v>
      </c>
      <c r="G305">
        <v>1396.6938477000001</v>
      </c>
      <c r="H305">
        <v>1380.5411377</v>
      </c>
      <c r="I305">
        <v>1236.3332519999999</v>
      </c>
      <c r="J305">
        <v>1189.0219727000001</v>
      </c>
      <c r="K305">
        <v>2875</v>
      </c>
      <c r="L305">
        <v>0</v>
      </c>
      <c r="M305">
        <v>0</v>
      </c>
      <c r="N305">
        <v>2875</v>
      </c>
    </row>
    <row r="306" spans="1:14" x14ac:dyDescent="0.25">
      <c r="A306">
        <v>74.982680000000002</v>
      </c>
      <c r="B306" s="1">
        <f>DATE(2010,7,14) + TIME(23,35,3)</f>
        <v>40373.982673611114</v>
      </c>
      <c r="C306">
        <v>80</v>
      </c>
      <c r="D306">
        <v>79.921806334999999</v>
      </c>
      <c r="E306">
        <v>50</v>
      </c>
      <c r="F306">
        <v>14.998202323999999</v>
      </c>
      <c r="G306">
        <v>1396.6079102000001</v>
      </c>
      <c r="H306">
        <v>1380.4598389</v>
      </c>
      <c r="I306">
        <v>1236.3575439000001</v>
      </c>
      <c r="J306">
        <v>1189.0449219</v>
      </c>
      <c r="K306">
        <v>2875</v>
      </c>
      <c r="L306">
        <v>0</v>
      </c>
      <c r="M306">
        <v>0</v>
      </c>
      <c r="N306">
        <v>2875</v>
      </c>
    </row>
    <row r="307" spans="1:14" x14ac:dyDescent="0.25">
      <c r="A307">
        <v>75.768846999999994</v>
      </c>
      <c r="B307" s="1">
        <f>DATE(2010,7,15) + TIME(18,27,8)</f>
        <v>40374.768842592595</v>
      </c>
      <c r="C307">
        <v>80</v>
      </c>
      <c r="D307">
        <v>79.921890258999994</v>
      </c>
      <c r="E307">
        <v>50</v>
      </c>
      <c r="F307">
        <v>14.998220443999999</v>
      </c>
      <c r="G307">
        <v>1396.5218506000001</v>
      </c>
      <c r="H307">
        <v>1380.3785399999999</v>
      </c>
      <c r="I307">
        <v>1236.3824463000001</v>
      </c>
      <c r="J307">
        <v>1189.0682373</v>
      </c>
      <c r="K307">
        <v>2875</v>
      </c>
      <c r="L307">
        <v>0</v>
      </c>
      <c r="M307">
        <v>0</v>
      </c>
      <c r="N307">
        <v>2875</v>
      </c>
    </row>
    <row r="308" spans="1:14" x14ac:dyDescent="0.25">
      <c r="A308">
        <v>76.558336999999995</v>
      </c>
      <c r="B308" s="1">
        <f>DATE(2010,7,16) + TIME(13,24,0)</f>
        <v>40375.558333333334</v>
      </c>
      <c r="C308">
        <v>80</v>
      </c>
      <c r="D308">
        <v>79.921974182</v>
      </c>
      <c r="E308">
        <v>50</v>
      </c>
      <c r="F308">
        <v>14.998240471000001</v>
      </c>
      <c r="G308">
        <v>1396.4359131000001</v>
      </c>
      <c r="H308">
        <v>1380.2973632999999</v>
      </c>
      <c r="I308">
        <v>1236.4077147999999</v>
      </c>
      <c r="J308">
        <v>1189.0920410000001</v>
      </c>
      <c r="K308">
        <v>2875</v>
      </c>
      <c r="L308">
        <v>0</v>
      </c>
      <c r="M308">
        <v>0</v>
      </c>
      <c r="N308">
        <v>2875</v>
      </c>
    </row>
    <row r="309" spans="1:14" x14ac:dyDescent="0.25">
      <c r="A309">
        <v>76.954207999999994</v>
      </c>
      <c r="B309" s="1">
        <f>DATE(2010,7,16) + TIME(22,54,3)</f>
        <v>40375.954201388886</v>
      </c>
      <c r="C309">
        <v>80</v>
      </c>
      <c r="D309">
        <v>79.922004700000002</v>
      </c>
      <c r="E309">
        <v>50</v>
      </c>
      <c r="F309">
        <v>14.998253822000001</v>
      </c>
      <c r="G309">
        <v>1396.3502197</v>
      </c>
      <c r="H309">
        <v>1380.2163086</v>
      </c>
      <c r="I309">
        <v>1236.4327393000001</v>
      </c>
      <c r="J309">
        <v>1189.1156006000001</v>
      </c>
      <c r="K309">
        <v>2875</v>
      </c>
      <c r="L309">
        <v>0</v>
      </c>
      <c r="M309">
        <v>0</v>
      </c>
      <c r="N309">
        <v>2875</v>
      </c>
    </row>
    <row r="310" spans="1:14" x14ac:dyDescent="0.25">
      <c r="A310">
        <v>77.350078999999994</v>
      </c>
      <c r="B310" s="1">
        <f>DATE(2010,7,17) + TIME(8,24,6)</f>
        <v>40376.350069444445</v>
      </c>
      <c r="C310">
        <v>80</v>
      </c>
      <c r="D310">
        <v>79.922050475999995</v>
      </c>
      <c r="E310">
        <v>50</v>
      </c>
      <c r="F310">
        <v>14.99826622</v>
      </c>
      <c r="G310">
        <v>1396.3067627</v>
      </c>
      <c r="H310">
        <v>1380.1751709</v>
      </c>
      <c r="I310">
        <v>1236.4459228999999</v>
      </c>
      <c r="J310">
        <v>1189.1280518000001</v>
      </c>
      <c r="K310">
        <v>2875</v>
      </c>
      <c r="L310">
        <v>0</v>
      </c>
      <c r="M310">
        <v>0</v>
      </c>
      <c r="N310">
        <v>2875</v>
      </c>
    </row>
    <row r="311" spans="1:14" x14ac:dyDescent="0.25">
      <c r="A311">
        <v>77.745948999999996</v>
      </c>
      <c r="B311" s="1">
        <f>DATE(2010,7,17) + TIME(17,54,10)</f>
        <v>40376.745949074073</v>
      </c>
      <c r="C311">
        <v>80</v>
      </c>
      <c r="D311">
        <v>79.922088622999993</v>
      </c>
      <c r="E311">
        <v>50</v>
      </c>
      <c r="F311">
        <v>14.998277664</v>
      </c>
      <c r="G311">
        <v>1396.2642822</v>
      </c>
      <c r="H311">
        <v>1380.1350098</v>
      </c>
      <c r="I311">
        <v>1236.4589844</v>
      </c>
      <c r="J311">
        <v>1189.1403809000001</v>
      </c>
      <c r="K311">
        <v>2875</v>
      </c>
      <c r="L311">
        <v>0</v>
      </c>
      <c r="M311">
        <v>0</v>
      </c>
      <c r="N311">
        <v>2875</v>
      </c>
    </row>
    <row r="312" spans="1:14" x14ac:dyDescent="0.25">
      <c r="A312">
        <v>78.141819999999996</v>
      </c>
      <c r="B312" s="1">
        <f>DATE(2010,7,18) + TIME(3,24,13)</f>
        <v>40377.141817129632</v>
      </c>
      <c r="C312">
        <v>80</v>
      </c>
      <c r="D312">
        <v>79.922134399000001</v>
      </c>
      <c r="E312">
        <v>50</v>
      </c>
      <c r="F312">
        <v>14.998289108</v>
      </c>
      <c r="G312">
        <v>1396.2220459</v>
      </c>
      <c r="H312">
        <v>1380.0949707</v>
      </c>
      <c r="I312">
        <v>1236.472168</v>
      </c>
      <c r="J312">
        <v>1189.1527100000001</v>
      </c>
      <c r="K312">
        <v>2875</v>
      </c>
      <c r="L312">
        <v>0</v>
      </c>
      <c r="M312">
        <v>0</v>
      </c>
      <c r="N312">
        <v>2875</v>
      </c>
    </row>
    <row r="313" spans="1:14" x14ac:dyDescent="0.25">
      <c r="A313">
        <v>78.537690999999995</v>
      </c>
      <c r="B313" s="1">
        <f>DATE(2010,7,18) + TIME(12,54,16)</f>
        <v>40377.537685185183</v>
      </c>
      <c r="C313">
        <v>80</v>
      </c>
      <c r="D313">
        <v>79.922172545999999</v>
      </c>
      <c r="E313">
        <v>50</v>
      </c>
      <c r="F313">
        <v>14.998299598999999</v>
      </c>
      <c r="G313">
        <v>1396.1799315999999</v>
      </c>
      <c r="H313">
        <v>1380.0552978999999</v>
      </c>
      <c r="I313">
        <v>1236.4853516000001</v>
      </c>
      <c r="J313">
        <v>1189.1650391000001</v>
      </c>
      <c r="K313">
        <v>2875</v>
      </c>
      <c r="L313">
        <v>0</v>
      </c>
      <c r="M313">
        <v>0</v>
      </c>
      <c r="N313">
        <v>2875</v>
      </c>
    </row>
    <row r="314" spans="1:14" x14ac:dyDescent="0.25">
      <c r="A314">
        <v>78.933561999999995</v>
      </c>
      <c r="B314" s="1">
        <f>DATE(2010,7,18) + TIME(22,24,19)</f>
        <v>40377.933553240742</v>
      </c>
      <c r="C314">
        <v>80</v>
      </c>
      <c r="D314">
        <v>79.922218322999996</v>
      </c>
      <c r="E314">
        <v>50</v>
      </c>
      <c r="F314">
        <v>14.998311042999999</v>
      </c>
      <c r="G314">
        <v>1396.1381836</v>
      </c>
      <c r="H314">
        <v>1380.015625</v>
      </c>
      <c r="I314">
        <v>1236.4986572</v>
      </c>
      <c r="J314">
        <v>1189.1774902</v>
      </c>
      <c r="K314">
        <v>2875</v>
      </c>
      <c r="L314">
        <v>0</v>
      </c>
      <c r="M314">
        <v>0</v>
      </c>
      <c r="N314">
        <v>2875</v>
      </c>
    </row>
    <row r="315" spans="1:14" x14ac:dyDescent="0.25">
      <c r="A315">
        <v>79.329432999999995</v>
      </c>
      <c r="B315" s="1">
        <f>DATE(2010,7,19) + TIME(7,54,22)</f>
        <v>40378.329421296294</v>
      </c>
      <c r="C315">
        <v>80</v>
      </c>
      <c r="D315">
        <v>79.922256469999994</v>
      </c>
      <c r="E315">
        <v>50</v>
      </c>
      <c r="F315">
        <v>14.998321533</v>
      </c>
      <c r="G315">
        <v>1396.0964355000001</v>
      </c>
      <c r="H315">
        <v>1379.9763184000001</v>
      </c>
      <c r="I315">
        <v>1236.5119629000001</v>
      </c>
      <c r="J315">
        <v>1189.1900635</v>
      </c>
      <c r="K315">
        <v>2875</v>
      </c>
      <c r="L315">
        <v>0</v>
      </c>
      <c r="M315">
        <v>0</v>
      </c>
      <c r="N315">
        <v>2875</v>
      </c>
    </row>
    <row r="316" spans="1:14" x14ac:dyDescent="0.25">
      <c r="A316">
        <v>79.725303999999994</v>
      </c>
      <c r="B316" s="1">
        <f>DATE(2010,7,19) + TIME(17,24,26)</f>
        <v>40378.725300925929</v>
      </c>
      <c r="C316">
        <v>80</v>
      </c>
      <c r="D316">
        <v>79.922302246000001</v>
      </c>
      <c r="E316">
        <v>50</v>
      </c>
      <c r="F316">
        <v>14.998332024</v>
      </c>
      <c r="G316">
        <v>1396.0550536999999</v>
      </c>
      <c r="H316">
        <v>1379.9370117000001</v>
      </c>
      <c r="I316">
        <v>1236.5253906</v>
      </c>
      <c r="J316">
        <v>1189.2026367000001</v>
      </c>
      <c r="K316">
        <v>2875</v>
      </c>
      <c r="L316">
        <v>0</v>
      </c>
      <c r="M316">
        <v>0</v>
      </c>
      <c r="N316">
        <v>2875</v>
      </c>
    </row>
    <row r="317" spans="1:14" x14ac:dyDescent="0.25">
      <c r="A317">
        <v>80.121174999999994</v>
      </c>
      <c r="B317" s="1">
        <f>DATE(2010,7,20) + TIME(2,54,29)</f>
        <v>40379.121168981481</v>
      </c>
      <c r="C317">
        <v>80</v>
      </c>
      <c r="D317">
        <v>79.922340392999999</v>
      </c>
      <c r="E317">
        <v>50</v>
      </c>
      <c r="F317">
        <v>14.998342514000001</v>
      </c>
      <c r="G317">
        <v>1396.0136719</v>
      </c>
      <c r="H317">
        <v>1379.8979492000001</v>
      </c>
      <c r="I317">
        <v>1236.5388184000001</v>
      </c>
      <c r="J317">
        <v>1189.2152100000001</v>
      </c>
      <c r="K317">
        <v>2875</v>
      </c>
      <c r="L317">
        <v>0</v>
      </c>
      <c r="M317">
        <v>0</v>
      </c>
      <c r="N317">
        <v>2875</v>
      </c>
    </row>
    <row r="318" spans="1:14" x14ac:dyDescent="0.25">
      <c r="A318">
        <v>80.517044999999996</v>
      </c>
      <c r="B318" s="1">
        <f>DATE(2010,7,20) + TIME(12,24,32)</f>
        <v>40379.51703703704</v>
      </c>
      <c r="C318">
        <v>80</v>
      </c>
      <c r="D318">
        <v>79.922386169000006</v>
      </c>
      <c r="E318">
        <v>50</v>
      </c>
      <c r="F318">
        <v>14.998353957999999</v>
      </c>
      <c r="G318">
        <v>1395.9725341999999</v>
      </c>
      <c r="H318">
        <v>1379.8591309000001</v>
      </c>
      <c r="I318">
        <v>1236.5523682</v>
      </c>
      <c r="J318">
        <v>1189.2279053</v>
      </c>
      <c r="K318">
        <v>2875</v>
      </c>
      <c r="L318">
        <v>0</v>
      </c>
      <c r="M318">
        <v>0</v>
      </c>
      <c r="N318">
        <v>2875</v>
      </c>
    </row>
    <row r="319" spans="1:14" x14ac:dyDescent="0.25">
      <c r="A319">
        <v>80.912915999999996</v>
      </c>
      <c r="B319" s="1">
        <f>DATE(2010,7,20) + TIME(21,54,35)</f>
        <v>40379.912905092591</v>
      </c>
      <c r="C319">
        <v>80</v>
      </c>
      <c r="D319">
        <v>79.922424316000004</v>
      </c>
      <c r="E319">
        <v>50</v>
      </c>
      <c r="F319">
        <v>14.998364449</v>
      </c>
      <c r="G319">
        <v>1395.9316406</v>
      </c>
      <c r="H319">
        <v>1379.8203125</v>
      </c>
      <c r="I319">
        <v>1236.565918</v>
      </c>
      <c r="J319">
        <v>1189.2407227000001</v>
      </c>
      <c r="K319">
        <v>2875</v>
      </c>
      <c r="L319">
        <v>0</v>
      </c>
      <c r="M319">
        <v>0</v>
      </c>
      <c r="N319">
        <v>2875</v>
      </c>
    </row>
    <row r="320" spans="1:14" x14ac:dyDescent="0.25">
      <c r="A320">
        <v>81.308786999999995</v>
      </c>
      <c r="B320" s="1">
        <f>DATE(2010,7,21) + TIME(7,24,39)</f>
        <v>40380.30878472222</v>
      </c>
      <c r="C320">
        <v>80</v>
      </c>
      <c r="D320">
        <v>79.922470093000001</v>
      </c>
      <c r="E320">
        <v>50</v>
      </c>
      <c r="F320">
        <v>14.998375893</v>
      </c>
      <c r="G320">
        <v>1395.8908690999999</v>
      </c>
      <c r="H320">
        <v>1379.7818603999999</v>
      </c>
      <c r="I320">
        <v>1236.5795897999999</v>
      </c>
      <c r="J320">
        <v>1189.2535399999999</v>
      </c>
      <c r="K320">
        <v>2875</v>
      </c>
      <c r="L320">
        <v>0</v>
      </c>
      <c r="M320">
        <v>0</v>
      </c>
      <c r="N320">
        <v>2875</v>
      </c>
    </row>
    <row r="321" spans="1:14" x14ac:dyDescent="0.25">
      <c r="A321">
        <v>82.100528999999995</v>
      </c>
      <c r="B321" s="1">
        <f>DATE(2010,7,22) + TIME(2,24,45)</f>
        <v>40381.10052083333</v>
      </c>
      <c r="C321">
        <v>80</v>
      </c>
      <c r="D321">
        <v>79.922561646000005</v>
      </c>
      <c r="E321">
        <v>50</v>
      </c>
      <c r="F321">
        <v>14.998392105000001</v>
      </c>
      <c r="G321">
        <v>1395.8509521000001</v>
      </c>
      <c r="H321">
        <v>1379.7440185999999</v>
      </c>
      <c r="I321">
        <v>1236.5938721</v>
      </c>
      <c r="J321">
        <v>1189.2669678</v>
      </c>
      <c r="K321">
        <v>2875</v>
      </c>
      <c r="L321">
        <v>0</v>
      </c>
      <c r="M321">
        <v>0</v>
      </c>
      <c r="N321">
        <v>2875</v>
      </c>
    </row>
    <row r="322" spans="1:14" x14ac:dyDescent="0.25">
      <c r="A322">
        <v>82.892814000000001</v>
      </c>
      <c r="B322" s="1">
        <f>DATE(2010,7,22) + TIME(21,25,39)</f>
        <v>40381.892812500002</v>
      </c>
      <c r="C322">
        <v>80</v>
      </c>
      <c r="D322">
        <v>79.922645568999997</v>
      </c>
      <c r="E322">
        <v>50</v>
      </c>
      <c r="F322">
        <v>14.998413085999999</v>
      </c>
      <c r="G322">
        <v>1395.770874</v>
      </c>
      <c r="H322">
        <v>1379.6683350000001</v>
      </c>
      <c r="I322">
        <v>1236.6213379000001</v>
      </c>
      <c r="J322">
        <v>1189.2926024999999</v>
      </c>
      <c r="K322">
        <v>2875</v>
      </c>
      <c r="L322">
        <v>0</v>
      </c>
      <c r="M322">
        <v>0</v>
      </c>
      <c r="N322">
        <v>2875</v>
      </c>
    </row>
    <row r="323" spans="1:14" x14ac:dyDescent="0.25">
      <c r="A323">
        <v>83.693213</v>
      </c>
      <c r="B323" s="1">
        <f>DATE(2010,7,23) + TIME(16,38,13)</f>
        <v>40382.693206018521</v>
      </c>
      <c r="C323">
        <v>80</v>
      </c>
      <c r="D323">
        <v>79.922729492000002</v>
      </c>
      <c r="E323">
        <v>50</v>
      </c>
      <c r="F323">
        <v>14.998435974</v>
      </c>
      <c r="G323">
        <v>1395.690918</v>
      </c>
      <c r="H323">
        <v>1379.5927733999999</v>
      </c>
      <c r="I323">
        <v>1236.6491699000001</v>
      </c>
      <c r="J323">
        <v>1189.3187256000001</v>
      </c>
      <c r="K323">
        <v>2875</v>
      </c>
      <c r="L323">
        <v>0</v>
      </c>
      <c r="M323">
        <v>0</v>
      </c>
      <c r="N323">
        <v>2875</v>
      </c>
    </row>
    <row r="324" spans="1:14" x14ac:dyDescent="0.25">
      <c r="A324">
        <v>84.502927</v>
      </c>
      <c r="B324" s="1">
        <f>DATE(2010,7,24) + TIME(12,4,12)</f>
        <v>40383.502916666665</v>
      </c>
      <c r="C324">
        <v>80</v>
      </c>
      <c r="D324">
        <v>79.922813415999997</v>
      </c>
      <c r="E324">
        <v>50</v>
      </c>
      <c r="F324">
        <v>14.998460769999999</v>
      </c>
      <c r="G324">
        <v>1395.6109618999999</v>
      </c>
      <c r="H324">
        <v>1379.5170897999999</v>
      </c>
      <c r="I324">
        <v>1236.6777344</v>
      </c>
      <c r="J324">
        <v>1189.3453368999999</v>
      </c>
      <c r="K324">
        <v>2875</v>
      </c>
      <c r="L324">
        <v>0</v>
      </c>
      <c r="M324">
        <v>0</v>
      </c>
      <c r="N324">
        <v>2875</v>
      </c>
    </row>
    <row r="325" spans="1:14" x14ac:dyDescent="0.25">
      <c r="A325">
        <v>85.323262999999997</v>
      </c>
      <c r="B325" s="1">
        <f>DATE(2010,7,25) + TIME(7,45,29)</f>
        <v>40384.323252314818</v>
      </c>
      <c r="C325">
        <v>80</v>
      </c>
      <c r="D325">
        <v>79.922904967999997</v>
      </c>
      <c r="E325">
        <v>50</v>
      </c>
      <c r="F325">
        <v>14.998488426</v>
      </c>
      <c r="G325">
        <v>1395.5306396000001</v>
      </c>
      <c r="H325">
        <v>1379.4412841999999</v>
      </c>
      <c r="I325">
        <v>1236.7067870999999</v>
      </c>
      <c r="J325">
        <v>1189.3726807</v>
      </c>
      <c r="K325">
        <v>2875</v>
      </c>
      <c r="L325">
        <v>0</v>
      </c>
      <c r="M325">
        <v>0</v>
      </c>
      <c r="N325">
        <v>2875</v>
      </c>
    </row>
    <row r="326" spans="1:14" x14ac:dyDescent="0.25">
      <c r="A326">
        <v>86.155687999999998</v>
      </c>
      <c r="B326" s="1">
        <f>DATE(2010,7,26) + TIME(3,44,11)</f>
        <v>40385.155682870369</v>
      </c>
      <c r="C326">
        <v>80</v>
      </c>
      <c r="D326">
        <v>79.922988892000006</v>
      </c>
      <c r="E326">
        <v>50</v>
      </c>
      <c r="F326">
        <v>14.998518944000001</v>
      </c>
      <c r="G326">
        <v>1395.4499512</v>
      </c>
      <c r="H326">
        <v>1379.3649902</v>
      </c>
      <c r="I326">
        <v>1236.7366943</v>
      </c>
      <c r="J326">
        <v>1189.4005127</v>
      </c>
      <c r="K326">
        <v>2875</v>
      </c>
      <c r="L326">
        <v>0</v>
      </c>
      <c r="M326">
        <v>0</v>
      </c>
      <c r="N326">
        <v>2875</v>
      </c>
    </row>
    <row r="327" spans="1:14" x14ac:dyDescent="0.25">
      <c r="A327">
        <v>86.574183000000005</v>
      </c>
      <c r="B327" s="1">
        <f>DATE(2010,7,26) + TIME(13,46,49)</f>
        <v>40385.574178240742</v>
      </c>
      <c r="C327">
        <v>80</v>
      </c>
      <c r="D327">
        <v>79.923027039000004</v>
      </c>
      <c r="E327">
        <v>50</v>
      </c>
      <c r="F327">
        <v>14.998541832000001</v>
      </c>
      <c r="G327">
        <v>1395.3686522999999</v>
      </c>
      <c r="H327">
        <v>1379.2879639</v>
      </c>
      <c r="I327">
        <v>1236.7667236</v>
      </c>
      <c r="J327">
        <v>1189.4284668</v>
      </c>
      <c r="K327">
        <v>2875</v>
      </c>
      <c r="L327">
        <v>0</v>
      </c>
      <c r="M327">
        <v>0</v>
      </c>
      <c r="N327">
        <v>2875</v>
      </c>
    </row>
    <row r="328" spans="1:14" x14ac:dyDescent="0.25">
      <c r="A328">
        <v>86.992677999999998</v>
      </c>
      <c r="B328" s="1">
        <f>DATE(2010,7,26) + TIME(23,49,27)</f>
        <v>40385.992673611108</v>
      </c>
      <c r="C328">
        <v>80</v>
      </c>
      <c r="D328">
        <v>79.923072814999998</v>
      </c>
      <c r="E328">
        <v>50</v>
      </c>
      <c r="F328">
        <v>14.998562812999999</v>
      </c>
      <c r="G328">
        <v>1395.3271483999999</v>
      </c>
      <c r="H328">
        <v>1379.2487793</v>
      </c>
      <c r="I328">
        <v>1236.7825928</v>
      </c>
      <c r="J328">
        <v>1189.4432373</v>
      </c>
      <c r="K328">
        <v>2875</v>
      </c>
      <c r="L328">
        <v>0</v>
      </c>
      <c r="M328">
        <v>0</v>
      </c>
      <c r="N328">
        <v>2875</v>
      </c>
    </row>
    <row r="329" spans="1:14" x14ac:dyDescent="0.25">
      <c r="A329">
        <v>87.411173000000005</v>
      </c>
      <c r="B329" s="1">
        <f>DATE(2010,7,27) + TIME(9,52,5)</f>
        <v>40386.411168981482</v>
      </c>
      <c r="C329">
        <v>80</v>
      </c>
      <c r="D329">
        <v>79.923110961999996</v>
      </c>
      <c r="E329">
        <v>50</v>
      </c>
      <c r="F329">
        <v>14.998583794</v>
      </c>
      <c r="G329">
        <v>1395.2867432</v>
      </c>
      <c r="H329">
        <v>1379.2104492000001</v>
      </c>
      <c r="I329">
        <v>1236.7983397999999</v>
      </c>
      <c r="J329">
        <v>1189.4578856999999</v>
      </c>
      <c r="K329">
        <v>2875</v>
      </c>
      <c r="L329">
        <v>0</v>
      </c>
      <c r="M329">
        <v>0</v>
      </c>
      <c r="N329">
        <v>2875</v>
      </c>
    </row>
    <row r="330" spans="1:14" x14ac:dyDescent="0.25">
      <c r="A330">
        <v>87.829667999999998</v>
      </c>
      <c r="B330" s="1">
        <f>DATE(2010,7,27) + TIME(19,54,43)</f>
        <v>40386.829664351855</v>
      </c>
      <c r="C330">
        <v>80</v>
      </c>
      <c r="D330">
        <v>79.923156738000003</v>
      </c>
      <c r="E330">
        <v>50</v>
      </c>
      <c r="F330">
        <v>14.998604774</v>
      </c>
      <c r="G330">
        <v>1395.2464600000001</v>
      </c>
      <c r="H330">
        <v>1379.1722411999999</v>
      </c>
      <c r="I330">
        <v>1236.8140868999999</v>
      </c>
      <c r="J330">
        <v>1189.4726562000001</v>
      </c>
      <c r="K330">
        <v>2875</v>
      </c>
      <c r="L330">
        <v>0</v>
      </c>
      <c r="M330">
        <v>0</v>
      </c>
      <c r="N330">
        <v>2875</v>
      </c>
    </row>
    <row r="331" spans="1:14" x14ac:dyDescent="0.25">
      <c r="A331">
        <v>88.248164000000003</v>
      </c>
      <c r="B331" s="1">
        <f>DATE(2010,7,28) + TIME(5,57,21)</f>
        <v>40387.248159722221</v>
      </c>
      <c r="C331">
        <v>80</v>
      </c>
      <c r="D331">
        <v>79.923202515</v>
      </c>
      <c r="E331">
        <v>50</v>
      </c>
      <c r="F331">
        <v>14.998626709</v>
      </c>
      <c r="G331">
        <v>1395.2062988</v>
      </c>
      <c r="H331">
        <v>1379.1343993999999</v>
      </c>
      <c r="I331">
        <v>1236.8299560999999</v>
      </c>
      <c r="J331">
        <v>1189.4874268000001</v>
      </c>
      <c r="K331">
        <v>2875</v>
      </c>
      <c r="L331">
        <v>0</v>
      </c>
      <c r="M331">
        <v>0</v>
      </c>
      <c r="N331">
        <v>2875</v>
      </c>
    </row>
    <row r="332" spans="1:14" x14ac:dyDescent="0.25">
      <c r="A332">
        <v>88.666658999999996</v>
      </c>
      <c r="B332" s="1">
        <f>DATE(2010,7,28) + TIME(15,59,59)</f>
        <v>40387.666655092595</v>
      </c>
      <c r="C332">
        <v>80</v>
      </c>
      <c r="D332">
        <v>79.923248290999993</v>
      </c>
      <c r="E332">
        <v>50</v>
      </c>
      <c r="F332">
        <v>14.998648642999999</v>
      </c>
      <c r="G332">
        <v>1395.1663818</v>
      </c>
      <c r="H332">
        <v>1379.0965576000001</v>
      </c>
      <c r="I332">
        <v>1236.8459473</v>
      </c>
      <c r="J332">
        <v>1189.5023193</v>
      </c>
      <c r="K332">
        <v>2875</v>
      </c>
      <c r="L332">
        <v>0</v>
      </c>
      <c r="M332">
        <v>0</v>
      </c>
      <c r="N332">
        <v>2875</v>
      </c>
    </row>
    <row r="333" spans="1:14" x14ac:dyDescent="0.25">
      <c r="A333">
        <v>89.085154000000003</v>
      </c>
      <c r="B333" s="1">
        <f>DATE(2010,7,29) + TIME(2,2,37)</f>
        <v>40388.085150462961</v>
      </c>
      <c r="C333">
        <v>80</v>
      </c>
      <c r="D333">
        <v>79.923286438000005</v>
      </c>
      <c r="E333">
        <v>50</v>
      </c>
      <c r="F333">
        <v>14.998671531999999</v>
      </c>
      <c r="G333">
        <v>1395.1265868999999</v>
      </c>
      <c r="H333">
        <v>1379.0588379000001</v>
      </c>
      <c r="I333">
        <v>1236.8620605000001</v>
      </c>
      <c r="J333">
        <v>1189.5173339999999</v>
      </c>
      <c r="K333">
        <v>2875</v>
      </c>
      <c r="L333">
        <v>0</v>
      </c>
      <c r="M333">
        <v>0</v>
      </c>
      <c r="N333">
        <v>2875</v>
      </c>
    </row>
    <row r="334" spans="1:14" x14ac:dyDescent="0.25">
      <c r="A334">
        <v>89.503648999999996</v>
      </c>
      <c r="B334" s="1">
        <f>DATE(2010,7,29) + TIME(12,5,15)</f>
        <v>40388.503645833334</v>
      </c>
      <c r="C334">
        <v>80</v>
      </c>
      <c r="D334">
        <v>79.923332213999998</v>
      </c>
      <c r="E334">
        <v>50</v>
      </c>
      <c r="F334">
        <v>14.998695374</v>
      </c>
      <c r="G334">
        <v>1395.0870361</v>
      </c>
      <c r="H334">
        <v>1379.0213623</v>
      </c>
      <c r="I334">
        <v>1236.8781738</v>
      </c>
      <c r="J334">
        <v>1189.5323486</v>
      </c>
      <c r="K334">
        <v>2875</v>
      </c>
      <c r="L334">
        <v>0</v>
      </c>
      <c r="M334">
        <v>0</v>
      </c>
      <c r="N334">
        <v>2875</v>
      </c>
    </row>
    <row r="335" spans="1:14" x14ac:dyDescent="0.25">
      <c r="A335">
        <v>89.922144000000003</v>
      </c>
      <c r="B335" s="1">
        <f>DATE(2010,7,29) + TIME(22,7,53)</f>
        <v>40388.9221412037</v>
      </c>
      <c r="C335">
        <v>80</v>
      </c>
      <c r="D335">
        <v>79.923377990999995</v>
      </c>
      <c r="E335">
        <v>50</v>
      </c>
      <c r="F335">
        <v>14.998721122999999</v>
      </c>
      <c r="G335">
        <v>1395.0476074000001</v>
      </c>
      <c r="H335">
        <v>1378.9840088000001</v>
      </c>
      <c r="I335">
        <v>1236.8944091999999</v>
      </c>
      <c r="J335">
        <v>1189.5474853999999</v>
      </c>
      <c r="K335">
        <v>2875</v>
      </c>
      <c r="L335">
        <v>0</v>
      </c>
      <c r="M335">
        <v>0</v>
      </c>
      <c r="N335">
        <v>2875</v>
      </c>
    </row>
    <row r="336" spans="1:14" x14ac:dyDescent="0.25">
      <c r="A336">
        <v>90.340638999999996</v>
      </c>
      <c r="B336" s="1">
        <f>DATE(2010,7,30) + TIME(8,10,31)</f>
        <v>40389.340636574074</v>
      </c>
      <c r="C336">
        <v>80</v>
      </c>
      <c r="D336">
        <v>79.923423767000003</v>
      </c>
      <c r="E336">
        <v>50</v>
      </c>
      <c r="F336">
        <v>14.998747826000001</v>
      </c>
      <c r="G336">
        <v>1395.0083007999999</v>
      </c>
      <c r="H336">
        <v>1378.9467772999999</v>
      </c>
      <c r="I336">
        <v>1236.9108887</v>
      </c>
      <c r="J336">
        <v>1189.5627440999999</v>
      </c>
      <c r="K336">
        <v>2875</v>
      </c>
      <c r="L336">
        <v>0</v>
      </c>
      <c r="M336">
        <v>0</v>
      </c>
      <c r="N336">
        <v>2875</v>
      </c>
    </row>
    <row r="337" spans="1:14" x14ac:dyDescent="0.25">
      <c r="A337">
        <v>90.759135000000001</v>
      </c>
      <c r="B337" s="1">
        <f>DATE(2010,7,30) + TIME(18,13,9)</f>
        <v>40389.759131944447</v>
      </c>
      <c r="C337">
        <v>80</v>
      </c>
      <c r="D337">
        <v>79.923461914000001</v>
      </c>
      <c r="E337">
        <v>50</v>
      </c>
      <c r="F337">
        <v>14.998775481999999</v>
      </c>
      <c r="G337">
        <v>1394.9691161999999</v>
      </c>
      <c r="H337">
        <v>1378.9097899999999</v>
      </c>
      <c r="I337">
        <v>1236.9273682</v>
      </c>
      <c r="J337">
        <v>1189.578125</v>
      </c>
      <c r="K337">
        <v>2875</v>
      </c>
      <c r="L337">
        <v>0</v>
      </c>
      <c r="M337">
        <v>0</v>
      </c>
      <c r="N337">
        <v>2875</v>
      </c>
    </row>
    <row r="338" spans="1:14" x14ac:dyDescent="0.25">
      <c r="A338">
        <v>91.177629999999994</v>
      </c>
      <c r="B338" s="1">
        <f>DATE(2010,7,31) + TIME(4,15,47)</f>
        <v>40390.177627314813</v>
      </c>
      <c r="C338">
        <v>80</v>
      </c>
      <c r="D338">
        <v>79.923507689999994</v>
      </c>
      <c r="E338">
        <v>50</v>
      </c>
      <c r="F338">
        <v>14.998805045999999</v>
      </c>
      <c r="G338">
        <v>1394.9301757999999</v>
      </c>
      <c r="H338">
        <v>1378.8728027</v>
      </c>
      <c r="I338">
        <v>1236.9439697</v>
      </c>
      <c r="J338">
        <v>1189.5935059000001</v>
      </c>
      <c r="K338">
        <v>2875</v>
      </c>
      <c r="L338">
        <v>0</v>
      </c>
      <c r="M338">
        <v>0</v>
      </c>
      <c r="N338">
        <v>2875</v>
      </c>
    </row>
    <row r="339" spans="1:14" x14ac:dyDescent="0.25">
      <c r="A339">
        <v>92</v>
      </c>
      <c r="B339" s="1">
        <f>DATE(2010,8,1) + TIME(0,0,0)</f>
        <v>40391</v>
      </c>
      <c r="C339">
        <v>80</v>
      </c>
      <c r="D339">
        <v>79.923606872999997</v>
      </c>
      <c r="E339">
        <v>50</v>
      </c>
      <c r="F339">
        <v>14.998850822</v>
      </c>
      <c r="G339">
        <v>1394.8918457</v>
      </c>
      <c r="H339">
        <v>1378.8365478999999</v>
      </c>
      <c r="I339">
        <v>1236.9610596</v>
      </c>
      <c r="J339">
        <v>1189.6094971</v>
      </c>
      <c r="K339">
        <v>2875</v>
      </c>
      <c r="L339">
        <v>0</v>
      </c>
      <c r="M339">
        <v>0</v>
      </c>
      <c r="N339">
        <v>2875</v>
      </c>
    </row>
    <row r="340" spans="1:14" x14ac:dyDescent="0.25">
      <c r="A340">
        <v>92.83699</v>
      </c>
      <c r="B340" s="1">
        <f>DATE(2010,8,1) + TIME(20,5,15)</f>
        <v>40391.83697916667</v>
      </c>
      <c r="C340">
        <v>80</v>
      </c>
      <c r="D340">
        <v>79.923690796000002</v>
      </c>
      <c r="E340">
        <v>50</v>
      </c>
      <c r="F340">
        <v>14.998910904000001</v>
      </c>
      <c r="G340">
        <v>1394.8165283000001</v>
      </c>
      <c r="H340">
        <v>1378.7652588000001</v>
      </c>
      <c r="I340">
        <v>1236.9938964999999</v>
      </c>
      <c r="J340">
        <v>1189.6398925999999</v>
      </c>
      <c r="K340">
        <v>2875</v>
      </c>
      <c r="L340">
        <v>0</v>
      </c>
      <c r="M340">
        <v>0</v>
      </c>
      <c r="N340">
        <v>2875</v>
      </c>
    </row>
    <row r="341" spans="1:14" x14ac:dyDescent="0.25">
      <c r="A341">
        <v>93.676034999999999</v>
      </c>
      <c r="B341" s="1">
        <f>DATE(2010,8,2) + TIME(16,13,29)</f>
        <v>40392.676030092596</v>
      </c>
      <c r="C341">
        <v>80</v>
      </c>
      <c r="D341">
        <v>79.923782349000007</v>
      </c>
      <c r="E341">
        <v>50</v>
      </c>
      <c r="F341">
        <v>14.998983383000001</v>
      </c>
      <c r="G341">
        <v>1394.7399902</v>
      </c>
      <c r="H341">
        <v>1378.6928711</v>
      </c>
      <c r="I341">
        <v>1237.027832</v>
      </c>
      <c r="J341">
        <v>1189.6715088000001</v>
      </c>
      <c r="K341">
        <v>2875</v>
      </c>
      <c r="L341">
        <v>0</v>
      </c>
      <c r="M341">
        <v>0</v>
      </c>
      <c r="N341">
        <v>2875</v>
      </c>
    </row>
    <row r="342" spans="1:14" x14ac:dyDescent="0.25">
      <c r="A342">
        <v>94.525242000000006</v>
      </c>
      <c r="B342" s="1">
        <f>DATE(2010,8,3) + TIME(12,36,20)</f>
        <v>40393.525231481479</v>
      </c>
      <c r="C342">
        <v>80</v>
      </c>
      <c r="D342">
        <v>79.923873900999993</v>
      </c>
      <c r="E342">
        <v>50</v>
      </c>
      <c r="F342">
        <v>14.99906826</v>
      </c>
      <c r="G342">
        <v>1394.6638184000001</v>
      </c>
      <c r="H342">
        <v>1378.6207274999999</v>
      </c>
      <c r="I342">
        <v>1237.0623779</v>
      </c>
      <c r="J342">
        <v>1189.7034911999999</v>
      </c>
      <c r="K342">
        <v>2875</v>
      </c>
      <c r="L342">
        <v>0</v>
      </c>
      <c r="M342">
        <v>0</v>
      </c>
      <c r="N342">
        <v>2875</v>
      </c>
    </row>
    <row r="343" spans="1:14" x14ac:dyDescent="0.25">
      <c r="A343">
        <v>95.386008000000004</v>
      </c>
      <c r="B343" s="1">
        <f>DATE(2010,8,4) + TIME(9,15,51)</f>
        <v>40394.386006944442</v>
      </c>
      <c r="C343">
        <v>80</v>
      </c>
      <c r="D343">
        <v>79.923957825000002</v>
      </c>
      <c r="E343">
        <v>50</v>
      </c>
      <c r="F343">
        <v>14.999165534999999</v>
      </c>
      <c r="G343">
        <v>1394.5872803</v>
      </c>
      <c r="H343">
        <v>1378.5483397999999</v>
      </c>
      <c r="I343">
        <v>1237.0976562000001</v>
      </c>
      <c r="J343">
        <v>1189.7362060999999</v>
      </c>
      <c r="K343">
        <v>2875</v>
      </c>
      <c r="L343">
        <v>0</v>
      </c>
      <c r="M343">
        <v>0</v>
      </c>
      <c r="N343">
        <v>2875</v>
      </c>
    </row>
    <row r="344" spans="1:14" x14ac:dyDescent="0.25">
      <c r="A344">
        <v>95.820519000000004</v>
      </c>
      <c r="B344" s="1">
        <f>DATE(2010,8,4) + TIME(19,41,32)</f>
        <v>40394.820509259262</v>
      </c>
      <c r="C344">
        <v>80</v>
      </c>
      <c r="D344">
        <v>79.924003600999995</v>
      </c>
      <c r="E344">
        <v>50</v>
      </c>
      <c r="F344">
        <v>14.999244689999999</v>
      </c>
      <c r="G344">
        <v>1394.5102539</v>
      </c>
      <c r="H344">
        <v>1378.4753418</v>
      </c>
      <c r="I344">
        <v>1237.1334228999999</v>
      </c>
      <c r="J344">
        <v>1189.7692870999999</v>
      </c>
      <c r="K344">
        <v>2875</v>
      </c>
      <c r="L344">
        <v>0</v>
      </c>
      <c r="M344">
        <v>0</v>
      </c>
      <c r="N344">
        <v>2875</v>
      </c>
    </row>
    <row r="345" spans="1:14" x14ac:dyDescent="0.25">
      <c r="A345">
        <v>96.255028999999993</v>
      </c>
      <c r="B345" s="1">
        <f>DATE(2010,8,5) + TIME(6,7,14)</f>
        <v>40395.255023148151</v>
      </c>
      <c r="C345">
        <v>80</v>
      </c>
      <c r="D345">
        <v>79.924041747999993</v>
      </c>
      <c r="E345">
        <v>50</v>
      </c>
      <c r="F345">
        <v>14.99932003</v>
      </c>
      <c r="G345">
        <v>1394.4707031</v>
      </c>
      <c r="H345">
        <v>1378.4378661999999</v>
      </c>
      <c r="I345">
        <v>1237.1523437999999</v>
      </c>
      <c r="J345">
        <v>1189.7867432</v>
      </c>
      <c r="K345">
        <v>2875</v>
      </c>
      <c r="L345">
        <v>0</v>
      </c>
      <c r="M345">
        <v>0</v>
      </c>
      <c r="N345">
        <v>2875</v>
      </c>
    </row>
    <row r="346" spans="1:14" x14ac:dyDescent="0.25">
      <c r="A346">
        <v>96.689539999999994</v>
      </c>
      <c r="B346" s="1">
        <f>DATE(2010,8,5) + TIME(16,32,56)</f>
        <v>40395.68953703704</v>
      </c>
      <c r="C346">
        <v>80</v>
      </c>
      <c r="D346">
        <v>79.924087524000001</v>
      </c>
      <c r="E346">
        <v>50</v>
      </c>
      <c r="F346">
        <v>14.999396323999999</v>
      </c>
      <c r="G346">
        <v>1394.4321289</v>
      </c>
      <c r="H346">
        <v>1378.4013672000001</v>
      </c>
      <c r="I346">
        <v>1237.1711425999999</v>
      </c>
      <c r="J346">
        <v>1189.8040771000001</v>
      </c>
      <c r="K346">
        <v>2875</v>
      </c>
      <c r="L346">
        <v>0</v>
      </c>
      <c r="M346">
        <v>0</v>
      </c>
      <c r="N346">
        <v>2875</v>
      </c>
    </row>
    <row r="347" spans="1:14" x14ac:dyDescent="0.25">
      <c r="A347">
        <v>97.124049999999997</v>
      </c>
      <c r="B347" s="1">
        <f>DATE(2010,8,6) + TIME(2,58,37)</f>
        <v>40396.124039351853</v>
      </c>
      <c r="C347">
        <v>80</v>
      </c>
      <c r="D347">
        <v>79.924133300999998</v>
      </c>
      <c r="E347">
        <v>50</v>
      </c>
      <c r="F347">
        <v>14.999475479000001</v>
      </c>
      <c r="G347">
        <v>1394.3936768000001</v>
      </c>
      <c r="H347">
        <v>1378.3648682</v>
      </c>
      <c r="I347">
        <v>1237.1900635</v>
      </c>
      <c r="J347">
        <v>1189.8216553</v>
      </c>
      <c r="K347">
        <v>2875</v>
      </c>
      <c r="L347">
        <v>0</v>
      </c>
      <c r="M347">
        <v>0</v>
      </c>
      <c r="N347">
        <v>2875</v>
      </c>
    </row>
    <row r="348" spans="1:14" x14ac:dyDescent="0.25">
      <c r="A348">
        <v>97.558560999999997</v>
      </c>
      <c r="B348" s="1">
        <f>DATE(2010,8,6) + TIME(13,24,19)</f>
        <v>40396.558553240742</v>
      </c>
      <c r="C348">
        <v>80</v>
      </c>
      <c r="D348">
        <v>79.924179077000005</v>
      </c>
      <c r="E348">
        <v>50</v>
      </c>
      <c r="F348">
        <v>14.999558449</v>
      </c>
      <c r="G348">
        <v>1394.3554687999999</v>
      </c>
      <c r="H348">
        <v>1378.3286132999999</v>
      </c>
      <c r="I348">
        <v>1237.2091064000001</v>
      </c>
      <c r="J348">
        <v>1189.8392334</v>
      </c>
      <c r="K348">
        <v>2875</v>
      </c>
      <c r="L348">
        <v>0</v>
      </c>
      <c r="M348">
        <v>0</v>
      </c>
      <c r="N348">
        <v>2875</v>
      </c>
    </row>
    <row r="349" spans="1:14" x14ac:dyDescent="0.25">
      <c r="A349">
        <v>97.993071</v>
      </c>
      <c r="B349" s="1">
        <f>DATE(2010,8,6) + TIME(23,50,1)</f>
        <v>40396.993067129632</v>
      </c>
      <c r="C349">
        <v>80</v>
      </c>
      <c r="D349">
        <v>79.924224854000002</v>
      </c>
      <c r="E349">
        <v>50</v>
      </c>
      <c r="F349">
        <v>14.999645233000001</v>
      </c>
      <c r="G349">
        <v>1394.3173827999999</v>
      </c>
      <c r="H349">
        <v>1378.2924805</v>
      </c>
      <c r="I349">
        <v>1237.2282714999999</v>
      </c>
      <c r="J349">
        <v>1189.8569336</v>
      </c>
      <c r="K349">
        <v>2875</v>
      </c>
      <c r="L349">
        <v>0</v>
      </c>
      <c r="M349">
        <v>0</v>
      </c>
      <c r="N349">
        <v>2875</v>
      </c>
    </row>
    <row r="350" spans="1:14" x14ac:dyDescent="0.25">
      <c r="A350">
        <v>98.427581000000004</v>
      </c>
      <c r="B350" s="1">
        <f>DATE(2010,8,7) + TIME(10,15,43)</f>
        <v>40397.427581018521</v>
      </c>
      <c r="C350">
        <v>80</v>
      </c>
      <c r="D350">
        <v>79.924270629999995</v>
      </c>
      <c r="E350">
        <v>50</v>
      </c>
      <c r="F350">
        <v>14.999738692999999</v>
      </c>
      <c r="G350">
        <v>1394.2794189000001</v>
      </c>
      <c r="H350">
        <v>1378.2564697</v>
      </c>
      <c r="I350">
        <v>1237.2476807</v>
      </c>
      <c r="J350">
        <v>1189.8747559000001</v>
      </c>
      <c r="K350">
        <v>2875</v>
      </c>
      <c r="L350">
        <v>0</v>
      </c>
      <c r="M350">
        <v>0</v>
      </c>
      <c r="N350">
        <v>2875</v>
      </c>
    </row>
    <row r="351" spans="1:14" x14ac:dyDescent="0.25">
      <c r="A351">
        <v>98.862092000000004</v>
      </c>
      <c r="B351" s="1">
        <f>DATE(2010,8,7) + TIME(20,41,24)</f>
        <v>40397.862083333333</v>
      </c>
      <c r="C351">
        <v>80</v>
      </c>
      <c r="D351">
        <v>79.924316406000003</v>
      </c>
      <c r="E351">
        <v>50</v>
      </c>
      <c r="F351">
        <v>14.999837875000001</v>
      </c>
      <c r="G351">
        <v>1394.2415771000001</v>
      </c>
      <c r="H351">
        <v>1378.2207031</v>
      </c>
      <c r="I351">
        <v>1237.2670897999999</v>
      </c>
      <c r="J351">
        <v>1189.8928223</v>
      </c>
      <c r="K351">
        <v>2875</v>
      </c>
      <c r="L351">
        <v>0</v>
      </c>
      <c r="M351">
        <v>0</v>
      </c>
      <c r="N351">
        <v>2875</v>
      </c>
    </row>
    <row r="352" spans="1:14" x14ac:dyDescent="0.25">
      <c r="A352">
        <v>99.296601999999993</v>
      </c>
      <c r="B352" s="1">
        <f>DATE(2010,8,8) + TIME(7,7,6)</f>
        <v>40398.296597222223</v>
      </c>
      <c r="C352">
        <v>80</v>
      </c>
      <c r="D352">
        <v>79.924362183</v>
      </c>
      <c r="E352">
        <v>50</v>
      </c>
      <c r="F352">
        <v>14.999943733</v>
      </c>
      <c r="G352">
        <v>1394.2038574000001</v>
      </c>
      <c r="H352">
        <v>1378.1849365</v>
      </c>
      <c r="I352">
        <v>1237.2867432</v>
      </c>
      <c r="J352">
        <v>1189.9108887</v>
      </c>
      <c r="K352">
        <v>2875</v>
      </c>
      <c r="L352">
        <v>0</v>
      </c>
      <c r="M352">
        <v>0</v>
      </c>
      <c r="N352">
        <v>2875</v>
      </c>
    </row>
    <row r="353" spans="1:14" x14ac:dyDescent="0.25">
      <c r="A353">
        <v>99.731112999999993</v>
      </c>
      <c r="B353" s="1">
        <f>DATE(2010,8,8) + TIME(17,32,48)</f>
        <v>40398.731111111112</v>
      </c>
      <c r="C353">
        <v>80</v>
      </c>
      <c r="D353">
        <v>79.924407959000007</v>
      </c>
      <c r="E353">
        <v>50</v>
      </c>
      <c r="F353">
        <v>15.00005722</v>
      </c>
      <c r="G353">
        <v>1394.1662598</v>
      </c>
      <c r="H353">
        <v>1378.1492920000001</v>
      </c>
      <c r="I353">
        <v>1237.3065185999999</v>
      </c>
      <c r="J353">
        <v>1189.9291992000001</v>
      </c>
      <c r="K353">
        <v>2875</v>
      </c>
      <c r="L353">
        <v>0</v>
      </c>
      <c r="M353">
        <v>0</v>
      </c>
      <c r="N353">
        <v>2875</v>
      </c>
    </row>
    <row r="354" spans="1:14" x14ac:dyDescent="0.25">
      <c r="A354">
        <v>100.165623</v>
      </c>
      <c r="B354" s="1">
        <f>DATE(2010,8,9) + TIME(3,58,29)</f>
        <v>40399.165613425925</v>
      </c>
      <c r="C354">
        <v>80</v>
      </c>
      <c r="D354">
        <v>79.924453735</v>
      </c>
      <c r="E354">
        <v>50</v>
      </c>
      <c r="F354">
        <v>15.000179291</v>
      </c>
      <c r="G354">
        <v>1394.1287841999999</v>
      </c>
      <c r="H354">
        <v>1378.1137695</v>
      </c>
      <c r="I354">
        <v>1237.3264160000001</v>
      </c>
      <c r="J354">
        <v>1189.9475098</v>
      </c>
      <c r="K354">
        <v>2875</v>
      </c>
      <c r="L354">
        <v>0</v>
      </c>
      <c r="M354">
        <v>0</v>
      </c>
      <c r="N354">
        <v>2875</v>
      </c>
    </row>
    <row r="355" spans="1:14" x14ac:dyDescent="0.25">
      <c r="A355">
        <v>100.600134</v>
      </c>
      <c r="B355" s="1">
        <f>DATE(2010,8,9) + TIME(14,24,11)</f>
        <v>40399.600127314814</v>
      </c>
      <c r="C355">
        <v>80</v>
      </c>
      <c r="D355">
        <v>79.924499511999997</v>
      </c>
      <c r="E355">
        <v>50</v>
      </c>
      <c r="F355">
        <v>15.000309944</v>
      </c>
      <c r="G355">
        <v>1394.0914307</v>
      </c>
      <c r="H355">
        <v>1378.0783690999999</v>
      </c>
      <c r="I355">
        <v>1237.3465576000001</v>
      </c>
      <c r="J355">
        <v>1189.9660644999999</v>
      </c>
      <c r="K355">
        <v>2875</v>
      </c>
      <c r="L355">
        <v>0</v>
      </c>
      <c r="M355">
        <v>0</v>
      </c>
      <c r="N355">
        <v>2875</v>
      </c>
    </row>
    <row r="356" spans="1:14" x14ac:dyDescent="0.25">
      <c r="A356">
        <v>101.034644</v>
      </c>
      <c r="B356" s="1">
        <f>DATE(2010,8,10) + TIME(0,49,53)</f>
        <v>40400.034641203703</v>
      </c>
      <c r="C356">
        <v>80</v>
      </c>
      <c r="D356">
        <v>79.924545288000004</v>
      </c>
      <c r="E356">
        <v>50</v>
      </c>
      <c r="F356">
        <v>15.000450133999999</v>
      </c>
      <c r="G356">
        <v>1394.0543213000001</v>
      </c>
      <c r="H356">
        <v>1378.0430908000001</v>
      </c>
      <c r="I356">
        <v>1237.3666992000001</v>
      </c>
      <c r="J356">
        <v>1189.9847411999999</v>
      </c>
      <c r="K356">
        <v>2875</v>
      </c>
      <c r="L356">
        <v>0</v>
      </c>
      <c r="M356">
        <v>0</v>
      </c>
      <c r="N356">
        <v>2875</v>
      </c>
    </row>
    <row r="357" spans="1:14" x14ac:dyDescent="0.25">
      <c r="A357">
        <v>101.469155</v>
      </c>
      <c r="B357" s="1">
        <f>DATE(2010,8,10) + TIME(11,15,34)</f>
        <v>40400.469143518516</v>
      </c>
      <c r="C357">
        <v>80</v>
      </c>
      <c r="D357">
        <v>79.924591063999998</v>
      </c>
      <c r="E357">
        <v>50</v>
      </c>
      <c r="F357">
        <v>15.000600815</v>
      </c>
      <c r="G357">
        <v>1394.0172118999999</v>
      </c>
      <c r="H357">
        <v>1378.0079346</v>
      </c>
      <c r="I357">
        <v>1237.387207</v>
      </c>
      <c r="J357">
        <v>1190.0035399999999</v>
      </c>
      <c r="K357">
        <v>2875</v>
      </c>
      <c r="L357">
        <v>0</v>
      </c>
      <c r="M357">
        <v>0</v>
      </c>
      <c r="N357">
        <v>2875</v>
      </c>
    </row>
    <row r="358" spans="1:14" x14ac:dyDescent="0.25">
      <c r="A358">
        <v>101.903665</v>
      </c>
      <c r="B358" s="1">
        <f>DATE(2010,8,10) + TIME(21,41,16)</f>
        <v>40400.903657407405</v>
      </c>
      <c r="C358">
        <v>80</v>
      </c>
      <c r="D358">
        <v>79.924629210999996</v>
      </c>
      <c r="E358">
        <v>50</v>
      </c>
      <c r="F358">
        <v>15.000761986000001</v>
      </c>
      <c r="G358">
        <v>1393.9803466999999</v>
      </c>
      <c r="H358">
        <v>1377.9729004000001</v>
      </c>
      <c r="I358">
        <v>1237.4077147999999</v>
      </c>
      <c r="J358">
        <v>1190.0224608999999</v>
      </c>
      <c r="K358">
        <v>2875</v>
      </c>
      <c r="L358">
        <v>0</v>
      </c>
      <c r="M358">
        <v>0</v>
      </c>
      <c r="N358">
        <v>2875</v>
      </c>
    </row>
    <row r="359" spans="1:14" x14ac:dyDescent="0.25">
      <c r="A359">
        <v>102.33817500000001</v>
      </c>
      <c r="B359" s="1">
        <f>DATE(2010,8,11) + TIME(8,6,58)</f>
        <v>40401.338171296295</v>
      </c>
      <c r="C359">
        <v>80</v>
      </c>
      <c r="D359">
        <v>79.924674988000007</v>
      </c>
      <c r="E359">
        <v>50</v>
      </c>
      <c r="F359">
        <v>15.000934601000001</v>
      </c>
      <c r="G359">
        <v>1393.9434814000001</v>
      </c>
      <c r="H359">
        <v>1377.9379882999999</v>
      </c>
      <c r="I359">
        <v>1237.4284668</v>
      </c>
      <c r="J359">
        <v>1190.0415039</v>
      </c>
      <c r="K359">
        <v>2875</v>
      </c>
      <c r="L359">
        <v>0</v>
      </c>
      <c r="M359">
        <v>0</v>
      </c>
      <c r="N359">
        <v>2875</v>
      </c>
    </row>
    <row r="360" spans="1:14" x14ac:dyDescent="0.25">
      <c r="A360">
        <v>103.207196</v>
      </c>
      <c r="B360" s="1">
        <f>DATE(2010,8,12) + TIME(4,58,21)</f>
        <v>40402.207187499997</v>
      </c>
      <c r="C360">
        <v>80</v>
      </c>
      <c r="D360">
        <v>79.924774170000006</v>
      </c>
      <c r="E360">
        <v>50</v>
      </c>
      <c r="F360">
        <v>15.001203537</v>
      </c>
      <c r="G360">
        <v>1393.9072266000001</v>
      </c>
      <c r="H360">
        <v>1377.9036865</v>
      </c>
      <c r="I360">
        <v>1237.4498291</v>
      </c>
      <c r="J360">
        <v>1190.0612793</v>
      </c>
      <c r="K360">
        <v>2875</v>
      </c>
      <c r="L360">
        <v>0</v>
      </c>
      <c r="M360">
        <v>0</v>
      </c>
      <c r="N360">
        <v>2875</v>
      </c>
    </row>
    <row r="361" spans="1:14" x14ac:dyDescent="0.25">
      <c r="A361">
        <v>104.076594</v>
      </c>
      <c r="B361" s="1">
        <f>DATE(2010,8,13) + TIME(1,50,17)</f>
        <v>40403.076585648145</v>
      </c>
      <c r="C361">
        <v>80</v>
      </c>
      <c r="D361">
        <v>79.924865722999996</v>
      </c>
      <c r="E361">
        <v>50</v>
      </c>
      <c r="F361">
        <v>15.001565933</v>
      </c>
      <c r="G361">
        <v>1393.8347168</v>
      </c>
      <c r="H361">
        <v>1377.8349608999999</v>
      </c>
      <c r="I361">
        <v>1237.4916992000001</v>
      </c>
      <c r="J361">
        <v>1190.0998535000001</v>
      </c>
      <c r="K361">
        <v>2875</v>
      </c>
      <c r="L361">
        <v>0</v>
      </c>
      <c r="M361">
        <v>0</v>
      </c>
      <c r="N361">
        <v>2875</v>
      </c>
    </row>
    <row r="362" spans="1:14" x14ac:dyDescent="0.25">
      <c r="A362">
        <v>104.9589</v>
      </c>
      <c r="B362" s="1">
        <f>DATE(2010,8,13) + TIME(23,0,48)</f>
        <v>40403.95888888889</v>
      </c>
      <c r="C362">
        <v>80</v>
      </c>
      <c r="D362">
        <v>79.924957274999997</v>
      </c>
      <c r="E362">
        <v>50</v>
      </c>
      <c r="F362">
        <v>15.002008438000001</v>
      </c>
      <c r="G362">
        <v>1393.7623291</v>
      </c>
      <c r="H362">
        <v>1377.7662353999999</v>
      </c>
      <c r="I362">
        <v>1237.5345459</v>
      </c>
      <c r="J362">
        <v>1190.1392822</v>
      </c>
      <c r="K362">
        <v>2875</v>
      </c>
      <c r="L362">
        <v>0</v>
      </c>
      <c r="M362">
        <v>0</v>
      </c>
      <c r="N362">
        <v>2875</v>
      </c>
    </row>
    <row r="363" spans="1:14" x14ac:dyDescent="0.25">
      <c r="A363">
        <v>105.40762700000001</v>
      </c>
      <c r="B363" s="1">
        <f>DATE(2010,8,14) + TIME(9,46,58)</f>
        <v>40404.40761574074</v>
      </c>
      <c r="C363">
        <v>80</v>
      </c>
      <c r="D363">
        <v>79.924995421999995</v>
      </c>
      <c r="E363">
        <v>50</v>
      </c>
      <c r="F363">
        <v>15.002370834000001</v>
      </c>
      <c r="G363">
        <v>1393.6892089999999</v>
      </c>
      <c r="H363">
        <v>1377.6968993999999</v>
      </c>
      <c r="I363">
        <v>1237.5782471</v>
      </c>
      <c r="J363">
        <v>1190.1791992000001</v>
      </c>
      <c r="K363">
        <v>2875</v>
      </c>
      <c r="L363">
        <v>0</v>
      </c>
      <c r="M363">
        <v>0</v>
      </c>
      <c r="N363">
        <v>2875</v>
      </c>
    </row>
    <row r="364" spans="1:14" x14ac:dyDescent="0.25">
      <c r="A364">
        <v>105.856353</v>
      </c>
      <c r="B364" s="1">
        <f>DATE(2010,8,14) + TIME(20,33,8)</f>
        <v>40404.856342592589</v>
      </c>
      <c r="C364">
        <v>80</v>
      </c>
      <c r="D364">
        <v>79.925041199000006</v>
      </c>
      <c r="E364">
        <v>50</v>
      </c>
      <c r="F364">
        <v>15.002723694</v>
      </c>
      <c r="G364">
        <v>1393.6513672000001</v>
      </c>
      <c r="H364">
        <v>1377.6608887</v>
      </c>
      <c r="I364">
        <v>1237.6013184000001</v>
      </c>
      <c r="J364">
        <v>1190.2005615</v>
      </c>
      <c r="K364">
        <v>2875</v>
      </c>
      <c r="L364">
        <v>0</v>
      </c>
      <c r="M364">
        <v>0</v>
      </c>
      <c r="N364">
        <v>2875</v>
      </c>
    </row>
    <row r="365" spans="1:14" x14ac:dyDescent="0.25">
      <c r="A365">
        <v>106.30508</v>
      </c>
      <c r="B365" s="1">
        <f>DATE(2010,8,15) + TIME(7,19,18)</f>
        <v>40405.305069444446</v>
      </c>
      <c r="C365">
        <v>80</v>
      </c>
      <c r="D365">
        <v>79.925086974999999</v>
      </c>
      <c r="E365">
        <v>50</v>
      </c>
      <c r="F365">
        <v>15.003081322</v>
      </c>
      <c r="G365">
        <v>1393.6143798999999</v>
      </c>
      <c r="H365">
        <v>1377.6258545000001</v>
      </c>
      <c r="I365">
        <v>1237.6245117000001</v>
      </c>
      <c r="J365">
        <v>1190.2219238</v>
      </c>
      <c r="K365">
        <v>2875</v>
      </c>
      <c r="L365">
        <v>0</v>
      </c>
      <c r="M365">
        <v>0</v>
      </c>
      <c r="N365">
        <v>2875</v>
      </c>
    </row>
    <row r="366" spans="1:14" x14ac:dyDescent="0.25">
      <c r="A366">
        <v>106.753806</v>
      </c>
      <c r="B366" s="1">
        <f>DATE(2010,8,15) + TIME(18,5,28)</f>
        <v>40405.753796296296</v>
      </c>
      <c r="C366">
        <v>80</v>
      </c>
      <c r="D366">
        <v>79.925132751000007</v>
      </c>
      <c r="E366">
        <v>50</v>
      </c>
      <c r="F366">
        <v>15.003451347</v>
      </c>
      <c r="G366">
        <v>1393.5775146000001</v>
      </c>
      <c r="H366">
        <v>1377.5909423999999</v>
      </c>
      <c r="I366">
        <v>1237.6478271000001</v>
      </c>
      <c r="J366">
        <v>1190.2432861</v>
      </c>
      <c r="K366">
        <v>2875</v>
      </c>
      <c r="L366">
        <v>0</v>
      </c>
      <c r="M366">
        <v>0</v>
      </c>
      <c r="N366">
        <v>2875</v>
      </c>
    </row>
    <row r="367" spans="1:14" x14ac:dyDescent="0.25">
      <c r="A367">
        <v>107.20253200000001</v>
      </c>
      <c r="B367" s="1">
        <f>DATE(2010,8,16) + TIME(4,51,38)</f>
        <v>40406.202523148146</v>
      </c>
      <c r="C367">
        <v>80</v>
      </c>
      <c r="D367">
        <v>79.925178528000004</v>
      </c>
      <c r="E367">
        <v>50</v>
      </c>
      <c r="F367">
        <v>15.003839492999999</v>
      </c>
      <c r="G367">
        <v>1393.5408935999999</v>
      </c>
      <c r="H367">
        <v>1377.5560303</v>
      </c>
      <c r="I367">
        <v>1237.6712646000001</v>
      </c>
      <c r="J367">
        <v>1190.2650146000001</v>
      </c>
      <c r="K367">
        <v>2875</v>
      </c>
      <c r="L367">
        <v>0</v>
      </c>
      <c r="M367">
        <v>0</v>
      </c>
      <c r="N367">
        <v>2875</v>
      </c>
    </row>
    <row r="368" spans="1:14" x14ac:dyDescent="0.25">
      <c r="A368">
        <v>107.651259</v>
      </c>
      <c r="B368" s="1">
        <f>DATE(2010,8,16) + TIME(15,37,48)</f>
        <v>40406.651250000003</v>
      </c>
      <c r="C368">
        <v>80</v>
      </c>
      <c r="D368">
        <v>79.925231933999996</v>
      </c>
      <c r="E368">
        <v>50</v>
      </c>
      <c r="F368">
        <v>15.004250526</v>
      </c>
      <c r="G368">
        <v>1393.5042725000001</v>
      </c>
      <c r="H368">
        <v>1377.5213623</v>
      </c>
      <c r="I368">
        <v>1237.6950684000001</v>
      </c>
      <c r="J368">
        <v>1190.2868652</v>
      </c>
      <c r="K368">
        <v>2875</v>
      </c>
      <c r="L368">
        <v>0</v>
      </c>
      <c r="M368">
        <v>0</v>
      </c>
      <c r="N368">
        <v>2875</v>
      </c>
    </row>
    <row r="369" spans="1:14" x14ac:dyDescent="0.25">
      <c r="A369">
        <v>108.099985</v>
      </c>
      <c r="B369" s="1">
        <f>DATE(2010,8,17) + TIME(2,23,58)</f>
        <v>40407.099976851852</v>
      </c>
      <c r="C369">
        <v>80</v>
      </c>
      <c r="D369">
        <v>79.925277710000003</v>
      </c>
      <c r="E369">
        <v>50</v>
      </c>
      <c r="F369">
        <v>15.004687308999999</v>
      </c>
      <c r="G369">
        <v>1393.4678954999999</v>
      </c>
      <c r="H369">
        <v>1377.4866943</v>
      </c>
      <c r="I369">
        <v>1237.7191161999999</v>
      </c>
      <c r="J369">
        <v>1190.3089600000001</v>
      </c>
      <c r="K369">
        <v>2875</v>
      </c>
      <c r="L369">
        <v>0</v>
      </c>
      <c r="M369">
        <v>0</v>
      </c>
      <c r="N369">
        <v>2875</v>
      </c>
    </row>
    <row r="370" spans="1:14" x14ac:dyDescent="0.25">
      <c r="A370">
        <v>108.548644</v>
      </c>
      <c r="B370" s="1">
        <f>DATE(2010,8,17) + TIME(13,10,2)</f>
        <v>40407.548634259256</v>
      </c>
      <c r="C370">
        <v>80</v>
      </c>
      <c r="D370">
        <v>79.925323485999996</v>
      </c>
      <c r="E370">
        <v>50</v>
      </c>
      <c r="F370">
        <v>15.005153655999999</v>
      </c>
      <c r="G370">
        <v>1393.4315185999999</v>
      </c>
      <c r="H370">
        <v>1377.4522704999999</v>
      </c>
      <c r="I370">
        <v>1237.7432861</v>
      </c>
      <c r="J370">
        <v>1190.3311768000001</v>
      </c>
      <c r="K370">
        <v>2875</v>
      </c>
      <c r="L370">
        <v>0</v>
      </c>
      <c r="M370">
        <v>0</v>
      </c>
      <c r="N370">
        <v>2875</v>
      </c>
    </row>
    <row r="371" spans="1:14" x14ac:dyDescent="0.25">
      <c r="A371">
        <v>108.996071</v>
      </c>
      <c r="B371" s="1">
        <f>DATE(2010,8,17) + TIME(23,54,20)</f>
        <v>40407.996064814812</v>
      </c>
      <c r="C371">
        <v>80</v>
      </c>
      <c r="D371">
        <v>79.925369262999993</v>
      </c>
      <c r="E371">
        <v>50</v>
      </c>
      <c r="F371">
        <v>15.005649567000001</v>
      </c>
      <c r="G371">
        <v>1393.3952637</v>
      </c>
      <c r="H371">
        <v>1377.4178466999999</v>
      </c>
      <c r="I371">
        <v>1237.7677002</v>
      </c>
      <c r="J371">
        <v>1190.3536377</v>
      </c>
      <c r="K371">
        <v>2875</v>
      </c>
      <c r="L371">
        <v>0</v>
      </c>
      <c r="M371">
        <v>0</v>
      </c>
      <c r="N371">
        <v>2875</v>
      </c>
    </row>
    <row r="372" spans="1:14" x14ac:dyDescent="0.25">
      <c r="A372">
        <v>109.44242</v>
      </c>
      <c r="B372" s="1">
        <f>DATE(2010,8,18) + TIME(10,37,5)</f>
        <v>40408.442418981482</v>
      </c>
      <c r="C372">
        <v>80</v>
      </c>
      <c r="D372">
        <v>79.925415039000001</v>
      </c>
      <c r="E372">
        <v>50</v>
      </c>
      <c r="F372">
        <v>15.006178856</v>
      </c>
      <c r="G372">
        <v>1393.3592529</v>
      </c>
      <c r="H372">
        <v>1377.3835449000001</v>
      </c>
      <c r="I372">
        <v>1237.7923584</v>
      </c>
      <c r="J372">
        <v>1190.3763428</v>
      </c>
      <c r="K372">
        <v>2875</v>
      </c>
      <c r="L372">
        <v>0</v>
      </c>
      <c r="M372">
        <v>0</v>
      </c>
      <c r="N372">
        <v>2875</v>
      </c>
    </row>
    <row r="373" spans="1:14" x14ac:dyDescent="0.25">
      <c r="A373">
        <v>109.887782</v>
      </c>
      <c r="B373" s="1">
        <f>DATE(2010,8,18) + TIME(21,18,24)</f>
        <v>40408.887777777774</v>
      </c>
      <c r="C373">
        <v>80</v>
      </c>
      <c r="D373">
        <v>79.925460814999994</v>
      </c>
      <c r="E373">
        <v>50</v>
      </c>
      <c r="F373">
        <v>15.006743431</v>
      </c>
      <c r="G373">
        <v>1393.3233643000001</v>
      </c>
      <c r="H373">
        <v>1377.3494873</v>
      </c>
      <c r="I373">
        <v>1237.8171387</v>
      </c>
      <c r="J373">
        <v>1190.3991699000001</v>
      </c>
      <c r="K373">
        <v>2875</v>
      </c>
      <c r="L373">
        <v>0</v>
      </c>
      <c r="M373">
        <v>0</v>
      </c>
      <c r="N373">
        <v>2875</v>
      </c>
    </row>
    <row r="374" spans="1:14" x14ac:dyDescent="0.25">
      <c r="A374">
        <v>110.332266</v>
      </c>
      <c r="B374" s="1">
        <f>DATE(2010,8,19) + TIME(7,58,27)</f>
        <v>40409.332256944443</v>
      </c>
      <c r="C374">
        <v>80</v>
      </c>
      <c r="D374">
        <v>79.925506592000005</v>
      </c>
      <c r="E374">
        <v>50</v>
      </c>
      <c r="F374">
        <v>15.0073452</v>
      </c>
      <c r="G374">
        <v>1393.2877197</v>
      </c>
      <c r="H374">
        <v>1377.3156738</v>
      </c>
      <c r="I374">
        <v>1237.8421631000001</v>
      </c>
      <c r="J374">
        <v>1190.4221190999999</v>
      </c>
      <c r="K374">
        <v>2875</v>
      </c>
      <c r="L374">
        <v>0</v>
      </c>
      <c r="M374">
        <v>0</v>
      </c>
      <c r="N374">
        <v>2875</v>
      </c>
    </row>
    <row r="375" spans="1:14" x14ac:dyDescent="0.25">
      <c r="A375">
        <v>110.775983</v>
      </c>
      <c r="B375" s="1">
        <f>DATE(2010,8,19) + TIME(18,37,24)</f>
        <v>40409.775972222225</v>
      </c>
      <c r="C375">
        <v>80</v>
      </c>
      <c r="D375">
        <v>79.925552367999998</v>
      </c>
      <c r="E375">
        <v>50</v>
      </c>
      <c r="F375">
        <v>15.007987022</v>
      </c>
      <c r="G375">
        <v>1393.2523193</v>
      </c>
      <c r="H375">
        <v>1377.2819824000001</v>
      </c>
      <c r="I375">
        <v>1237.8673096</v>
      </c>
      <c r="J375">
        <v>1190.4453125</v>
      </c>
      <c r="K375">
        <v>2875</v>
      </c>
      <c r="L375">
        <v>0</v>
      </c>
      <c r="M375">
        <v>0</v>
      </c>
      <c r="N375">
        <v>2875</v>
      </c>
    </row>
    <row r="376" spans="1:14" x14ac:dyDescent="0.25">
      <c r="A376">
        <v>111.662128</v>
      </c>
      <c r="B376" s="1">
        <f>DATE(2010,8,20) + TIME(15,53,27)</f>
        <v>40410.662118055552</v>
      </c>
      <c r="C376">
        <v>80</v>
      </c>
      <c r="D376">
        <v>79.925643921000002</v>
      </c>
      <c r="E376">
        <v>50</v>
      </c>
      <c r="F376">
        <v>15.008980750999999</v>
      </c>
      <c r="G376">
        <v>1393.2174072</v>
      </c>
      <c r="H376">
        <v>1377.2487793</v>
      </c>
      <c r="I376">
        <v>1237.8930664</v>
      </c>
      <c r="J376">
        <v>1190.4694824000001</v>
      </c>
      <c r="K376">
        <v>2875</v>
      </c>
      <c r="L376">
        <v>0</v>
      </c>
      <c r="M376">
        <v>0</v>
      </c>
      <c r="N376">
        <v>2875</v>
      </c>
    </row>
    <row r="377" spans="1:14" x14ac:dyDescent="0.25">
      <c r="A377">
        <v>112.54873600000001</v>
      </c>
      <c r="B377" s="1">
        <f>DATE(2010,8,21) + TIME(13,10,10)</f>
        <v>40411.548726851855</v>
      </c>
      <c r="C377">
        <v>80</v>
      </c>
      <c r="D377">
        <v>79.925735474000007</v>
      </c>
      <c r="E377">
        <v>50</v>
      </c>
      <c r="F377">
        <v>15.010311127</v>
      </c>
      <c r="G377">
        <v>1393.1477050999999</v>
      </c>
      <c r="H377">
        <v>1377.1826172000001</v>
      </c>
      <c r="I377">
        <v>1237.9440918</v>
      </c>
      <c r="J377">
        <v>1190.5163574000001</v>
      </c>
      <c r="K377">
        <v>2875</v>
      </c>
      <c r="L377">
        <v>0</v>
      </c>
      <c r="M377">
        <v>0</v>
      </c>
      <c r="N377">
        <v>2875</v>
      </c>
    </row>
    <row r="378" spans="1:14" x14ac:dyDescent="0.25">
      <c r="A378">
        <v>113.447366</v>
      </c>
      <c r="B378" s="1">
        <f>DATE(2010,8,22) + TIME(10,44,12)</f>
        <v>40412.44736111111</v>
      </c>
      <c r="C378">
        <v>80</v>
      </c>
      <c r="D378">
        <v>79.925834656000006</v>
      </c>
      <c r="E378">
        <v>50</v>
      </c>
      <c r="F378">
        <v>15.011921882999999</v>
      </c>
      <c r="G378">
        <v>1393.0778809000001</v>
      </c>
      <c r="H378">
        <v>1377.1163329999999</v>
      </c>
      <c r="I378">
        <v>1237.9964600000001</v>
      </c>
      <c r="J378">
        <v>1190.5645752</v>
      </c>
      <c r="K378">
        <v>2875</v>
      </c>
      <c r="L378">
        <v>0</v>
      </c>
      <c r="M378">
        <v>0</v>
      </c>
      <c r="N378">
        <v>2875</v>
      </c>
    </row>
    <row r="379" spans="1:14" x14ac:dyDescent="0.25">
      <c r="A379">
        <v>113.90331999999999</v>
      </c>
      <c r="B379" s="1">
        <f>DATE(2010,8,22) + TIME(21,40,46)</f>
        <v>40412.903310185182</v>
      </c>
      <c r="C379">
        <v>80</v>
      </c>
      <c r="D379">
        <v>79.925872803000004</v>
      </c>
      <c r="E379">
        <v>50</v>
      </c>
      <c r="F379">
        <v>15.013229369999999</v>
      </c>
      <c r="G379">
        <v>1393.0075684000001</v>
      </c>
      <c r="H379">
        <v>1377.0495605000001</v>
      </c>
      <c r="I379">
        <v>1238.050293</v>
      </c>
      <c r="J379">
        <v>1190.6136475000001</v>
      </c>
      <c r="K379">
        <v>2875</v>
      </c>
      <c r="L379">
        <v>0</v>
      </c>
      <c r="M379">
        <v>0</v>
      </c>
      <c r="N379">
        <v>2875</v>
      </c>
    </row>
    <row r="380" spans="1:14" x14ac:dyDescent="0.25">
      <c r="A380">
        <v>114.357102</v>
      </c>
      <c r="B380" s="1">
        <f>DATE(2010,8,23) + TIME(8,34,13)</f>
        <v>40413.357094907406</v>
      </c>
      <c r="C380">
        <v>80</v>
      </c>
      <c r="D380">
        <v>79.925918578999998</v>
      </c>
      <c r="E380">
        <v>50</v>
      </c>
      <c r="F380">
        <v>15.014492035</v>
      </c>
      <c r="G380">
        <v>1392.9711914</v>
      </c>
      <c r="H380">
        <v>1377.0148925999999</v>
      </c>
      <c r="I380">
        <v>1238.0786132999999</v>
      </c>
      <c r="J380">
        <v>1190.6400146000001</v>
      </c>
      <c r="K380">
        <v>2875</v>
      </c>
      <c r="L380">
        <v>0</v>
      </c>
      <c r="M380">
        <v>0</v>
      </c>
      <c r="N380">
        <v>2875</v>
      </c>
    </row>
    <row r="381" spans="1:14" x14ac:dyDescent="0.25">
      <c r="A381">
        <v>114.80997499999999</v>
      </c>
      <c r="B381" s="1">
        <f>DATE(2010,8,23) + TIME(19,26,21)</f>
        <v>40413.809965277775</v>
      </c>
      <c r="C381">
        <v>80</v>
      </c>
      <c r="D381">
        <v>79.925964355000005</v>
      </c>
      <c r="E381">
        <v>50</v>
      </c>
      <c r="F381">
        <v>15.015759468000001</v>
      </c>
      <c r="G381">
        <v>1392.9357910000001</v>
      </c>
      <c r="H381">
        <v>1376.9812012</v>
      </c>
      <c r="I381">
        <v>1238.1069336</v>
      </c>
      <c r="J381">
        <v>1190.6662598</v>
      </c>
      <c r="K381">
        <v>2875</v>
      </c>
      <c r="L381">
        <v>0</v>
      </c>
      <c r="M381">
        <v>0</v>
      </c>
      <c r="N381">
        <v>2875</v>
      </c>
    </row>
    <row r="382" spans="1:14" x14ac:dyDescent="0.25">
      <c r="A382">
        <v>115.26182</v>
      </c>
      <c r="B382" s="1">
        <f>DATE(2010,8,24) + TIME(6,17,1)</f>
        <v>40414.261817129627</v>
      </c>
      <c r="C382">
        <v>80</v>
      </c>
      <c r="D382">
        <v>79.926010132000002</v>
      </c>
      <c r="E382">
        <v>50</v>
      </c>
      <c r="F382">
        <v>15.017059326</v>
      </c>
      <c r="G382">
        <v>1392.9006348</v>
      </c>
      <c r="H382">
        <v>1376.9477539</v>
      </c>
      <c r="I382">
        <v>1238.135376</v>
      </c>
      <c r="J382">
        <v>1190.692749</v>
      </c>
      <c r="K382">
        <v>2875</v>
      </c>
      <c r="L382">
        <v>0</v>
      </c>
      <c r="M382">
        <v>0</v>
      </c>
      <c r="N382">
        <v>2875</v>
      </c>
    </row>
    <row r="383" spans="1:14" x14ac:dyDescent="0.25">
      <c r="A383">
        <v>115.712636</v>
      </c>
      <c r="B383" s="1">
        <f>DATE(2010,8,24) + TIME(17,6,11)</f>
        <v>40414.712627314817</v>
      </c>
      <c r="C383">
        <v>80</v>
      </c>
      <c r="D383">
        <v>79.926055907999995</v>
      </c>
      <c r="E383">
        <v>50</v>
      </c>
      <c r="F383">
        <v>15.018411636</v>
      </c>
      <c r="G383">
        <v>1392.8656006000001</v>
      </c>
      <c r="H383">
        <v>1376.9144286999999</v>
      </c>
      <c r="I383">
        <v>1238.1641846</v>
      </c>
      <c r="J383">
        <v>1190.7194824000001</v>
      </c>
      <c r="K383">
        <v>2875</v>
      </c>
      <c r="L383">
        <v>0</v>
      </c>
      <c r="M383">
        <v>0</v>
      </c>
      <c r="N383">
        <v>2875</v>
      </c>
    </row>
    <row r="384" spans="1:14" x14ac:dyDescent="0.25">
      <c r="A384">
        <v>116.16243799999999</v>
      </c>
      <c r="B384" s="1">
        <f>DATE(2010,8,25) + TIME(3,53,54)</f>
        <v>40415.162430555552</v>
      </c>
      <c r="C384">
        <v>80</v>
      </c>
      <c r="D384">
        <v>79.926101685000006</v>
      </c>
      <c r="E384">
        <v>50</v>
      </c>
      <c r="F384">
        <v>15.019831656999999</v>
      </c>
      <c r="G384">
        <v>1392.8308105000001</v>
      </c>
      <c r="H384">
        <v>1376.8813477000001</v>
      </c>
      <c r="I384">
        <v>1238.1933594</v>
      </c>
      <c r="J384">
        <v>1190.746582</v>
      </c>
      <c r="K384">
        <v>2875</v>
      </c>
      <c r="L384">
        <v>0</v>
      </c>
      <c r="M384">
        <v>0</v>
      </c>
      <c r="N384">
        <v>2875</v>
      </c>
    </row>
    <row r="385" spans="1:14" x14ac:dyDescent="0.25">
      <c r="A385">
        <v>116.611261</v>
      </c>
      <c r="B385" s="1">
        <f>DATE(2010,8,25) + TIME(14,40,12)</f>
        <v>40415.611250000002</v>
      </c>
      <c r="C385">
        <v>80</v>
      </c>
      <c r="D385">
        <v>79.926147460999999</v>
      </c>
      <c r="E385">
        <v>50</v>
      </c>
      <c r="F385">
        <v>15.021328926000001</v>
      </c>
      <c r="G385">
        <v>1392.7961425999999</v>
      </c>
      <c r="H385">
        <v>1376.8482666</v>
      </c>
      <c r="I385">
        <v>1238.2226562000001</v>
      </c>
      <c r="J385">
        <v>1190.7738036999999</v>
      </c>
      <c r="K385">
        <v>2875</v>
      </c>
      <c r="L385">
        <v>0</v>
      </c>
      <c r="M385">
        <v>0</v>
      </c>
      <c r="N385">
        <v>2875</v>
      </c>
    </row>
    <row r="386" spans="1:14" x14ac:dyDescent="0.25">
      <c r="A386">
        <v>117.05915299999999</v>
      </c>
      <c r="B386" s="1">
        <f>DATE(2010,8,26) + TIME(1,25,10)</f>
        <v>40416.05914351852</v>
      </c>
      <c r="C386">
        <v>80</v>
      </c>
      <c r="D386">
        <v>79.926193237000007</v>
      </c>
      <c r="E386">
        <v>50</v>
      </c>
      <c r="F386">
        <v>15.022911071999999</v>
      </c>
      <c r="G386">
        <v>1392.7615966999999</v>
      </c>
      <c r="H386">
        <v>1376.8154297000001</v>
      </c>
      <c r="I386">
        <v>1238.2523193</v>
      </c>
      <c r="J386">
        <v>1190.8013916</v>
      </c>
      <c r="K386">
        <v>2875</v>
      </c>
      <c r="L386">
        <v>0</v>
      </c>
      <c r="M386">
        <v>0</v>
      </c>
      <c r="N386">
        <v>2875</v>
      </c>
    </row>
    <row r="387" spans="1:14" x14ac:dyDescent="0.25">
      <c r="A387">
        <v>117.50621599999999</v>
      </c>
      <c r="B387" s="1">
        <f>DATE(2010,8,26) + TIME(12,8,57)</f>
        <v>40416.506215277775</v>
      </c>
      <c r="C387">
        <v>80</v>
      </c>
      <c r="D387">
        <v>79.926239014000004</v>
      </c>
      <c r="E387">
        <v>50</v>
      </c>
      <c r="F387">
        <v>15.024587630999999</v>
      </c>
      <c r="G387">
        <v>1392.7271728999999</v>
      </c>
      <c r="H387">
        <v>1376.7828368999999</v>
      </c>
      <c r="I387">
        <v>1238.2822266000001</v>
      </c>
      <c r="J387">
        <v>1190.8293457</v>
      </c>
      <c r="K387">
        <v>2875</v>
      </c>
      <c r="L387">
        <v>0</v>
      </c>
      <c r="M387">
        <v>0</v>
      </c>
      <c r="N387">
        <v>2875</v>
      </c>
    </row>
    <row r="388" spans="1:14" x14ac:dyDescent="0.25">
      <c r="A388">
        <v>117.952545</v>
      </c>
      <c r="B388" s="1">
        <f>DATE(2010,8,26) + TIME(22,51,39)</f>
        <v>40416.952534722222</v>
      </c>
      <c r="C388">
        <v>80</v>
      </c>
      <c r="D388">
        <v>79.926284789999997</v>
      </c>
      <c r="E388">
        <v>50</v>
      </c>
      <c r="F388">
        <v>15.026364325999999</v>
      </c>
      <c r="G388">
        <v>1392.6929932</v>
      </c>
      <c r="H388">
        <v>1376.7502440999999</v>
      </c>
      <c r="I388">
        <v>1238.3125</v>
      </c>
      <c r="J388">
        <v>1190.8575439000001</v>
      </c>
      <c r="K388">
        <v>2875</v>
      </c>
      <c r="L388">
        <v>0</v>
      </c>
      <c r="M388">
        <v>0</v>
      </c>
      <c r="N388">
        <v>2875</v>
      </c>
    </row>
    <row r="389" spans="1:14" x14ac:dyDescent="0.25">
      <c r="A389">
        <v>118.84394399999999</v>
      </c>
      <c r="B389" s="1">
        <f>DATE(2010,8,27) + TIME(20,15,16)</f>
        <v>40417.843935185185</v>
      </c>
      <c r="C389">
        <v>80</v>
      </c>
      <c r="D389">
        <v>79.926376343000001</v>
      </c>
      <c r="E389">
        <v>50</v>
      </c>
      <c r="F389">
        <v>15.029096602999999</v>
      </c>
      <c r="G389">
        <v>1392.6593018000001</v>
      </c>
      <c r="H389">
        <v>1376.7181396000001</v>
      </c>
      <c r="I389">
        <v>1238.3431396000001</v>
      </c>
      <c r="J389">
        <v>1190.8870850000001</v>
      </c>
      <c r="K389">
        <v>2875</v>
      </c>
      <c r="L389">
        <v>0</v>
      </c>
      <c r="M389">
        <v>0</v>
      </c>
      <c r="N389">
        <v>2875</v>
      </c>
    </row>
    <row r="390" spans="1:14" x14ac:dyDescent="0.25">
      <c r="A390">
        <v>119.73663500000001</v>
      </c>
      <c r="B390" s="1">
        <f>DATE(2010,8,28) + TIME(17,40,45)</f>
        <v>40418.736631944441</v>
      </c>
      <c r="C390">
        <v>80</v>
      </c>
      <c r="D390">
        <v>79.926467896000005</v>
      </c>
      <c r="E390">
        <v>50</v>
      </c>
      <c r="F390">
        <v>15.032731055999999</v>
      </c>
      <c r="G390">
        <v>1392.5920410000001</v>
      </c>
      <c r="H390">
        <v>1376.6541748</v>
      </c>
      <c r="I390">
        <v>1238.4047852000001</v>
      </c>
      <c r="J390">
        <v>1190.9444579999999</v>
      </c>
      <c r="K390">
        <v>2875</v>
      </c>
      <c r="L390">
        <v>0</v>
      </c>
      <c r="M390">
        <v>0</v>
      </c>
      <c r="N390">
        <v>2875</v>
      </c>
    </row>
    <row r="391" spans="1:14" x14ac:dyDescent="0.25">
      <c r="A391">
        <v>120.640488</v>
      </c>
      <c r="B391" s="1">
        <f>DATE(2010,8,29) + TIME(15,22,18)</f>
        <v>40419.640486111108</v>
      </c>
      <c r="C391">
        <v>80</v>
      </c>
      <c r="D391">
        <v>79.926559448000006</v>
      </c>
      <c r="E391">
        <v>50</v>
      </c>
      <c r="F391">
        <v>15.037095069999999</v>
      </c>
      <c r="G391">
        <v>1392.5245361</v>
      </c>
      <c r="H391">
        <v>1376.5898437999999</v>
      </c>
      <c r="I391">
        <v>1238.4682617000001</v>
      </c>
      <c r="J391">
        <v>1191.0039062000001</v>
      </c>
      <c r="K391">
        <v>2875</v>
      </c>
      <c r="L391">
        <v>0</v>
      </c>
      <c r="M391">
        <v>0</v>
      </c>
      <c r="N391">
        <v>2875</v>
      </c>
    </row>
    <row r="392" spans="1:14" x14ac:dyDescent="0.25">
      <c r="A392">
        <v>121.098855</v>
      </c>
      <c r="B392" s="1">
        <f>DATE(2010,8,30) + TIME(2,22,21)</f>
        <v>40420.098854166667</v>
      </c>
      <c r="C392">
        <v>80</v>
      </c>
      <c r="D392">
        <v>79.926605225000003</v>
      </c>
      <c r="E392">
        <v>50</v>
      </c>
      <c r="F392">
        <v>15.040608406</v>
      </c>
      <c r="G392">
        <v>1392.456543</v>
      </c>
      <c r="H392">
        <v>1376.5251464999999</v>
      </c>
      <c r="I392">
        <v>1238.5341797000001</v>
      </c>
      <c r="J392">
        <v>1191.0644531</v>
      </c>
      <c r="K392">
        <v>2875</v>
      </c>
      <c r="L392">
        <v>0</v>
      </c>
      <c r="M392">
        <v>0</v>
      </c>
      <c r="N392">
        <v>2875</v>
      </c>
    </row>
    <row r="393" spans="1:14" x14ac:dyDescent="0.25">
      <c r="A393">
        <v>121.55350300000001</v>
      </c>
      <c r="B393" s="1">
        <f>DATE(2010,8,30) + TIME(13,17,2)</f>
        <v>40420.553495370368</v>
      </c>
      <c r="C393">
        <v>80</v>
      </c>
      <c r="D393">
        <v>79.926643372000001</v>
      </c>
      <c r="E393">
        <v>50</v>
      </c>
      <c r="F393">
        <v>15.043975830000001</v>
      </c>
      <c r="G393">
        <v>1392.4212646000001</v>
      </c>
      <c r="H393">
        <v>1376.4914550999999</v>
      </c>
      <c r="I393">
        <v>1238.5686035000001</v>
      </c>
      <c r="J393">
        <v>1191.0975341999999</v>
      </c>
      <c r="K393">
        <v>2875</v>
      </c>
      <c r="L393">
        <v>0</v>
      </c>
      <c r="M393">
        <v>0</v>
      </c>
      <c r="N393">
        <v>2875</v>
      </c>
    </row>
    <row r="394" spans="1:14" x14ac:dyDescent="0.25">
      <c r="A394">
        <v>122.007435</v>
      </c>
      <c r="B394" s="1">
        <f>DATE(2010,8,31) + TIME(0,10,42)</f>
        <v>40421.007430555554</v>
      </c>
      <c r="C394">
        <v>80</v>
      </c>
      <c r="D394">
        <v>79.926689147999994</v>
      </c>
      <c r="E394">
        <v>50</v>
      </c>
      <c r="F394">
        <v>15.047332764</v>
      </c>
      <c r="G394">
        <v>1392.3870850000001</v>
      </c>
      <c r="H394">
        <v>1376.4589844</v>
      </c>
      <c r="I394">
        <v>1238.6029053</v>
      </c>
      <c r="J394">
        <v>1191.1303711</v>
      </c>
      <c r="K394">
        <v>2875</v>
      </c>
      <c r="L394">
        <v>0</v>
      </c>
      <c r="M394">
        <v>0</v>
      </c>
      <c r="N394">
        <v>2875</v>
      </c>
    </row>
    <row r="395" spans="1:14" x14ac:dyDescent="0.25">
      <c r="A395">
        <v>122.46042199999999</v>
      </c>
      <c r="B395" s="1">
        <f>DATE(2010,8,31) + TIME(11,3,0)</f>
        <v>40421.460416666669</v>
      </c>
      <c r="C395">
        <v>80</v>
      </c>
      <c r="D395">
        <v>79.926734924000002</v>
      </c>
      <c r="E395">
        <v>50</v>
      </c>
      <c r="F395">
        <v>15.050757408000001</v>
      </c>
      <c r="G395">
        <v>1392.3531493999999</v>
      </c>
      <c r="H395">
        <v>1376.4265137</v>
      </c>
      <c r="I395">
        <v>1238.6378173999999</v>
      </c>
      <c r="J395">
        <v>1191.1636963000001</v>
      </c>
      <c r="K395">
        <v>2875</v>
      </c>
      <c r="L395">
        <v>0</v>
      </c>
      <c r="M395">
        <v>0</v>
      </c>
      <c r="N395">
        <v>2875</v>
      </c>
    </row>
    <row r="396" spans="1:14" x14ac:dyDescent="0.25">
      <c r="A396">
        <v>123</v>
      </c>
      <c r="B396" s="1">
        <f>DATE(2010,9,1) + TIME(0,0,0)</f>
        <v>40422</v>
      </c>
      <c r="C396">
        <v>80</v>
      </c>
      <c r="D396">
        <v>79.926795959000003</v>
      </c>
      <c r="E396">
        <v>50</v>
      </c>
      <c r="F396">
        <v>15.054697037</v>
      </c>
      <c r="G396">
        <v>1392.3193358999999</v>
      </c>
      <c r="H396">
        <v>1376.3944091999999</v>
      </c>
      <c r="I396">
        <v>1238.6727295000001</v>
      </c>
      <c r="J396">
        <v>1191.1975098</v>
      </c>
      <c r="K396">
        <v>2875</v>
      </c>
      <c r="L396">
        <v>0</v>
      </c>
      <c r="M396">
        <v>0</v>
      </c>
      <c r="N396">
        <v>2875</v>
      </c>
    </row>
    <row r="397" spans="1:14" x14ac:dyDescent="0.25">
      <c r="A397">
        <v>123.452038</v>
      </c>
      <c r="B397" s="1">
        <f>DATE(2010,9,1) + TIME(10,50,56)</f>
        <v>40422.452037037037</v>
      </c>
      <c r="C397">
        <v>80</v>
      </c>
      <c r="D397">
        <v>79.926834106000001</v>
      </c>
      <c r="E397">
        <v>50</v>
      </c>
      <c r="F397">
        <v>15.058545112999999</v>
      </c>
      <c r="G397">
        <v>1392.2791748</v>
      </c>
      <c r="H397">
        <v>1376.3562012</v>
      </c>
      <c r="I397">
        <v>1238.7155762</v>
      </c>
      <c r="J397">
        <v>1191.2380370999999</v>
      </c>
      <c r="K397">
        <v>2875</v>
      </c>
      <c r="L397">
        <v>0</v>
      </c>
      <c r="M397">
        <v>0</v>
      </c>
      <c r="N397">
        <v>2875</v>
      </c>
    </row>
    <row r="398" spans="1:14" x14ac:dyDescent="0.25">
      <c r="A398">
        <v>124.34563900000001</v>
      </c>
      <c r="B398" s="1">
        <f>DATE(2010,9,2) + TIME(8,17,43)</f>
        <v>40423.345636574071</v>
      </c>
      <c r="C398">
        <v>80</v>
      </c>
      <c r="D398">
        <v>79.926933289000004</v>
      </c>
      <c r="E398">
        <v>50</v>
      </c>
      <c r="F398">
        <v>15.064304352000001</v>
      </c>
      <c r="G398">
        <v>1392.2457274999999</v>
      </c>
      <c r="H398">
        <v>1376.3242187999999</v>
      </c>
      <c r="I398">
        <v>1238.7514647999999</v>
      </c>
      <c r="J398">
        <v>1191.2744141000001</v>
      </c>
      <c r="K398">
        <v>2875</v>
      </c>
      <c r="L398">
        <v>0</v>
      </c>
      <c r="M398">
        <v>0</v>
      </c>
      <c r="N398">
        <v>2875</v>
      </c>
    </row>
    <row r="399" spans="1:14" x14ac:dyDescent="0.25">
      <c r="A399">
        <v>125.24231</v>
      </c>
      <c r="B399" s="1">
        <f>DATE(2010,9,3) + TIME(5,48,55)</f>
        <v>40424.242303240739</v>
      </c>
      <c r="C399">
        <v>80</v>
      </c>
      <c r="D399">
        <v>79.927024841000005</v>
      </c>
      <c r="E399">
        <v>50</v>
      </c>
      <c r="F399">
        <v>15.071793555999999</v>
      </c>
      <c r="G399">
        <v>1392.1799315999999</v>
      </c>
      <c r="H399">
        <v>1376.2615966999999</v>
      </c>
      <c r="I399">
        <v>1238.8242187999999</v>
      </c>
      <c r="J399">
        <v>1191.34375</v>
      </c>
      <c r="K399">
        <v>2875</v>
      </c>
      <c r="L399">
        <v>0</v>
      </c>
      <c r="M399">
        <v>0</v>
      </c>
      <c r="N399">
        <v>2875</v>
      </c>
    </row>
    <row r="400" spans="1:14" x14ac:dyDescent="0.25">
      <c r="A400">
        <v>126.144395</v>
      </c>
      <c r="B400" s="1">
        <f>DATE(2010,9,4) + TIME(3,27,55)</f>
        <v>40425.144386574073</v>
      </c>
      <c r="C400">
        <v>80</v>
      </c>
      <c r="D400">
        <v>79.927116393999995</v>
      </c>
      <c r="E400">
        <v>50</v>
      </c>
      <c r="F400">
        <v>15.080658913000001</v>
      </c>
      <c r="G400">
        <v>1392.1137695</v>
      </c>
      <c r="H400">
        <v>1376.1984863</v>
      </c>
      <c r="I400">
        <v>1238.8992920000001</v>
      </c>
      <c r="J400">
        <v>1191.4162598</v>
      </c>
      <c r="K400">
        <v>2875</v>
      </c>
      <c r="L400">
        <v>0</v>
      </c>
      <c r="M400">
        <v>0</v>
      </c>
      <c r="N400">
        <v>2875</v>
      </c>
    </row>
    <row r="401" spans="1:14" x14ac:dyDescent="0.25">
      <c r="A401">
        <v>127.05378</v>
      </c>
      <c r="B401" s="1">
        <f>DATE(2010,9,5) + TIME(1,17,26)</f>
        <v>40426.053773148145</v>
      </c>
      <c r="C401">
        <v>80</v>
      </c>
      <c r="D401">
        <v>79.927200317</v>
      </c>
      <c r="E401">
        <v>50</v>
      </c>
      <c r="F401">
        <v>15.090826988</v>
      </c>
      <c r="G401">
        <v>1392.0474853999999</v>
      </c>
      <c r="H401">
        <v>1376.1352539</v>
      </c>
      <c r="I401">
        <v>1238.9769286999999</v>
      </c>
      <c r="J401">
        <v>1191.4919434000001</v>
      </c>
      <c r="K401">
        <v>2875</v>
      </c>
      <c r="L401">
        <v>0</v>
      </c>
      <c r="M401">
        <v>0</v>
      </c>
      <c r="N401">
        <v>2875</v>
      </c>
    </row>
    <row r="402" spans="1:14" x14ac:dyDescent="0.25">
      <c r="A402">
        <v>127.511534</v>
      </c>
      <c r="B402" s="1">
        <f>DATE(2010,9,5) + TIME(12,16,36)</f>
        <v>40426.51152777778</v>
      </c>
      <c r="C402">
        <v>80</v>
      </c>
      <c r="D402">
        <v>79.927246093999997</v>
      </c>
      <c r="E402">
        <v>50</v>
      </c>
      <c r="F402">
        <v>15.098802567</v>
      </c>
      <c r="G402">
        <v>1391.980957</v>
      </c>
      <c r="H402">
        <v>1376.0716553</v>
      </c>
      <c r="I402">
        <v>1239.0584716999999</v>
      </c>
      <c r="J402">
        <v>1191.5684814000001</v>
      </c>
      <c r="K402">
        <v>2875</v>
      </c>
      <c r="L402">
        <v>0</v>
      </c>
      <c r="M402">
        <v>0</v>
      </c>
      <c r="N402">
        <v>2875</v>
      </c>
    </row>
    <row r="403" spans="1:14" x14ac:dyDescent="0.25">
      <c r="A403">
        <v>127.969289</v>
      </c>
      <c r="B403" s="1">
        <f>DATE(2010,9,5) + TIME(23,15,46)</f>
        <v>40426.969282407408</v>
      </c>
      <c r="C403">
        <v>80</v>
      </c>
      <c r="D403">
        <v>79.927291870000005</v>
      </c>
      <c r="E403">
        <v>50</v>
      </c>
      <c r="F403">
        <v>15.106413841</v>
      </c>
      <c r="G403">
        <v>1391.9465332</v>
      </c>
      <c r="H403">
        <v>1376.0388184000001</v>
      </c>
      <c r="I403">
        <v>1239.1000977000001</v>
      </c>
      <c r="J403">
        <v>1191.6109618999999</v>
      </c>
      <c r="K403">
        <v>2875</v>
      </c>
      <c r="L403">
        <v>0</v>
      </c>
      <c r="M403">
        <v>0</v>
      </c>
      <c r="N403">
        <v>2875</v>
      </c>
    </row>
    <row r="404" spans="1:14" x14ac:dyDescent="0.25">
      <c r="A404">
        <v>128.427043</v>
      </c>
      <c r="B404" s="1">
        <f>DATE(2010,9,6) + TIME(10,14,56)</f>
        <v>40427.427037037036</v>
      </c>
      <c r="C404">
        <v>80</v>
      </c>
      <c r="D404">
        <v>79.927337645999998</v>
      </c>
      <c r="E404">
        <v>50</v>
      </c>
      <c r="F404">
        <v>15.113956451</v>
      </c>
      <c r="G404">
        <v>1391.9129639</v>
      </c>
      <c r="H404">
        <v>1376.0068358999999</v>
      </c>
      <c r="I404">
        <v>1239.1423339999999</v>
      </c>
      <c r="J404">
        <v>1191.6535644999999</v>
      </c>
      <c r="K404">
        <v>2875</v>
      </c>
      <c r="L404">
        <v>0</v>
      </c>
      <c r="M404">
        <v>0</v>
      </c>
      <c r="N404">
        <v>2875</v>
      </c>
    </row>
    <row r="405" spans="1:14" x14ac:dyDescent="0.25">
      <c r="A405">
        <v>128.88479699999999</v>
      </c>
      <c r="B405" s="1">
        <f>DATE(2010,9,6) + TIME(21,14,6)</f>
        <v>40427.884791666664</v>
      </c>
      <c r="C405">
        <v>80</v>
      </c>
      <c r="D405">
        <v>79.927375792999996</v>
      </c>
      <c r="E405">
        <v>50</v>
      </c>
      <c r="F405">
        <v>15.121619225</v>
      </c>
      <c r="G405">
        <v>1391.8796387</v>
      </c>
      <c r="H405">
        <v>1375.9748535000001</v>
      </c>
      <c r="I405">
        <v>1239.1851807</v>
      </c>
      <c r="J405">
        <v>1191.6970214999999</v>
      </c>
      <c r="K405">
        <v>2875</v>
      </c>
      <c r="L405">
        <v>0</v>
      </c>
      <c r="M405">
        <v>0</v>
      </c>
      <c r="N405">
        <v>2875</v>
      </c>
    </row>
    <row r="406" spans="1:14" x14ac:dyDescent="0.25">
      <c r="A406">
        <v>129.34176400000001</v>
      </c>
      <c r="B406" s="1">
        <f>DATE(2010,9,7) + TIME(8,12,8)</f>
        <v>40428.34175925926</v>
      </c>
      <c r="C406">
        <v>80</v>
      </c>
      <c r="D406">
        <v>79.927421570000007</v>
      </c>
      <c r="E406">
        <v>50</v>
      </c>
      <c r="F406">
        <v>15.129516602000001</v>
      </c>
      <c r="G406">
        <v>1391.8461914</v>
      </c>
      <c r="H406">
        <v>1375.9429932</v>
      </c>
      <c r="I406">
        <v>1239.2288818</v>
      </c>
      <c r="J406">
        <v>1191.7410889</v>
      </c>
      <c r="K406">
        <v>2875</v>
      </c>
      <c r="L406">
        <v>0</v>
      </c>
      <c r="M406">
        <v>0</v>
      </c>
      <c r="N406">
        <v>2875</v>
      </c>
    </row>
    <row r="407" spans="1:14" x14ac:dyDescent="0.25">
      <c r="A407">
        <v>129.79787999999999</v>
      </c>
      <c r="B407" s="1">
        <f>DATE(2010,9,7) + TIME(19,8,56)</f>
        <v>40428.79787037037</v>
      </c>
      <c r="C407">
        <v>80</v>
      </c>
      <c r="D407">
        <v>79.927467346</v>
      </c>
      <c r="E407">
        <v>50</v>
      </c>
      <c r="F407">
        <v>15.137730597999999</v>
      </c>
      <c r="G407">
        <v>1391.8128661999999</v>
      </c>
      <c r="H407">
        <v>1375.9111327999999</v>
      </c>
      <c r="I407">
        <v>1239.2731934000001</v>
      </c>
      <c r="J407">
        <v>1191.7860106999999</v>
      </c>
      <c r="K407">
        <v>2875</v>
      </c>
      <c r="L407">
        <v>0</v>
      </c>
      <c r="M407">
        <v>0</v>
      </c>
      <c r="N407">
        <v>2875</v>
      </c>
    </row>
    <row r="408" spans="1:14" x14ac:dyDescent="0.25">
      <c r="A408">
        <v>130.25317200000001</v>
      </c>
      <c r="B408" s="1">
        <f>DATE(2010,9,8) + TIME(6,4,34)</f>
        <v>40429.253171296295</v>
      </c>
      <c r="C408">
        <v>80</v>
      </c>
      <c r="D408">
        <v>79.927513122999997</v>
      </c>
      <c r="E408">
        <v>50</v>
      </c>
      <c r="F408">
        <v>15.146316528</v>
      </c>
      <c r="G408">
        <v>1391.7797852000001</v>
      </c>
      <c r="H408">
        <v>1375.8795166</v>
      </c>
      <c r="I408">
        <v>1239.3182373</v>
      </c>
      <c r="J408">
        <v>1191.8317870999999</v>
      </c>
      <c r="K408">
        <v>2875</v>
      </c>
      <c r="L408">
        <v>0</v>
      </c>
      <c r="M408">
        <v>0</v>
      </c>
      <c r="N408">
        <v>2875</v>
      </c>
    </row>
    <row r="409" spans="1:14" x14ac:dyDescent="0.25">
      <c r="A409">
        <v>130.70768000000001</v>
      </c>
      <c r="B409" s="1">
        <f>DATE(2010,9,8) + TIME(16,59,3)</f>
        <v>40429.707673611112</v>
      </c>
      <c r="C409">
        <v>80</v>
      </c>
      <c r="D409">
        <v>79.927558899000005</v>
      </c>
      <c r="E409">
        <v>50</v>
      </c>
      <c r="F409">
        <v>15.155320167999999</v>
      </c>
      <c r="G409">
        <v>1391.7467041</v>
      </c>
      <c r="H409">
        <v>1375.8479004000001</v>
      </c>
      <c r="I409">
        <v>1239.3637695</v>
      </c>
      <c r="J409">
        <v>1191.878418</v>
      </c>
      <c r="K409">
        <v>2875</v>
      </c>
      <c r="L409">
        <v>0</v>
      </c>
      <c r="M409">
        <v>0</v>
      </c>
      <c r="N409">
        <v>2875</v>
      </c>
    </row>
    <row r="410" spans="1:14" x14ac:dyDescent="0.25">
      <c r="A410">
        <v>131.16146499999999</v>
      </c>
      <c r="B410" s="1">
        <f>DATE(2010,9,9) + TIME(3,52,30)</f>
        <v>40430.161458333336</v>
      </c>
      <c r="C410">
        <v>80</v>
      </c>
      <c r="D410">
        <v>79.927604674999998</v>
      </c>
      <c r="E410">
        <v>50</v>
      </c>
      <c r="F410">
        <v>15.164776802</v>
      </c>
      <c r="G410">
        <v>1391.7136230000001</v>
      </c>
      <c r="H410">
        <v>1375.8162841999999</v>
      </c>
      <c r="I410">
        <v>1239.4100341999999</v>
      </c>
      <c r="J410">
        <v>1191.9259033000001</v>
      </c>
      <c r="K410">
        <v>2875</v>
      </c>
      <c r="L410">
        <v>0</v>
      </c>
      <c r="M410">
        <v>0</v>
      </c>
      <c r="N410">
        <v>2875</v>
      </c>
    </row>
    <row r="411" spans="1:14" x14ac:dyDescent="0.25">
      <c r="A411">
        <v>131.614599</v>
      </c>
      <c r="B411" s="1">
        <f>DATE(2010,9,9) + TIME(14,45,1)</f>
        <v>40430.614594907405</v>
      </c>
      <c r="C411">
        <v>80</v>
      </c>
      <c r="D411">
        <v>79.927650451999995</v>
      </c>
      <c r="E411">
        <v>50</v>
      </c>
      <c r="F411">
        <v>15.174716949</v>
      </c>
      <c r="G411">
        <v>1391.6807861</v>
      </c>
      <c r="H411">
        <v>1375.7849120999999</v>
      </c>
      <c r="I411">
        <v>1239.4569091999999</v>
      </c>
      <c r="J411">
        <v>1191.9743652</v>
      </c>
      <c r="K411">
        <v>2875</v>
      </c>
      <c r="L411">
        <v>0</v>
      </c>
      <c r="M411">
        <v>0</v>
      </c>
      <c r="N411">
        <v>2875</v>
      </c>
    </row>
    <row r="412" spans="1:14" x14ac:dyDescent="0.25">
      <c r="A412">
        <v>132.06717</v>
      </c>
      <c r="B412" s="1">
        <f>DATE(2010,9,10) + TIME(1,36,43)</f>
        <v>40431.067164351851</v>
      </c>
      <c r="C412">
        <v>80</v>
      </c>
      <c r="D412">
        <v>79.927696228000002</v>
      </c>
      <c r="E412">
        <v>50</v>
      </c>
      <c r="F412">
        <v>15.185171127</v>
      </c>
      <c r="G412">
        <v>1391.6479492000001</v>
      </c>
      <c r="H412">
        <v>1375.7535399999999</v>
      </c>
      <c r="I412">
        <v>1239.5045166</v>
      </c>
      <c r="J412">
        <v>1192.0239257999999</v>
      </c>
      <c r="K412">
        <v>2875</v>
      </c>
      <c r="L412">
        <v>0</v>
      </c>
      <c r="M412">
        <v>0</v>
      </c>
      <c r="N412">
        <v>2875</v>
      </c>
    </row>
    <row r="413" spans="1:14" x14ac:dyDescent="0.25">
      <c r="A413">
        <v>132.519274</v>
      </c>
      <c r="B413" s="1">
        <f>DATE(2010,9,10) + TIME(12,27,45)</f>
        <v>40431.519270833334</v>
      </c>
      <c r="C413">
        <v>80</v>
      </c>
      <c r="D413">
        <v>79.927742003999995</v>
      </c>
      <c r="E413">
        <v>50</v>
      </c>
      <c r="F413">
        <v>15.196166992</v>
      </c>
      <c r="G413">
        <v>1391.6152344</v>
      </c>
      <c r="H413">
        <v>1375.7222899999999</v>
      </c>
      <c r="I413">
        <v>1239.5528564000001</v>
      </c>
      <c r="J413">
        <v>1192.0743408000001</v>
      </c>
      <c r="K413">
        <v>2875</v>
      </c>
      <c r="L413">
        <v>0</v>
      </c>
      <c r="M413">
        <v>0</v>
      </c>
      <c r="N413">
        <v>2875</v>
      </c>
    </row>
    <row r="414" spans="1:14" x14ac:dyDescent="0.25">
      <c r="A414">
        <v>132.97102100000001</v>
      </c>
      <c r="B414" s="1">
        <f>DATE(2010,9,10) + TIME(23,18,16)</f>
        <v>40431.971018518518</v>
      </c>
      <c r="C414">
        <v>80</v>
      </c>
      <c r="D414">
        <v>79.927787781000006</v>
      </c>
      <c r="E414">
        <v>50</v>
      </c>
      <c r="F414">
        <v>15.207733154</v>
      </c>
      <c r="G414">
        <v>1391.5826416</v>
      </c>
      <c r="H414">
        <v>1375.6910399999999</v>
      </c>
      <c r="I414">
        <v>1239.6019286999999</v>
      </c>
      <c r="J414">
        <v>1192.1259766000001</v>
      </c>
      <c r="K414">
        <v>2875</v>
      </c>
      <c r="L414">
        <v>0</v>
      </c>
      <c r="M414">
        <v>0</v>
      </c>
      <c r="N414">
        <v>2875</v>
      </c>
    </row>
    <row r="415" spans="1:14" x14ac:dyDescent="0.25">
      <c r="A415">
        <v>133.422528</v>
      </c>
      <c r="B415" s="1">
        <f>DATE(2010,9,11) + TIME(10,8,26)</f>
        <v>40432.422523148147</v>
      </c>
      <c r="C415">
        <v>80</v>
      </c>
      <c r="D415">
        <v>79.927825928000004</v>
      </c>
      <c r="E415">
        <v>50</v>
      </c>
      <c r="F415">
        <v>15.219900130999999</v>
      </c>
      <c r="G415">
        <v>1391.5500488</v>
      </c>
      <c r="H415">
        <v>1375.6597899999999</v>
      </c>
      <c r="I415">
        <v>1239.6517334</v>
      </c>
      <c r="J415">
        <v>1192.1785889</v>
      </c>
      <c r="K415">
        <v>2875</v>
      </c>
      <c r="L415">
        <v>0</v>
      </c>
      <c r="M415">
        <v>0</v>
      </c>
      <c r="N415">
        <v>2875</v>
      </c>
    </row>
    <row r="416" spans="1:14" x14ac:dyDescent="0.25">
      <c r="A416">
        <v>133.87392399999999</v>
      </c>
      <c r="B416" s="1">
        <f>DATE(2010,9,11) + TIME(20,58,26)</f>
        <v>40432.873912037037</v>
      </c>
      <c r="C416">
        <v>80</v>
      </c>
      <c r="D416">
        <v>79.927871703999998</v>
      </c>
      <c r="E416">
        <v>50</v>
      </c>
      <c r="F416">
        <v>15.232698441</v>
      </c>
      <c r="G416">
        <v>1391.5174560999999</v>
      </c>
      <c r="H416">
        <v>1375.6286620999999</v>
      </c>
      <c r="I416">
        <v>1239.7022704999999</v>
      </c>
      <c r="J416">
        <v>1192.2325439000001</v>
      </c>
      <c r="K416">
        <v>2875</v>
      </c>
      <c r="L416">
        <v>0</v>
      </c>
      <c r="M416">
        <v>0</v>
      </c>
      <c r="N416">
        <v>2875</v>
      </c>
    </row>
    <row r="417" spans="1:14" x14ac:dyDescent="0.25">
      <c r="A417">
        <v>134.32531900000001</v>
      </c>
      <c r="B417" s="1">
        <f>DATE(2010,9,12) + TIME(7,48,27)</f>
        <v>40433.325312499997</v>
      </c>
      <c r="C417">
        <v>80</v>
      </c>
      <c r="D417">
        <v>79.927917480000005</v>
      </c>
      <c r="E417">
        <v>50</v>
      </c>
      <c r="F417">
        <v>15.246159554</v>
      </c>
      <c r="G417">
        <v>1391.4849853999999</v>
      </c>
      <c r="H417">
        <v>1375.5975341999999</v>
      </c>
      <c r="I417">
        <v>1239.7536620999999</v>
      </c>
      <c r="J417">
        <v>1192.2875977000001</v>
      </c>
      <c r="K417">
        <v>2875</v>
      </c>
      <c r="L417">
        <v>0</v>
      </c>
      <c r="M417">
        <v>0</v>
      </c>
      <c r="N417">
        <v>2875</v>
      </c>
    </row>
    <row r="418" spans="1:14" x14ac:dyDescent="0.25">
      <c r="A418">
        <v>134.776714</v>
      </c>
      <c r="B418" s="1">
        <f>DATE(2010,9,12) + TIME(18,38,28)</f>
        <v>40433.776712962965</v>
      </c>
      <c r="C418">
        <v>80</v>
      </c>
      <c r="D418">
        <v>79.927963257000002</v>
      </c>
      <c r="E418">
        <v>50</v>
      </c>
      <c r="F418">
        <v>15.260313988</v>
      </c>
      <c r="G418">
        <v>1391.4525146000001</v>
      </c>
      <c r="H418">
        <v>1375.5664062000001</v>
      </c>
      <c r="I418">
        <v>1239.8057861</v>
      </c>
      <c r="J418">
        <v>1192.3439940999999</v>
      </c>
      <c r="K418">
        <v>2875</v>
      </c>
      <c r="L418">
        <v>0</v>
      </c>
      <c r="M418">
        <v>0</v>
      </c>
      <c r="N418">
        <v>2875</v>
      </c>
    </row>
    <row r="419" spans="1:14" x14ac:dyDescent="0.25">
      <c r="A419">
        <v>135.67950400000001</v>
      </c>
      <c r="B419" s="1">
        <f>DATE(2010,9,13) + TIME(16,18,29)</f>
        <v>40434.679502314815</v>
      </c>
      <c r="C419">
        <v>80</v>
      </c>
      <c r="D419">
        <v>79.928054810000006</v>
      </c>
      <c r="E419">
        <v>50</v>
      </c>
      <c r="F419">
        <v>15.281842232000001</v>
      </c>
      <c r="G419">
        <v>1391.4202881000001</v>
      </c>
      <c r="H419">
        <v>1375.5356445</v>
      </c>
      <c r="I419">
        <v>1239.8564452999999</v>
      </c>
      <c r="J419">
        <v>1192.4061279</v>
      </c>
      <c r="K419">
        <v>2875</v>
      </c>
      <c r="L419">
        <v>0</v>
      </c>
      <c r="M419">
        <v>0</v>
      </c>
      <c r="N419">
        <v>2875</v>
      </c>
    </row>
    <row r="420" spans="1:14" x14ac:dyDescent="0.25">
      <c r="A420">
        <v>136.58470600000001</v>
      </c>
      <c r="B420" s="1">
        <f>DATE(2010,9,14) + TIME(14,1,58)</f>
        <v>40435.584699074076</v>
      </c>
      <c r="C420">
        <v>80</v>
      </c>
      <c r="D420">
        <v>79.928146362000007</v>
      </c>
      <c r="E420">
        <v>50</v>
      </c>
      <c r="F420">
        <v>15.310161591</v>
      </c>
      <c r="G420">
        <v>1391.3560791</v>
      </c>
      <c r="H420">
        <v>1375.4741211</v>
      </c>
      <c r="I420">
        <v>1239.9652100000001</v>
      </c>
      <c r="J420">
        <v>1192.5222168</v>
      </c>
      <c r="K420">
        <v>2875</v>
      </c>
      <c r="L420">
        <v>0</v>
      </c>
      <c r="M420">
        <v>0</v>
      </c>
      <c r="N420">
        <v>2875</v>
      </c>
    </row>
    <row r="421" spans="1:14" x14ac:dyDescent="0.25">
      <c r="A421">
        <v>137.507542</v>
      </c>
      <c r="B421" s="1">
        <f>DATE(2010,9,15) + TIME(12,10,51)</f>
        <v>40436.507534722223</v>
      </c>
      <c r="C421">
        <v>80</v>
      </c>
      <c r="D421">
        <v>79.928237914999997</v>
      </c>
      <c r="E421">
        <v>50</v>
      </c>
      <c r="F421">
        <v>15.343709946000001</v>
      </c>
      <c r="G421">
        <v>1391.2912598</v>
      </c>
      <c r="H421">
        <v>1375.4121094</v>
      </c>
      <c r="I421">
        <v>1240.0771483999999</v>
      </c>
      <c r="J421">
        <v>1192.6457519999999</v>
      </c>
      <c r="K421">
        <v>2875</v>
      </c>
      <c r="L421">
        <v>0</v>
      </c>
      <c r="M421">
        <v>0</v>
      </c>
      <c r="N421">
        <v>2875</v>
      </c>
    </row>
    <row r="422" spans="1:14" x14ac:dyDescent="0.25">
      <c r="A422">
        <v>137.97554099999999</v>
      </c>
      <c r="B422" s="1">
        <f>DATE(2010,9,15) + TIME(23,24,46)</f>
        <v>40436.975532407407</v>
      </c>
      <c r="C422">
        <v>80</v>
      </c>
      <c r="D422">
        <v>79.928276061999995</v>
      </c>
      <c r="E422">
        <v>50</v>
      </c>
      <c r="F422">
        <v>15.370414734000001</v>
      </c>
      <c r="G422">
        <v>1391.2255858999999</v>
      </c>
      <c r="H422">
        <v>1375.3491211</v>
      </c>
      <c r="I422">
        <v>1240.1993408000001</v>
      </c>
      <c r="J422">
        <v>1192.770874</v>
      </c>
      <c r="K422">
        <v>2875</v>
      </c>
      <c r="L422">
        <v>0</v>
      </c>
      <c r="M422">
        <v>0</v>
      </c>
      <c r="N422">
        <v>2875</v>
      </c>
    </row>
    <row r="423" spans="1:14" x14ac:dyDescent="0.25">
      <c r="A423">
        <v>138.44354000000001</v>
      </c>
      <c r="B423" s="1">
        <f>DATE(2010,9,16) + TIME(10,38,41)</f>
        <v>40437.443530092591</v>
      </c>
      <c r="C423">
        <v>80</v>
      </c>
      <c r="D423">
        <v>79.928321838000002</v>
      </c>
      <c r="E423">
        <v>50</v>
      </c>
      <c r="F423">
        <v>15.395776748999999</v>
      </c>
      <c r="G423">
        <v>1391.1911620999999</v>
      </c>
      <c r="H423">
        <v>1375.3161620999999</v>
      </c>
      <c r="I423">
        <v>1240.2598877</v>
      </c>
      <c r="J423">
        <v>1192.8444824000001</v>
      </c>
      <c r="K423">
        <v>2875</v>
      </c>
      <c r="L423">
        <v>0</v>
      </c>
      <c r="M423">
        <v>0</v>
      </c>
      <c r="N423">
        <v>2875</v>
      </c>
    </row>
    <row r="424" spans="1:14" x14ac:dyDescent="0.25">
      <c r="A424">
        <v>138.911271</v>
      </c>
      <c r="B424" s="1">
        <f>DATE(2010,9,16) + TIME(21,52,13)</f>
        <v>40437.911261574074</v>
      </c>
      <c r="C424">
        <v>80</v>
      </c>
      <c r="D424">
        <v>79.928367614999999</v>
      </c>
      <c r="E424">
        <v>50</v>
      </c>
      <c r="F424">
        <v>15.420769691</v>
      </c>
      <c r="G424">
        <v>1391.1577147999999</v>
      </c>
      <c r="H424">
        <v>1375.2840576000001</v>
      </c>
      <c r="I424">
        <v>1240.3217772999999</v>
      </c>
      <c r="J424">
        <v>1192.9185791</v>
      </c>
      <c r="K424">
        <v>2875</v>
      </c>
      <c r="L424">
        <v>0</v>
      </c>
      <c r="M424">
        <v>0</v>
      </c>
      <c r="N424">
        <v>2875</v>
      </c>
    </row>
    <row r="425" spans="1:14" x14ac:dyDescent="0.25">
      <c r="A425">
        <v>139.378917</v>
      </c>
      <c r="B425" s="1">
        <f>DATE(2010,9,17) + TIME(9,5,38)</f>
        <v>40438.378912037035</v>
      </c>
      <c r="C425">
        <v>80</v>
      </c>
      <c r="D425">
        <v>79.928413391000007</v>
      </c>
      <c r="E425">
        <v>50</v>
      </c>
      <c r="F425">
        <v>15.446008682</v>
      </c>
      <c r="G425">
        <v>1391.1242675999999</v>
      </c>
      <c r="H425">
        <v>1375.2519531</v>
      </c>
      <c r="I425">
        <v>1240.3850098</v>
      </c>
      <c r="J425">
        <v>1192.9940185999999</v>
      </c>
      <c r="K425">
        <v>2875</v>
      </c>
      <c r="L425">
        <v>0</v>
      </c>
      <c r="M425">
        <v>0</v>
      </c>
      <c r="N425">
        <v>2875</v>
      </c>
    </row>
    <row r="426" spans="1:14" x14ac:dyDescent="0.25">
      <c r="A426">
        <v>139.846563</v>
      </c>
      <c r="B426" s="1">
        <f>DATE(2010,9,17) + TIME(20,19,3)</f>
        <v>40438.846562500003</v>
      </c>
      <c r="C426">
        <v>80</v>
      </c>
      <c r="D426">
        <v>79.928459167</v>
      </c>
      <c r="E426">
        <v>50</v>
      </c>
      <c r="F426">
        <v>15.471887589</v>
      </c>
      <c r="G426">
        <v>1391.0909423999999</v>
      </c>
      <c r="H426">
        <v>1375.2199707</v>
      </c>
      <c r="I426">
        <v>1240.4494629000001</v>
      </c>
      <c r="J426">
        <v>1193.0711670000001</v>
      </c>
      <c r="K426">
        <v>2875</v>
      </c>
      <c r="L426">
        <v>0</v>
      </c>
      <c r="M426">
        <v>0</v>
      </c>
      <c r="N426">
        <v>2875</v>
      </c>
    </row>
    <row r="427" spans="1:14" x14ac:dyDescent="0.25">
      <c r="A427">
        <v>140.31421</v>
      </c>
      <c r="B427" s="1">
        <f>DATE(2010,9,18) + TIME(7,32,27)</f>
        <v>40439.314201388886</v>
      </c>
      <c r="C427">
        <v>80</v>
      </c>
      <c r="D427">
        <v>79.928504943999997</v>
      </c>
      <c r="E427">
        <v>50</v>
      </c>
      <c r="F427">
        <v>15.498663902000001</v>
      </c>
      <c r="G427">
        <v>1391.0574951000001</v>
      </c>
      <c r="H427">
        <v>1375.1878661999999</v>
      </c>
      <c r="I427">
        <v>1240.5152588000001</v>
      </c>
      <c r="J427">
        <v>1193.1500243999999</v>
      </c>
      <c r="K427">
        <v>2875</v>
      </c>
      <c r="L427">
        <v>0</v>
      </c>
      <c r="M427">
        <v>0</v>
      </c>
      <c r="N427">
        <v>2875</v>
      </c>
    </row>
    <row r="428" spans="1:14" x14ac:dyDescent="0.25">
      <c r="A428">
        <v>140.781856</v>
      </c>
      <c r="B428" s="1">
        <f>DATE(2010,9,18) + TIME(18,45,52)</f>
        <v>40439.781851851854</v>
      </c>
      <c r="C428">
        <v>80</v>
      </c>
      <c r="D428">
        <v>79.928550720000004</v>
      </c>
      <c r="E428">
        <v>50</v>
      </c>
      <c r="F428">
        <v>15.526510239</v>
      </c>
      <c r="G428">
        <v>1391.0241699000001</v>
      </c>
      <c r="H428">
        <v>1375.1558838000001</v>
      </c>
      <c r="I428">
        <v>1240.5821533000001</v>
      </c>
      <c r="J428">
        <v>1193.2308350000001</v>
      </c>
      <c r="K428">
        <v>2875</v>
      </c>
      <c r="L428">
        <v>0</v>
      </c>
      <c r="M428">
        <v>0</v>
      </c>
      <c r="N428">
        <v>2875</v>
      </c>
    </row>
    <row r="429" spans="1:14" x14ac:dyDescent="0.25">
      <c r="A429">
        <v>141.24950200000001</v>
      </c>
      <c r="B429" s="1">
        <f>DATE(2010,9,19) + TIME(5,59,16)</f>
        <v>40440.249490740738</v>
      </c>
      <c r="C429">
        <v>80</v>
      </c>
      <c r="D429">
        <v>79.928596497000001</v>
      </c>
      <c r="E429">
        <v>50</v>
      </c>
      <c r="F429">
        <v>15.555554389999999</v>
      </c>
      <c r="G429">
        <v>1390.9908447</v>
      </c>
      <c r="H429">
        <v>1375.1239014</v>
      </c>
      <c r="I429">
        <v>1240.6501464999999</v>
      </c>
      <c r="J429">
        <v>1193.3138428</v>
      </c>
      <c r="K429">
        <v>2875</v>
      </c>
      <c r="L429">
        <v>0</v>
      </c>
      <c r="M429">
        <v>0</v>
      </c>
      <c r="N429">
        <v>2875</v>
      </c>
    </row>
    <row r="430" spans="1:14" x14ac:dyDescent="0.25">
      <c r="A430">
        <v>141.71714800000001</v>
      </c>
      <c r="B430" s="1">
        <f>DATE(2010,9,19) + TIME(17,12,41)</f>
        <v>40440.717141203706</v>
      </c>
      <c r="C430">
        <v>80</v>
      </c>
      <c r="D430">
        <v>79.928642272999994</v>
      </c>
      <c r="E430">
        <v>50</v>
      </c>
      <c r="F430">
        <v>15.585891724</v>
      </c>
      <c r="G430">
        <v>1390.9573975000001</v>
      </c>
      <c r="H430">
        <v>1375.0917969</v>
      </c>
      <c r="I430">
        <v>1240.7193603999999</v>
      </c>
      <c r="J430">
        <v>1193.3989257999999</v>
      </c>
      <c r="K430">
        <v>2875</v>
      </c>
      <c r="L430">
        <v>0</v>
      </c>
      <c r="M430">
        <v>0</v>
      </c>
      <c r="N430">
        <v>2875</v>
      </c>
    </row>
    <row r="431" spans="1:14" x14ac:dyDescent="0.25">
      <c r="A431">
        <v>142.18479400000001</v>
      </c>
      <c r="B431" s="1">
        <f>DATE(2010,9,20) + TIME(4,26,6)</f>
        <v>40441.184791666667</v>
      </c>
      <c r="C431">
        <v>80</v>
      </c>
      <c r="D431">
        <v>79.928688049000002</v>
      </c>
      <c r="E431">
        <v>50</v>
      </c>
      <c r="F431">
        <v>15.617598534000001</v>
      </c>
      <c r="G431">
        <v>1390.9240723</v>
      </c>
      <c r="H431">
        <v>1375.0598144999999</v>
      </c>
      <c r="I431">
        <v>1240.7896728999999</v>
      </c>
      <c r="J431">
        <v>1193.4863281</v>
      </c>
      <c r="K431">
        <v>2875</v>
      </c>
      <c r="L431">
        <v>0</v>
      </c>
      <c r="M431">
        <v>0</v>
      </c>
      <c r="N431">
        <v>2875</v>
      </c>
    </row>
    <row r="432" spans="1:14" x14ac:dyDescent="0.25">
      <c r="A432">
        <v>142.65244100000001</v>
      </c>
      <c r="B432" s="1">
        <f>DATE(2010,9,20) + TIME(15,39,30)</f>
        <v>40441.652430555558</v>
      </c>
      <c r="C432">
        <v>80</v>
      </c>
      <c r="D432">
        <v>79.928733825999998</v>
      </c>
      <c r="E432">
        <v>50</v>
      </c>
      <c r="F432">
        <v>15.650741577</v>
      </c>
      <c r="G432">
        <v>1390.8907471</v>
      </c>
      <c r="H432">
        <v>1375.027832</v>
      </c>
      <c r="I432">
        <v>1240.8612060999999</v>
      </c>
      <c r="J432">
        <v>1193.5759277</v>
      </c>
      <c r="K432">
        <v>2875</v>
      </c>
      <c r="L432">
        <v>0</v>
      </c>
      <c r="M432">
        <v>0</v>
      </c>
      <c r="N432">
        <v>2875</v>
      </c>
    </row>
    <row r="433" spans="1:14" x14ac:dyDescent="0.25">
      <c r="A433">
        <v>143.12008700000001</v>
      </c>
      <c r="B433" s="1">
        <f>DATE(2010,9,21) + TIME(2,52,55)</f>
        <v>40442.120081018518</v>
      </c>
      <c r="C433">
        <v>80</v>
      </c>
      <c r="D433">
        <v>79.928779602000006</v>
      </c>
      <c r="E433">
        <v>50</v>
      </c>
      <c r="F433">
        <v>15.685381889</v>
      </c>
      <c r="G433">
        <v>1390.8574219</v>
      </c>
      <c r="H433">
        <v>1374.9958495999999</v>
      </c>
      <c r="I433">
        <v>1240.9338379000001</v>
      </c>
      <c r="J433">
        <v>1193.6680908000001</v>
      </c>
      <c r="K433">
        <v>2875</v>
      </c>
      <c r="L433">
        <v>0</v>
      </c>
      <c r="M433">
        <v>0</v>
      </c>
      <c r="N433">
        <v>2875</v>
      </c>
    </row>
    <row r="434" spans="1:14" x14ac:dyDescent="0.25">
      <c r="A434">
        <v>143.586828</v>
      </c>
      <c r="B434" s="1">
        <f>DATE(2010,9,21) + TIME(14,5,1)</f>
        <v>40442.586817129632</v>
      </c>
      <c r="C434">
        <v>80</v>
      </c>
      <c r="D434">
        <v>79.928825377999999</v>
      </c>
      <c r="E434">
        <v>50</v>
      </c>
      <c r="F434">
        <v>15.721531868</v>
      </c>
      <c r="G434">
        <v>1390.8242187999999</v>
      </c>
      <c r="H434">
        <v>1374.9637451000001</v>
      </c>
      <c r="I434">
        <v>1241.0076904</v>
      </c>
      <c r="J434">
        <v>1193.7625731999999</v>
      </c>
      <c r="K434">
        <v>2875</v>
      </c>
      <c r="L434">
        <v>0</v>
      </c>
      <c r="M434">
        <v>0</v>
      </c>
      <c r="N434">
        <v>2875</v>
      </c>
    </row>
    <row r="435" spans="1:14" x14ac:dyDescent="0.25">
      <c r="A435">
        <v>144.05252899999999</v>
      </c>
      <c r="B435" s="1">
        <f>DATE(2010,9,22) + TIME(1,15,38)</f>
        <v>40443.052523148152</v>
      </c>
      <c r="C435">
        <v>80</v>
      </c>
      <c r="D435">
        <v>79.928863524999997</v>
      </c>
      <c r="E435">
        <v>50</v>
      </c>
      <c r="F435">
        <v>15.759222031</v>
      </c>
      <c r="G435">
        <v>1390.7908935999999</v>
      </c>
      <c r="H435">
        <v>1374.9318848</v>
      </c>
      <c r="I435">
        <v>1241.0825195</v>
      </c>
      <c r="J435">
        <v>1193.8594971</v>
      </c>
      <c r="K435">
        <v>2875</v>
      </c>
      <c r="L435">
        <v>0</v>
      </c>
      <c r="M435">
        <v>0</v>
      </c>
      <c r="N435">
        <v>2875</v>
      </c>
    </row>
    <row r="436" spans="1:14" x14ac:dyDescent="0.25">
      <c r="A436">
        <v>144.51730800000001</v>
      </c>
      <c r="B436" s="1">
        <f>DATE(2010,9,22) + TIME(12,24,55)</f>
        <v>40443.51730324074</v>
      </c>
      <c r="C436">
        <v>80</v>
      </c>
      <c r="D436">
        <v>79.928909301999994</v>
      </c>
      <c r="E436">
        <v>50</v>
      </c>
      <c r="F436">
        <v>15.798494338999999</v>
      </c>
      <c r="G436">
        <v>1390.7578125</v>
      </c>
      <c r="H436">
        <v>1374.9000243999999</v>
      </c>
      <c r="I436">
        <v>1241.1584473</v>
      </c>
      <c r="J436">
        <v>1193.9587402</v>
      </c>
      <c r="K436">
        <v>2875</v>
      </c>
      <c r="L436">
        <v>0</v>
      </c>
      <c r="M436">
        <v>0</v>
      </c>
      <c r="N436">
        <v>2875</v>
      </c>
    </row>
    <row r="437" spans="1:14" x14ac:dyDescent="0.25">
      <c r="A437">
        <v>144.98128199999999</v>
      </c>
      <c r="B437" s="1">
        <f>DATE(2010,9,22) + TIME(23,33,2)</f>
        <v>40443.981273148151</v>
      </c>
      <c r="C437">
        <v>80</v>
      </c>
      <c r="D437">
        <v>79.928955078000001</v>
      </c>
      <c r="E437">
        <v>50</v>
      </c>
      <c r="F437">
        <v>15.839390755</v>
      </c>
      <c r="G437">
        <v>1390.7247314000001</v>
      </c>
      <c r="H437">
        <v>1374.8681641000001</v>
      </c>
      <c r="I437">
        <v>1241.2353516000001</v>
      </c>
      <c r="J437">
        <v>1194.0605469</v>
      </c>
      <c r="K437">
        <v>2875</v>
      </c>
      <c r="L437">
        <v>0</v>
      </c>
      <c r="M437">
        <v>0</v>
      </c>
      <c r="N437">
        <v>2875</v>
      </c>
    </row>
    <row r="438" spans="1:14" x14ac:dyDescent="0.25">
      <c r="A438">
        <v>145.44458299999999</v>
      </c>
      <c r="B438" s="1">
        <f>DATE(2010,9,23) + TIME(10,40,11)</f>
        <v>40444.444571759261</v>
      </c>
      <c r="C438">
        <v>80</v>
      </c>
      <c r="D438">
        <v>79.929000853999995</v>
      </c>
      <c r="E438">
        <v>50</v>
      </c>
      <c r="F438">
        <v>15.881960869</v>
      </c>
      <c r="G438">
        <v>1390.6917725000001</v>
      </c>
      <c r="H438">
        <v>1374.8364257999999</v>
      </c>
      <c r="I438">
        <v>1241.3132324000001</v>
      </c>
      <c r="J438">
        <v>1194.1647949000001</v>
      </c>
      <c r="K438">
        <v>2875</v>
      </c>
      <c r="L438">
        <v>0</v>
      </c>
      <c r="M438">
        <v>0</v>
      </c>
      <c r="N438">
        <v>2875</v>
      </c>
    </row>
    <row r="439" spans="1:14" x14ac:dyDescent="0.25">
      <c r="A439">
        <v>145.90735799999999</v>
      </c>
      <c r="B439" s="1">
        <f>DATE(2010,9,23) + TIME(21,46,35)</f>
        <v>40444.907349537039</v>
      </c>
      <c r="C439">
        <v>80</v>
      </c>
      <c r="D439">
        <v>79.929046631000006</v>
      </c>
      <c r="E439">
        <v>50</v>
      </c>
      <c r="F439">
        <v>15.926255226</v>
      </c>
      <c r="G439">
        <v>1390.6588135</v>
      </c>
      <c r="H439">
        <v>1374.8046875</v>
      </c>
      <c r="I439">
        <v>1241.3922118999999</v>
      </c>
      <c r="J439">
        <v>1194.2716064000001</v>
      </c>
      <c r="K439">
        <v>2875</v>
      </c>
      <c r="L439">
        <v>0</v>
      </c>
      <c r="M439">
        <v>0</v>
      </c>
      <c r="N439">
        <v>2875</v>
      </c>
    </row>
    <row r="440" spans="1:14" x14ac:dyDescent="0.25">
      <c r="A440">
        <v>146.36980299999999</v>
      </c>
      <c r="B440" s="1">
        <f>DATE(2010,9,24) + TIME(8,52,30)</f>
        <v>40445.369791666664</v>
      </c>
      <c r="C440">
        <v>80</v>
      </c>
      <c r="D440">
        <v>79.929092406999999</v>
      </c>
      <c r="E440">
        <v>50</v>
      </c>
      <c r="F440">
        <v>15.972328186</v>
      </c>
      <c r="G440">
        <v>1390.6258545000001</v>
      </c>
      <c r="H440">
        <v>1374.7730713000001</v>
      </c>
      <c r="I440">
        <v>1241.4722899999999</v>
      </c>
      <c r="J440">
        <v>1194.3811035000001</v>
      </c>
      <c r="K440">
        <v>2875</v>
      </c>
      <c r="L440">
        <v>0</v>
      </c>
      <c r="M440">
        <v>0</v>
      </c>
      <c r="N440">
        <v>2875</v>
      </c>
    </row>
    <row r="441" spans="1:14" x14ac:dyDescent="0.25">
      <c r="A441">
        <v>146.83208500000001</v>
      </c>
      <c r="B441" s="1">
        <f>DATE(2010,9,24) + TIME(19,58,12)</f>
        <v>40445.832083333335</v>
      </c>
      <c r="C441">
        <v>80</v>
      </c>
      <c r="D441">
        <v>79.929138183999996</v>
      </c>
      <c r="E441">
        <v>50</v>
      </c>
      <c r="F441">
        <v>16.020236968999999</v>
      </c>
      <c r="G441">
        <v>1390.5930175999999</v>
      </c>
      <c r="H441">
        <v>1374.7413329999999</v>
      </c>
      <c r="I441">
        <v>1241.5535889</v>
      </c>
      <c r="J441">
        <v>1194.4934082</v>
      </c>
      <c r="K441">
        <v>2875</v>
      </c>
      <c r="L441">
        <v>0</v>
      </c>
      <c r="M441">
        <v>0</v>
      </c>
      <c r="N441">
        <v>2875</v>
      </c>
    </row>
    <row r="442" spans="1:14" x14ac:dyDescent="0.25">
      <c r="A442">
        <v>147.294366</v>
      </c>
      <c r="B442" s="1">
        <f>DATE(2010,9,25) + TIME(7,3,53)</f>
        <v>40446.294363425928</v>
      </c>
      <c r="C442">
        <v>80</v>
      </c>
      <c r="D442">
        <v>79.929176330999994</v>
      </c>
      <c r="E442">
        <v>50</v>
      </c>
      <c r="F442">
        <v>16.070034026999998</v>
      </c>
      <c r="G442">
        <v>1390.5601807</v>
      </c>
      <c r="H442">
        <v>1374.7097168</v>
      </c>
      <c r="I442">
        <v>1241.6358643000001</v>
      </c>
      <c r="J442">
        <v>1194.6085204999999</v>
      </c>
      <c r="K442">
        <v>2875</v>
      </c>
      <c r="L442">
        <v>0</v>
      </c>
      <c r="M442">
        <v>0</v>
      </c>
      <c r="N442">
        <v>2875</v>
      </c>
    </row>
    <row r="443" spans="1:14" x14ac:dyDescent="0.25">
      <c r="A443">
        <v>147.75664800000001</v>
      </c>
      <c r="B443" s="1">
        <f>DATE(2010,9,25) + TIME(18,9,34)</f>
        <v>40446.756643518522</v>
      </c>
      <c r="C443">
        <v>80</v>
      </c>
      <c r="D443">
        <v>79.929222107000001</v>
      </c>
      <c r="E443">
        <v>50</v>
      </c>
      <c r="F443">
        <v>16.121768951</v>
      </c>
      <c r="G443">
        <v>1390.5272216999999</v>
      </c>
      <c r="H443">
        <v>1374.6781006000001</v>
      </c>
      <c r="I443">
        <v>1241.7193603999999</v>
      </c>
      <c r="J443">
        <v>1194.7265625</v>
      </c>
      <c r="K443">
        <v>2875</v>
      </c>
      <c r="L443">
        <v>0</v>
      </c>
      <c r="M443">
        <v>0</v>
      </c>
      <c r="N443">
        <v>2875</v>
      </c>
    </row>
    <row r="444" spans="1:14" x14ac:dyDescent="0.25">
      <c r="A444">
        <v>148.21893</v>
      </c>
      <c r="B444" s="1">
        <f>DATE(2010,9,26) + TIME(5,15,15)</f>
        <v>40447.218923611108</v>
      </c>
      <c r="C444">
        <v>80</v>
      </c>
      <c r="D444">
        <v>79.929267882999994</v>
      </c>
      <c r="E444">
        <v>50</v>
      </c>
      <c r="F444">
        <v>16.175483704000001</v>
      </c>
      <c r="G444">
        <v>1390.4943848</v>
      </c>
      <c r="H444">
        <v>1374.6464844</v>
      </c>
      <c r="I444">
        <v>1241.8040771000001</v>
      </c>
      <c r="J444">
        <v>1194.8475341999999</v>
      </c>
      <c r="K444">
        <v>2875</v>
      </c>
      <c r="L444">
        <v>0</v>
      </c>
      <c r="M444">
        <v>0</v>
      </c>
      <c r="N444">
        <v>2875</v>
      </c>
    </row>
    <row r="445" spans="1:14" x14ac:dyDescent="0.25">
      <c r="A445">
        <v>148.68121099999999</v>
      </c>
      <c r="B445" s="1">
        <f>DATE(2010,9,26) + TIME(16,20,56)</f>
        <v>40447.681203703702</v>
      </c>
      <c r="C445">
        <v>80</v>
      </c>
      <c r="D445">
        <v>79.929313660000005</v>
      </c>
      <c r="E445">
        <v>50</v>
      </c>
      <c r="F445">
        <v>16.231220244999999</v>
      </c>
      <c r="G445">
        <v>1390.4615478999999</v>
      </c>
      <c r="H445">
        <v>1374.6148682</v>
      </c>
      <c r="I445">
        <v>1241.8898925999999</v>
      </c>
      <c r="J445">
        <v>1194.9715576000001</v>
      </c>
      <c r="K445">
        <v>2875</v>
      </c>
      <c r="L445">
        <v>0</v>
      </c>
      <c r="M445">
        <v>0</v>
      </c>
      <c r="N445">
        <v>2875</v>
      </c>
    </row>
    <row r="446" spans="1:14" x14ac:dyDescent="0.25">
      <c r="A446">
        <v>149.14349300000001</v>
      </c>
      <c r="B446" s="1">
        <f>DATE(2010,9,27) + TIME(3,26,37)</f>
        <v>40448.143483796295</v>
      </c>
      <c r="C446">
        <v>80</v>
      </c>
      <c r="D446">
        <v>79.929359435999999</v>
      </c>
      <c r="E446">
        <v>50</v>
      </c>
      <c r="F446">
        <v>16.289020537999999</v>
      </c>
      <c r="G446">
        <v>1390.4288329999999</v>
      </c>
      <c r="H446">
        <v>1374.5832519999999</v>
      </c>
      <c r="I446">
        <v>1241.9769286999999</v>
      </c>
      <c r="J446">
        <v>1195.0987548999999</v>
      </c>
      <c r="K446">
        <v>2875</v>
      </c>
      <c r="L446">
        <v>0</v>
      </c>
      <c r="M446">
        <v>0</v>
      </c>
      <c r="N446">
        <v>2875</v>
      </c>
    </row>
    <row r="447" spans="1:14" x14ac:dyDescent="0.25">
      <c r="A447">
        <v>149.60577499999999</v>
      </c>
      <c r="B447" s="1">
        <f>DATE(2010,9,27) + TIME(14,32,18)</f>
        <v>40448.605763888889</v>
      </c>
      <c r="C447">
        <v>80</v>
      </c>
      <c r="D447">
        <v>79.929397582999997</v>
      </c>
      <c r="E447">
        <v>50</v>
      </c>
      <c r="F447">
        <v>16.348920822</v>
      </c>
      <c r="G447">
        <v>1390.3959961</v>
      </c>
      <c r="H447">
        <v>1374.5516356999999</v>
      </c>
      <c r="I447">
        <v>1242.0650635</v>
      </c>
      <c r="J447">
        <v>1195.2290039</v>
      </c>
      <c r="K447">
        <v>2875</v>
      </c>
      <c r="L447">
        <v>0</v>
      </c>
      <c r="M447">
        <v>0</v>
      </c>
      <c r="N447">
        <v>2875</v>
      </c>
    </row>
    <row r="448" spans="1:14" x14ac:dyDescent="0.25">
      <c r="A448">
        <v>150.06805600000001</v>
      </c>
      <c r="B448" s="1">
        <f>DATE(2010,9,28) + TIME(1,38,0)</f>
        <v>40449.068055555559</v>
      </c>
      <c r="C448">
        <v>80</v>
      </c>
      <c r="D448">
        <v>79.929443359000004</v>
      </c>
      <c r="E448">
        <v>50</v>
      </c>
      <c r="F448">
        <v>16.410955429000001</v>
      </c>
      <c r="G448">
        <v>1390.3631591999999</v>
      </c>
      <c r="H448">
        <v>1374.5200195</v>
      </c>
      <c r="I448">
        <v>1242.1542969</v>
      </c>
      <c r="J448">
        <v>1195.3623047000001</v>
      </c>
      <c r="K448">
        <v>2875</v>
      </c>
      <c r="L448">
        <v>0</v>
      </c>
      <c r="M448">
        <v>0</v>
      </c>
      <c r="N448">
        <v>2875</v>
      </c>
    </row>
    <row r="449" spans="1:14" x14ac:dyDescent="0.25">
      <c r="A449">
        <v>150.530338</v>
      </c>
      <c r="B449" s="1">
        <f>DATE(2010,9,28) + TIME(12,43,41)</f>
        <v>40449.530335648145</v>
      </c>
      <c r="C449">
        <v>80</v>
      </c>
      <c r="D449">
        <v>79.929489136000001</v>
      </c>
      <c r="E449">
        <v>50</v>
      </c>
      <c r="F449">
        <v>16.475152969</v>
      </c>
      <c r="G449">
        <v>1390.3304443</v>
      </c>
      <c r="H449">
        <v>1374.4884033000001</v>
      </c>
      <c r="I449">
        <v>1242.244751</v>
      </c>
      <c r="J449">
        <v>1195.4989014</v>
      </c>
      <c r="K449">
        <v>2875</v>
      </c>
      <c r="L449">
        <v>0</v>
      </c>
      <c r="M449">
        <v>0</v>
      </c>
      <c r="N449">
        <v>2875</v>
      </c>
    </row>
    <row r="450" spans="1:14" x14ac:dyDescent="0.25">
      <c r="A450">
        <v>151.45490100000001</v>
      </c>
      <c r="B450" s="1">
        <f>DATE(2010,9,29) + TIME(10,55,3)</f>
        <v>40450.454895833333</v>
      </c>
      <c r="C450">
        <v>80</v>
      </c>
      <c r="D450">
        <v>79.929580688000001</v>
      </c>
      <c r="E450">
        <v>50</v>
      </c>
      <c r="F450">
        <v>16.570484161</v>
      </c>
      <c r="G450">
        <v>1390.2977295000001</v>
      </c>
      <c r="H450">
        <v>1374.4567870999999</v>
      </c>
      <c r="I450">
        <v>1242.3260498</v>
      </c>
      <c r="J450">
        <v>1195.6580810999999</v>
      </c>
      <c r="K450">
        <v>2875</v>
      </c>
      <c r="L450">
        <v>0</v>
      </c>
      <c r="M450">
        <v>0</v>
      </c>
      <c r="N450">
        <v>2875</v>
      </c>
    </row>
    <row r="451" spans="1:14" x14ac:dyDescent="0.25">
      <c r="A451">
        <v>152.380503</v>
      </c>
      <c r="B451" s="1">
        <f>DATE(2010,9,30) + TIME(9,7,55)</f>
        <v>40451.380497685182</v>
      </c>
      <c r="C451">
        <v>80</v>
      </c>
      <c r="D451">
        <v>79.929672241000006</v>
      </c>
      <c r="E451">
        <v>50</v>
      </c>
      <c r="F451">
        <v>16.693500519000001</v>
      </c>
      <c r="G451">
        <v>1390.2327881000001</v>
      </c>
      <c r="H451">
        <v>1374.3942870999999</v>
      </c>
      <c r="I451">
        <v>1242.5157471</v>
      </c>
      <c r="J451">
        <v>1195.9333495999999</v>
      </c>
      <c r="K451">
        <v>2875</v>
      </c>
      <c r="L451">
        <v>0</v>
      </c>
      <c r="M451">
        <v>0</v>
      </c>
      <c r="N451">
        <v>2875</v>
      </c>
    </row>
    <row r="452" spans="1:14" x14ac:dyDescent="0.25">
      <c r="A452">
        <v>153</v>
      </c>
      <c r="B452" s="1">
        <f>DATE(2010,10,1) + TIME(0,0,0)</f>
        <v>40452</v>
      </c>
      <c r="C452">
        <v>80</v>
      </c>
      <c r="D452">
        <v>79.929725646999998</v>
      </c>
      <c r="E452">
        <v>50</v>
      </c>
      <c r="F452">
        <v>16.809007645000001</v>
      </c>
      <c r="G452">
        <v>1390.1676024999999</v>
      </c>
      <c r="H452">
        <v>1374.3314209</v>
      </c>
      <c r="I452">
        <v>1242.7156981999999</v>
      </c>
      <c r="J452">
        <v>1196.2109375</v>
      </c>
      <c r="K452">
        <v>2875</v>
      </c>
      <c r="L452">
        <v>0</v>
      </c>
      <c r="M452">
        <v>0</v>
      </c>
      <c r="N452">
        <v>2875</v>
      </c>
    </row>
    <row r="453" spans="1:14" x14ac:dyDescent="0.25">
      <c r="A453">
        <v>153.000001</v>
      </c>
      <c r="B453" s="1">
        <f>DATE(2010,10,1) + TIME(0,0,0)</f>
        <v>40452</v>
      </c>
      <c r="C453">
        <v>80</v>
      </c>
      <c r="D453">
        <v>79.929595946999996</v>
      </c>
      <c r="E453">
        <v>50</v>
      </c>
      <c r="F453">
        <v>16.809137344</v>
      </c>
      <c r="G453">
        <v>1373.4371338000001</v>
      </c>
      <c r="H453">
        <v>1363.2983397999999</v>
      </c>
      <c r="I453">
        <v>1276.0788574000001</v>
      </c>
      <c r="J453">
        <v>1243.6359863</v>
      </c>
      <c r="K453">
        <v>0</v>
      </c>
      <c r="L453">
        <v>2050</v>
      </c>
      <c r="M453">
        <v>2050</v>
      </c>
      <c r="N453">
        <v>0</v>
      </c>
    </row>
    <row r="454" spans="1:14" x14ac:dyDescent="0.25">
      <c r="A454">
        <v>153.00000399999999</v>
      </c>
      <c r="B454" s="1">
        <f>DATE(2010,10,1) + TIME(0,0,0)</f>
        <v>40452</v>
      </c>
      <c r="C454">
        <v>80</v>
      </c>
      <c r="D454">
        <v>79.929275512999993</v>
      </c>
      <c r="E454">
        <v>50</v>
      </c>
      <c r="F454">
        <v>16.809505463000001</v>
      </c>
      <c r="G454">
        <v>1371.1776123</v>
      </c>
      <c r="H454">
        <v>1361.0378418</v>
      </c>
      <c r="I454">
        <v>1278.6179199000001</v>
      </c>
      <c r="J454">
        <v>1246.2292480000001</v>
      </c>
      <c r="K454">
        <v>0</v>
      </c>
      <c r="L454">
        <v>2050</v>
      </c>
      <c r="M454">
        <v>2050</v>
      </c>
      <c r="N454">
        <v>0</v>
      </c>
    </row>
    <row r="455" spans="1:14" x14ac:dyDescent="0.25">
      <c r="A455">
        <v>153.000013</v>
      </c>
      <c r="B455" s="1">
        <f>DATE(2010,10,1) + TIME(0,0,1)</f>
        <v>40452.000011574077</v>
      </c>
      <c r="C455">
        <v>80</v>
      </c>
      <c r="D455">
        <v>79.928627014</v>
      </c>
      <c r="E455">
        <v>50</v>
      </c>
      <c r="F455">
        <v>16.810482024999999</v>
      </c>
      <c r="G455">
        <v>1366.6158447</v>
      </c>
      <c r="H455">
        <v>1356.4753418</v>
      </c>
      <c r="I455">
        <v>1285.0866699000001</v>
      </c>
      <c r="J455">
        <v>1252.8056641000001</v>
      </c>
      <c r="K455">
        <v>0</v>
      </c>
      <c r="L455">
        <v>2050</v>
      </c>
      <c r="M455">
        <v>2050</v>
      </c>
      <c r="N455">
        <v>0</v>
      </c>
    </row>
    <row r="456" spans="1:14" x14ac:dyDescent="0.25">
      <c r="A456">
        <v>153.00004000000001</v>
      </c>
      <c r="B456" s="1">
        <f>DATE(2010,10,1) + TIME(0,0,3)</f>
        <v>40452.000034722223</v>
      </c>
      <c r="C456">
        <v>80</v>
      </c>
      <c r="D456">
        <v>79.927680968999994</v>
      </c>
      <c r="E456">
        <v>50</v>
      </c>
      <c r="F456">
        <v>16.812747954999999</v>
      </c>
      <c r="G456">
        <v>1359.9521483999999</v>
      </c>
      <c r="H456">
        <v>1349.8127440999999</v>
      </c>
      <c r="I456">
        <v>1298.3563231999999</v>
      </c>
      <c r="J456">
        <v>1266.1960449000001</v>
      </c>
      <c r="K456">
        <v>0</v>
      </c>
      <c r="L456">
        <v>2050</v>
      </c>
      <c r="M456">
        <v>2050</v>
      </c>
      <c r="N456">
        <v>0</v>
      </c>
    </row>
    <row r="457" spans="1:14" x14ac:dyDescent="0.25">
      <c r="A457">
        <v>153.00012100000001</v>
      </c>
      <c r="B457" s="1">
        <f>DATE(2010,10,1) + TIME(0,0,10)</f>
        <v>40452.000115740739</v>
      </c>
      <c r="C457">
        <v>80</v>
      </c>
      <c r="D457">
        <v>79.926605225000003</v>
      </c>
      <c r="E457">
        <v>50</v>
      </c>
      <c r="F457">
        <v>16.817409515000001</v>
      </c>
      <c r="G457">
        <v>1352.5285644999999</v>
      </c>
      <c r="H457">
        <v>1342.3989257999999</v>
      </c>
      <c r="I457">
        <v>1318.1251221</v>
      </c>
      <c r="J457">
        <v>1285.9909668</v>
      </c>
      <c r="K457">
        <v>0</v>
      </c>
      <c r="L457">
        <v>2050</v>
      </c>
      <c r="M457">
        <v>2050</v>
      </c>
      <c r="N457">
        <v>0</v>
      </c>
    </row>
    <row r="458" spans="1:14" x14ac:dyDescent="0.25">
      <c r="A458">
        <v>153.00036399999999</v>
      </c>
      <c r="B458" s="1">
        <f>DATE(2010,10,1) + TIME(0,0,31)</f>
        <v>40452.000358796293</v>
      </c>
      <c r="C458">
        <v>80</v>
      </c>
      <c r="D458">
        <v>79.925468445000007</v>
      </c>
      <c r="E458">
        <v>50</v>
      </c>
      <c r="F458">
        <v>16.827537537000001</v>
      </c>
      <c r="G458">
        <v>1345.0614014</v>
      </c>
      <c r="H458">
        <v>1334.9449463000001</v>
      </c>
      <c r="I458">
        <v>1340.4119873</v>
      </c>
      <c r="J458">
        <v>1308.2413329999999</v>
      </c>
      <c r="K458">
        <v>0</v>
      </c>
      <c r="L458">
        <v>2050</v>
      </c>
      <c r="M458">
        <v>2050</v>
      </c>
      <c r="N458">
        <v>0</v>
      </c>
    </row>
    <row r="459" spans="1:14" x14ac:dyDescent="0.25">
      <c r="A459">
        <v>153.001093</v>
      </c>
      <c r="B459" s="1">
        <f>DATE(2010,10,1) + TIME(0,1,34)</f>
        <v>40452.001087962963</v>
      </c>
      <c r="C459">
        <v>80</v>
      </c>
      <c r="D459">
        <v>79.924171447999996</v>
      </c>
      <c r="E459">
        <v>50</v>
      </c>
      <c r="F459">
        <v>16.853321075</v>
      </c>
      <c r="G459">
        <v>1337.5090332</v>
      </c>
      <c r="H459">
        <v>1327.3902588000001</v>
      </c>
      <c r="I459">
        <v>1362.7911377</v>
      </c>
      <c r="J459">
        <v>1330.5791016000001</v>
      </c>
      <c r="K459">
        <v>0</v>
      </c>
      <c r="L459">
        <v>2050</v>
      </c>
      <c r="M459">
        <v>2050</v>
      </c>
      <c r="N459">
        <v>0</v>
      </c>
    </row>
    <row r="460" spans="1:14" x14ac:dyDescent="0.25">
      <c r="A460">
        <v>153.00327999999999</v>
      </c>
      <c r="B460" s="1">
        <f>DATE(2010,10,1) + TIME(0,4,43)</f>
        <v>40452.003275462965</v>
      </c>
      <c r="C460">
        <v>80</v>
      </c>
      <c r="D460">
        <v>79.922332764000004</v>
      </c>
      <c r="E460">
        <v>50</v>
      </c>
      <c r="F460">
        <v>16.926046371000002</v>
      </c>
      <c r="G460">
        <v>1329.3280029</v>
      </c>
      <c r="H460">
        <v>1319.1447754000001</v>
      </c>
      <c r="I460">
        <v>1384.5701904</v>
      </c>
      <c r="J460">
        <v>1352.3087158000001</v>
      </c>
      <c r="K460">
        <v>0</v>
      </c>
      <c r="L460">
        <v>2050</v>
      </c>
      <c r="M460">
        <v>2050</v>
      </c>
      <c r="N460">
        <v>0</v>
      </c>
    </row>
    <row r="461" spans="1:14" x14ac:dyDescent="0.25">
      <c r="A461">
        <v>153.00984099999999</v>
      </c>
      <c r="B461" s="1">
        <f>DATE(2010,10,1) + TIME(0,14,10)</f>
        <v>40452.009837962964</v>
      </c>
      <c r="C461">
        <v>80</v>
      </c>
      <c r="D461">
        <v>79.918998717999997</v>
      </c>
      <c r="E461">
        <v>50</v>
      </c>
      <c r="F461">
        <v>17.139232634999999</v>
      </c>
      <c r="G461">
        <v>1320.1578368999999</v>
      </c>
      <c r="H461">
        <v>1309.8861084</v>
      </c>
      <c r="I461">
        <v>1403.9031981999999</v>
      </c>
      <c r="J461">
        <v>1371.6483154</v>
      </c>
      <c r="K461">
        <v>0</v>
      </c>
      <c r="L461">
        <v>2050</v>
      </c>
      <c r="M461">
        <v>2050</v>
      </c>
      <c r="N461">
        <v>0</v>
      </c>
    </row>
    <row r="462" spans="1:14" x14ac:dyDescent="0.25">
      <c r="A462">
        <v>153.02952400000001</v>
      </c>
      <c r="B462" s="1">
        <f>DATE(2010,10,1) + TIME(0,42,30)</f>
        <v>40452.029513888891</v>
      </c>
      <c r="C462">
        <v>80</v>
      </c>
      <c r="D462">
        <v>79.911758422999995</v>
      </c>
      <c r="E462">
        <v>50</v>
      </c>
      <c r="F462">
        <v>17.765411377</v>
      </c>
      <c r="G462">
        <v>1311.7554932</v>
      </c>
      <c r="H462">
        <v>1301.4364014</v>
      </c>
      <c r="I462">
        <v>1416.9615478999999</v>
      </c>
      <c r="J462">
        <v>1385.0676269999999</v>
      </c>
      <c r="K462">
        <v>0</v>
      </c>
      <c r="L462">
        <v>2050</v>
      </c>
      <c r="M462">
        <v>2050</v>
      </c>
      <c r="N462">
        <v>0</v>
      </c>
    </row>
    <row r="463" spans="1:14" x14ac:dyDescent="0.25">
      <c r="A463">
        <v>153.06057899999999</v>
      </c>
      <c r="B463" s="1">
        <f>DATE(2010,10,1) + TIME(1,27,13)</f>
        <v>40452.060567129629</v>
      </c>
      <c r="C463">
        <v>80</v>
      </c>
      <c r="D463">
        <v>79.901786803999997</v>
      </c>
      <c r="E463">
        <v>50</v>
      </c>
      <c r="F463">
        <v>18.725528717</v>
      </c>
      <c r="G463">
        <v>1307.7896728999999</v>
      </c>
      <c r="H463">
        <v>1297.4572754000001</v>
      </c>
      <c r="I463">
        <v>1420.9638672000001</v>
      </c>
      <c r="J463">
        <v>1389.7678223</v>
      </c>
      <c r="K463">
        <v>0</v>
      </c>
      <c r="L463">
        <v>2050</v>
      </c>
      <c r="M463">
        <v>2050</v>
      </c>
      <c r="N463">
        <v>0</v>
      </c>
    </row>
    <row r="464" spans="1:14" x14ac:dyDescent="0.25">
      <c r="A464">
        <v>153.09260900000001</v>
      </c>
      <c r="B464" s="1">
        <f>DATE(2010,10,1) + TIME(2,13,21)</f>
        <v>40452.092604166668</v>
      </c>
      <c r="C464">
        <v>80</v>
      </c>
      <c r="D464">
        <v>79.891967773000005</v>
      </c>
      <c r="E464">
        <v>50</v>
      </c>
      <c r="F464">
        <v>19.687469482000001</v>
      </c>
      <c r="G464">
        <v>1306.3874512</v>
      </c>
      <c r="H464">
        <v>1296.0512695</v>
      </c>
      <c r="I464">
        <v>1421.2757568</v>
      </c>
      <c r="J464">
        <v>1390.7868652</v>
      </c>
      <c r="K464">
        <v>0</v>
      </c>
      <c r="L464">
        <v>2050</v>
      </c>
      <c r="M464">
        <v>2050</v>
      </c>
      <c r="N464">
        <v>0</v>
      </c>
    </row>
    <row r="465" spans="1:14" x14ac:dyDescent="0.25">
      <c r="A465">
        <v>153.12558100000001</v>
      </c>
      <c r="B465" s="1">
        <f>DATE(2010,10,1) + TIME(3,0,50)</f>
        <v>40452.125578703701</v>
      </c>
      <c r="C465">
        <v>80</v>
      </c>
      <c r="D465">
        <v>79.882072449000006</v>
      </c>
      <c r="E465">
        <v>50</v>
      </c>
      <c r="F465">
        <v>20.648948668999999</v>
      </c>
      <c r="G465">
        <v>1305.8532714999999</v>
      </c>
      <c r="H465">
        <v>1295.5155029</v>
      </c>
      <c r="I465">
        <v>1420.5919189000001</v>
      </c>
      <c r="J465">
        <v>1390.7933350000001</v>
      </c>
      <c r="K465">
        <v>0</v>
      </c>
      <c r="L465">
        <v>2050</v>
      </c>
      <c r="M465">
        <v>2050</v>
      </c>
      <c r="N465">
        <v>0</v>
      </c>
    </row>
    <row r="466" spans="1:14" x14ac:dyDescent="0.25">
      <c r="A466">
        <v>153.159539</v>
      </c>
      <c r="B466" s="1">
        <f>DATE(2010,10,1) + TIME(3,49,44)</f>
        <v>40452.159537037034</v>
      </c>
      <c r="C466">
        <v>80</v>
      </c>
      <c r="D466">
        <v>79.872024535999998</v>
      </c>
      <c r="E466">
        <v>50</v>
      </c>
      <c r="F466">
        <v>21.609062195</v>
      </c>
      <c r="G466">
        <v>1305.6375731999999</v>
      </c>
      <c r="H466">
        <v>1295.2989502</v>
      </c>
      <c r="I466">
        <v>1419.6531981999999</v>
      </c>
      <c r="J466">
        <v>1390.5201416</v>
      </c>
      <c r="K466">
        <v>0</v>
      </c>
      <c r="L466">
        <v>2050</v>
      </c>
      <c r="M466">
        <v>2050</v>
      </c>
      <c r="N466">
        <v>0</v>
      </c>
    </row>
    <row r="467" spans="1:14" x14ac:dyDescent="0.25">
      <c r="A467">
        <v>153.194535</v>
      </c>
      <c r="B467" s="1">
        <f>DATE(2010,10,1) + TIME(4,40,7)</f>
        <v>40452.194525462961</v>
      </c>
      <c r="C467">
        <v>80</v>
      </c>
      <c r="D467">
        <v>79.861785889000004</v>
      </c>
      <c r="E467">
        <v>50</v>
      </c>
      <c r="F467">
        <v>22.567184447999999</v>
      </c>
      <c r="G467">
        <v>1305.5458983999999</v>
      </c>
      <c r="H467">
        <v>1295.2066649999999</v>
      </c>
      <c r="I467">
        <v>1418.6760254000001</v>
      </c>
      <c r="J467">
        <v>1390.1826172000001</v>
      </c>
      <c r="K467">
        <v>0</v>
      </c>
      <c r="L467">
        <v>2050</v>
      </c>
      <c r="M467">
        <v>2050</v>
      </c>
      <c r="N467">
        <v>0</v>
      </c>
    </row>
    <row r="468" spans="1:14" x14ac:dyDescent="0.25">
      <c r="A468">
        <v>153.23061899999999</v>
      </c>
      <c r="B468" s="1">
        <f>DATE(2010,10,1) + TIME(5,32,5)</f>
        <v>40452.230613425927</v>
      </c>
      <c r="C468">
        <v>80</v>
      </c>
      <c r="D468">
        <v>79.851341247999997</v>
      </c>
      <c r="E468">
        <v>50</v>
      </c>
      <c r="F468">
        <v>23.522645950000001</v>
      </c>
      <c r="G468">
        <v>1305.5048827999999</v>
      </c>
      <c r="H468">
        <v>1295.1651611</v>
      </c>
      <c r="I468">
        <v>1417.722168</v>
      </c>
      <c r="J468">
        <v>1389.8424072</v>
      </c>
      <c r="K468">
        <v>0</v>
      </c>
      <c r="L468">
        <v>2050</v>
      </c>
      <c r="M468">
        <v>2050</v>
      </c>
      <c r="N468">
        <v>0</v>
      </c>
    </row>
    <row r="469" spans="1:14" x14ac:dyDescent="0.25">
      <c r="A469">
        <v>153.26789299999999</v>
      </c>
      <c r="B469" s="1">
        <f>DATE(2010,10,1) + TIME(6,25,45)</f>
        <v>40452.267881944441</v>
      </c>
      <c r="C469">
        <v>80</v>
      </c>
      <c r="D469">
        <v>79.840652465999995</v>
      </c>
      <c r="E469">
        <v>50</v>
      </c>
      <c r="F469">
        <v>24.476041794</v>
      </c>
      <c r="G469">
        <v>1305.4858397999999</v>
      </c>
      <c r="H469">
        <v>1295.1456298999999</v>
      </c>
      <c r="I469">
        <v>1416.8048096</v>
      </c>
      <c r="J469">
        <v>1389.5141602000001</v>
      </c>
      <c r="K469">
        <v>0</v>
      </c>
      <c r="L469">
        <v>2050</v>
      </c>
      <c r="M469">
        <v>2050</v>
      </c>
      <c r="N469">
        <v>0</v>
      </c>
    </row>
    <row r="470" spans="1:14" x14ac:dyDescent="0.25">
      <c r="A470">
        <v>153.306443</v>
      </c>
      <c r="B470" s="1">
        <f>DATE(2010,10,1) + TIME(7,21,16)</f>
        <v>40452.306435185186</v>
      </c>
      <c r="C470">
        <v>80</v>
      </c>
      <c r="D470">
        <v>79.829719542999996</v>
      </c>
      <c r="E470">
        <v>50</v>
      </c>
      <c r="F470">
        <v>25.427598953</v>
      </c>
      <c r="G470">
        <v>1305.4766846</v>
      </c>
      <c r="H470">
        <v>1295.1359863</v>
      </c>
      <c r="I470">
        <v>1415.9244385</v>
      </c>
      <c r="J470">
        <v>1389.1998291</v>
      </c>
      <c r="K470">
        <v>0</v>
      </c>
      <c r="L470">
        <v>2050</v>
      </c>
      <c r="M470">
        <v>2050</v>
      </c>
      <c r="N470">
        <v>0</v>
      </c>
    </row>
    <row r="471" spans="1:14" x14ac:dyDescent="0.25">
      <c r="A471">
        <v>153.34636699999999</v>
      </c>
      <c r="B471" s="1">
        <f>DATE(2010,10,1) + TIME(8,18,46)</f>
        <v>40452.346365740741</v>
      </c>
      <c r="C471">
        <v>80</v>
      </c>
      <c r="D471">
        <v>79.818504333000007</v>
      </c>
      <c r="E471">
        <v>50</v>
      </c>
      <c r="F471">
        <v>26.377311707</v>
      </c>
      <c r="G471">
        <v>1305.4720459</v>
      </c>
      <c r="H471">
        <v>1295.1308594</v>
      </c>
      <c r="I471">
        <v>1415.0787353999999</v>
      </c>
      <c r="J471">
        <v>1388.8979492000001</v>
      </c>
      <c r="K471">
        <v>0</v>
      </c>
      <c r="L471">
        <v>2050</v>
      </c>
      <c r="M471">
        <v>2050</v>
      </c>
      <c r="N471">
        <v>0</v>
      </c>
    </row>
    <row r="472" spans="1:14" x14ac:dyDescent="0.25">
      <c r="A472">
        <v>153.38777200000001</v>
      </c>
      <c r="B472" s="1">
        <f>DATE(2010,10,1) + TIME(9,18,23)</f>
        <v>40452.387766203705</v>
      </c>
      <c r="C472">
        <v>80</v>
      </c>
      <c r="D472">
        <v>79.806999207000004</v>
      </c>
      <c r="E472">
        <v>50</v>
      </c>
      <c r="F472">
        <v>27.324728012000001</v>
      </c>
      <c r="G472">
        <v>1305.4696045000001</v>
      </c>
      <c r="H472">
        <v>1295.1279297000001</v>
      </c>
      <c r="I472">
        <v>1414.2647704999999</v>
      </c>
      <c r="J472">
        <v>1388.6069336</v>
      </c>
      <c r="K472">
        <v>0</v>
      </c>
      <c r="L472">
        <v>2050</v>
      </c>
      <c r="M472">
        <v>2050</v>
      </c>
      <c r="N472">
        <v>0</v>
      </c>
    </row>
    <row r="473" spans="1:14" x14ac:dyDescent="0.25">
      <c r="A473">
        <v>153.430747</v>
      </c>
      <c r="B473" s="1">
        <f>DATE(2010,10,1) + TIME(10,20,16)</f>
        <v>40452.43074074074</v>
      </c>
      <c r="C473">
        <v>80</v>
      </c>
      <c r="D473">
        <v>79.795173645000006</v>
      </c>
      <c r="E473">
        <v>50</v>
      </c>
      <c r="F473">
        <v>28.269096375</v>
      </c>
      <c r="G473">
        <v>1305.4681396000001</v>
      </c>
      <c r="H473">
        <v>1295.1259766000001</v>
      </c>
      <c r="I473">
        <v>1413.4810791</v>
      </c>
      <c r="J473">
        <v>1388.3254394999999</v>
      </c>
      <c r="K473">
        <v>0</v>
      </c>
      <c r="L473">
        <v>2050</v>
      </c>
      <c r="M473">
        <v>2050</v>
      </c>
      <c r="N473">
        <v>0</v>
      </c>
    </row>
    <row r="474" spans="1:14" x14ac:dyDescent="0.25">
      <c r="A474">
        <v>153.47545400000001</v>
      </c>
      <c r="B474" s="1">
        <f>DATE(2010,10,1) + TIME(11,24,39)</f>
        <v>40452.475451388891</v>
      </c>
      <c r="C474">
        <v>80</v>
      </c>
      <c r="D474">
        <v>79.783004761000001</v>
      </c>
      <c r="E474">
        <v>50</v>
      </c>
      <c r="F474">
        <v>29.210868834999999</v>
      </c>
      <c r="G474">
        <v>1305.4670410000001</v>
      </c>
      <c r="H474">
        <v>1295.1243896000001</v>
      </c>
      <c r="I474">
        <v>1412.7248535000001</v>
      </c>
      <c r="J474">
        <v>1388.0524902</v>
      </c>
      <c r="K474">
        <v>0</v>
      </c>
      <c r="L474">
        <v>2050</v>
      </c>
      <c r="M474">
        <v>2050</v>
      </c>
      <c r="N474">
        <v>0</v>
      </c>
    </row>
    <row r="475" spans="1:14" x14ac:dyDescent="0.25">
      <c r="A475">
        <v>153.522042</v>
      </c>
      <c r="B475" s="1">
        <f>DATE(2010,10,1) + TIME(12,31,44)</f>
        <v>40452.522037037037</v>
      </c>
      <c r="C475">
        <v>80</v>
      </c>
      <c r="D475">
        <v>79.770462035999998</v>
      </c>
      <c r="E475">
        <v>50</v>
      </c>
      <c r="F475">
        <v>30.149909973</v>
      </c>
      <c r="G475">
        <v>1305.4660644999999</v>
      </c>
      <c r="H475">
        <v>1295.1229248</v>
      </c>
      <c r="I475">
        <v>1411.9946289</v>
      </c>
      <c r="J475">
        <v>1387.7869873</v>
      </c>
      <c r="K475">
        <v>0</v>
      </c>
      <c r="L475">
        <v>2050</v>
      </c>
      <c r="M475">
        <v>2050</v>
      </c>
      <c r="N475">
        <v>0</v>
      </c>
    </row>
    <row r="476" spans="1:14" x14ac:dyDescent="0.25">
      <c r="A476">
        <v>153.57068200000001</v>
      </c>
      <c r="B476" s="1">
        <f>DATE(2010,10,1) + TIME(13,41,46)</f>
        <v>40452.570671296293</v>
      </c>
      <c r="C476">
        <v>80</v>
      </c>
      <c r="D476">
        <v>79.757507324000002</v>
      </c>
      <c r="E476">
        <v>50</v>
      </c>
      <c r="F476">
        <v>31.086166381999998</v>
      </c>
      <c r="G476">
        <v>1305.4650879000001</v>
      </c>
      <c r="H476">
        <v>1295.1214600000001</v>
      </c>
      <c r="I476">
        <v>1411.2886963000001</v>
      </c>
      <c r="J476">
        <v>1387.5283202999999</v>
      </c>
      <c r="K476">
        <v>0</v>
      </c>
      <c r="L476">
        <v>2050</v>
      </c>
      <c r="M476">
        <v>2050</v>
      </c>
      <c r="N476">
        <v>0</v>
      </c>
    </row>
    <row r="477" spans="1:14" x14ac:dyDescent="0.25">
      <c r="A477">
        <v>153.621566</v>
      </c>
      <c r="B477" s="1">
        <f>DATE(2010,10,1) + TIME(14,55,3)</f>
        <v>40452.621562499997</v>
      </c>
      <c r="C477">
        <v>80</v>
      </c>
      <c r="D477">
        <v>79.744110106999997</v>
      </c>
      <c r="E477">
        <v>50</v>
      </c>
      <c r="F477">
        <v>32.019191741999997</v>
      </c>
      <c r="G477">
        <v>1305.4639893000001</v>
      </c>
      <c r="H477">
        <v>1295.119751</v>
      </c>
      <c r="I477">
        <v>1410.6055908000001</v>
      </c>
      <c r="J477">
        <v>1387.2757568</v>
      </c>
      <c r="K477">
        <v>0</v>
      </c>
      <c r="L477">
        <v>2050</v>
      </c>
      <c r="M477">
        <v>2050</v>
      </c>
      <c r="N477">
        <v>0</v>
      </c>
    </row>
    <row r="478" spans="1:14" x14ac:dyDescent="0.25">
      <c r="A478">
        <v>153.67490599999999</v>
      </c>
      <c r="B478" s="1">
        <f>DATE(2010,10,1) + TIME(16,11,51)</f>
        <v>40452.674895833334</v>
      </c>
      <c r="C478">
        <v>80</v>
      </c>
      <c r="D478">
        <v>79.730216979999994</v>
      </c>
      <c r="E478">
        <v>50</v>
      </c>
      <c r="F478">
        <v>32.948562621999997</v>
      </c>
      <c r="G478">
        <v>1305.4627685999999</v>
      </c>
      <c r="H478">
        <v>1295.1180420000001</v>
      </c>
      <c r="I478">
        <v>1409.9442139</v>
      </c>
      <c r="J478">
        <v>1387.0285644999999</v>
      </c>
      <c r="K478">
        <v>0</v>
      </c>
      <c r="L478">
        <v>2050</v>
      </c>
      <c r="M478">
        <v>2050</v>
      </c>
      <c r="N478">
        <v>0</v>
      </c>
    </row>
    <row r="479" spans="1:14" x14ac:dyDescent="0.25">
      <c r="A479">
        <v>153.73095699999999</v>
      </c>
      <c r="B479" s="1">
        <f>DATE(2010,10,1) + TIME(17,32,34)</f>
        <v>40452.730949074074</v>
      </c>
      <c r="C479">
        <v>80</v>
      </c>
      <c r="D479">
        <v>79.715789795000006</v>
      </c>
      <c r="E479">
        <v>50</v>
      </c>
      <c r="F479">
        <v>33.874000549000002</v>
      </c>
      <c r="G479">
        <v>1305.4614257999999</v>
      </c>
      <c r="H479">
        <v>1295.1160889</v>
      </c>
      <c r="I479">
        <v>1409.3029785000001</v>
      </c>
      <c r="J479">
        <v>1386.7862548999999</v>
      </c>
      <c r="K479">
        <v>0</v>
      </c>
      <c r="L479">
        <v>2050</v>
      </c>
      <c r="M479">
        <v>2050</v>
      </c>
      <c r="N479">
        <v>0</v>
      </c>
    </row>
    <row r="480" spans="1:14" x14ac:dyDescent="0.25">
      <c r="A480">
        <v>153.79001700000001</v>
      </c>
      <c r="B480" s="1">
        <f>DATE(2010,10,1) + TIME(18,57,37)</f>
        <v>40452.790011574078</v>
      </c>
      <c r="C480">
        <v>80</v>
      </c>
      <c r="D480">
        <v>79.700775145999998</v>
      </c>
      <c r="E480">
        <v>50</v>
      </c>
      <c r="F480">
        <v>34.795185089</v>
      </c>
      <c r="G480">
        <v>1305.4599608999999</v>
      </c>
      <c r="H480">
        <v>1295.1140137</v>
      </c>
      <c r="I480">
        <v>1408.6807861</v>
      </c>
      <c r="J480">
        <v>1386.5479736</v>
      </c>
      <c r="K480">
        <v>0</v>
      </c>
      <c r="L480">
        <v>2050</v>
      </c>
      <c r="M480">
        <v>2050</v>
      </c>
      <c r="N480">
        <v>0</v>
      </c>
    </row>
    <row r="481" spans="1:14" x14ac:dyDescent="0.25">
      <c r="A481">
        <v>153.85242700000001</v>
      </c>
      <c r="B481" s="1">
        <f>DATE(2010,10,1) + TIME(20,27,29)</f>
        <v>40452.852418981478</v>
      </c>
      <c r="C481">
        <v>80</v>
      </c>
      <c r="D481">
        <v>79.685089110999996</v>
      </c>
      <c r="E481">
        <v>50</v>
      </c>
      <c r="F481">
        <v>35.711666106999999</v>
      </c>
      <c r="G481">
        <v>1305.4582519999999</v>
      </c>
      <c r="H481">
        <v>1295.1118164</v>
      </c>
      <c r="I481">
        <v>1408.0762939000001</v>
      </c>
      <c r="J481">
        <v>1386.3131103999999</v>
      </c>
      <c r="K481">
        <v>0</v>
      </c>
      <c r="L481">
        <v>2050</v>
      </c>
      <c r="M481">
        <v>2050</v>
      </c>
      <c r="N481">
        <v>0</v>
      </c>
    </row>
    <row r="482" spans="1:14" x14ac:dyDescent="0.25">
      <c r="A482">
        <v>153.918586</v>
      </c>
      <c r="B482" s="1">
        <f>DATE(2010,10,1) + TIME(22,2,45)</f>
        <v>40452.918576388889</v>
      </c>
      <c r="C482">
        <v>80</v>
      </c>
      <c r="D482">
        <v>79.668678283999995</v>
      </c>
      <c r="E482">
        <v>50</v>
      </c>
      <c r="F482">
        <v>36.622909546000002</v>
      </c>
      <c r="G482">
        <v>1305.4564209</v>
      </c>
      <c r="H482">
        <v>1295.109375</v>
      </c>
      <c r="I482">
        <v>1407.4884033000001</v>
      </c>
      <c r="J482">
        <v>1386.0810547000001</v>
      </c>
      <c r="K482">
        <v>0</v>
      </c>
      <c r="L482">
        <v>2050</v>
      </c>
      <c r="M482">
        <v>2050</v>
      </c>
      <c r="N482">
        <v>0</v>
      </c>
    </row>
    <row r="483" spans="1:14" x14ac:dyDescent="0.25">
      <c r="A483">
        <v>153.98896999999999</v>
      </c>
      <c r="B483" s="1">
        <f>DATE(2010,10,1) + TIME(23,44,6)</f>
        <v>40452.988958333335</v>
      </c>
      <c r="C483">
        <v>80</v>
      </c>
      <c r="D483">
        <v>79.651443481000001</v>
      </c>
      <c r="E483">
        <v>50</v>
      </c>
      <c r="F483">
        <v>37.528297424000002</v>
      </c>
      <c r="G483">
        <v>1305.4544678</v>
      </c>
      <c r="H483">
        <v>1295.1066894999999</v>
      </c>
      <c r="I483">
        <v>1406.9160156</v>
      </c>
      <c r="J483">
        <v>1385.8509521000001</v>
      </c>
      <c r="K483">
        <v>0</v>
      </c>
      <c r="L483">
        <v>2050</v>
      </c>
      <c r="M483">
        <v>2050</v>
      </c>
      <c r="N483">
        <v>0</v>
      </c>
    </row>
    <row r="484" spans="1:14" x14ac:dyDescent="0.25">
      <c r="A484">
        <v>154.064143</v>
      </c>
      <c r="B484" s="1">
        <f>DATE(2010,10,2) + TIME(1,32,21)</f>
        <v>40453.064131944448</v>
      </c>
      <c r="C484">
        <v>80</v>
      </c>
      <c r="D484">
        <v>79.633277892999999</v>
      </c>
      <c r="E484">
        <v>50</v>
      </c>
      <c r="F484">
        <v>38.427097320999998</v>
      </c>
      <c r="G484">
        <v>1305.4523925999999</v>
      </c>
      <c r="H484">
        <v>1295.1038818</v>
      </c>
      <c r="I484">
        <v>1406.3576660000001</v>
      </c>
      <c r="J484">
        <v>1385.6220702999999</v>
      </c>
      <c r="K484">
        <v>0</v>
      </c>
      <c r="L484">
        <v>2050</v>
      </c>
      <c r="M484">
        <v>2050</v>
      </c>
      <c r="N484">
        <v>0</v>
      </c>
    </row>
    <row r="485" spans="1:14" x14ac:dyDescent="0.25">
      <c r="A485">
        <v>154.144791</v>
      </c>
      <c r="B485" s="1">
        <f>DATE(2010,10,2) + TIME(3,28,29)</f>
        <v>40453.144780092596</v>
      </c>
      <c r="C485">
        <v>80</v>
      </c>
      <c r="D485">
        <v>79.614059448000006</v>
      </c>
      <c r="E485">
        <v>50</v>
      </c>
      <c r="F485">
        <v>39.318450927999997</v>
      </c>
      <c r="G485">
        <v>1305.4499512</v>
      </c>
      <c r="H485">
        <v>1295.1008300999999</v>
      </c>
      <c r="I485">
        <v>1405.8123779</v>
      </c>
      <c r="J485">
        <v>1385.3935547000001</v>
      </c>
      <c r="K485">
        <v>0</v>
      </c>
      <c r="L485">
        <v>2050</v>
      </c>
      <c r="M485">
        <v>2050</v>
      </c>
      <c r="N485">
        <v>0</v>
      </c>
    </row>
    <row r="486" spans="1:14" x14ac:dyDescent="0.25">
      <c r="A486">
        <v>154.23175000000001</v>
      </c>
      <c r="B486" s="1">
        <f>DATE(2010,10,2) + TIME(5,33,43)</f>
        <v>40453.231747685182</v>
      </c>
      <c r="C486">
        <v>80</v>
      </c>
      <c r="D486">
        <v>79.593643188000001</v>
      </c>
      <c r="E486">
        <v>50</v>
      </c>
      <c r="F486">
        <v>40.201393127000003</v>
      </c>
      <c r="G486">
        <v>1305.4475098</v>
      </c>
      <c r="H486">
        <v>1295.0974120999999</v>
      </c>
      <c r="I486">
        <v>1405.2788086</v>
      </c>
      <c r="J486">
        <v>1385.1645507999999</v>
      </c>
      <c r="K486">
        <v>0</v>
      </c>
      <c r="L486">
        <v>2050</v>
      </c>
      <c r="M486">
        <v>2050</v>
      </c>
      <c r="N486">
        <v>0</v>
      </c>
    </row>
    <row r="487" spans="1:14" x14ac:dyDescent="0.25">
      <c r="A487">
        <v>154.32605699999999</v>
      </c>
      <c r="B487" s="1">
        <f>DATE(2010,10,2) + TIME(7,49,31)</f>
        <v>40453.326053240744</v>
      </c>
      <c r="C487">
        <v>80</v>
      </c>
      <c r="D487">
        <v>79.571823120000005</v>
      </c>
      <c r="E487">
        <v>50</v>
      </c>
      <c r="F487">
        <v>41.074825287000003</v>
      </c>
      <c r="G487">
        <v>1305.4447021000001</v>
      </c>
      <c r="H487">
        <v>1295.0938721</v>
      </c>
      <c r="I487">
        <v>1404.7558594</v>
      </c>
      <c r="J487">
        <v>1384.9339600000001</v>
      </c>
      <c r="K487">
        <v>0</v>
      </c>
      <c r="L487">
        <v>2050</v>
      </c>
      <c r="M487">
        <v>2050</v>
      </c>
      <c r="N487">
        <v>0</v>
      </c>
    </row>
    <row r="488" spans="1:14" x14ac:dyDescent="0.25">
      <c r="A488">
        <v>154.42901599999999</v>
      </c>
      <c r="B488" s="1">
        <f>DATE(2010,10,2) + TIME(10,17,46)</f>
        <v>40453.42900462963</v>
      </c>
      <c r="C488">
        <v>80</v>
      </c>
      <c r="D488">
        <v>79.548393250000004</v>
      </c>
      <c r="E488">
        <v>50</v>
      </c>
      <c r="F488">
        <v>41.937137604</v>
      </c>
      <c r="G488">
        <v>1305.4416504000001</v>
      </c>
      <c r="H488">
        <v>1295.0899658000001</v>
      </c>
      <c r="I488">
        <v>1404.2418213000001</v>
      </c>
      <c r="J488">
        <v>1384.7005615</v>
      </c>
      <c r="K488">
        <v>0</v>
      </c>
      <c r="L488">
        <v>2050</v>
      </c>
      <c r="M488">
        <v>2050</v>
      </c>
      <c r="N488">
        <v>0</v>
      </c>
    </row>
    <row r="489" spans="1:14" x14ac:dyDescent="0.25">
      <c r="A489">
        <v>154.542269</v>
      </c>
      <c r="B489" s="1">
        <f>DATE(2010,10,2) + TIME(13,0,52)</f>
        <v>40453.542268518519</v>
      </c>
      <c r="C489">
        <v>80</v>
      </c>
      <c r="D489">
        <v>79.523048400999997</v>
      </c>
      <c r="E489">
        <v>50</v>
      </c>
      <c r="F489">
        <v>42.786365508999999</v>
      </c>
      <c r="G489">
        <v>1305.4382324000001</v>
      </c>
      <c r="H489">
        <v>1295.0856934000001</v>
      </c>
      <c r="I489">
        <v>1403.7357178</v>
      </c>
      <c r="J489">
        <v>1384.4630127</v>
      </c>
      <c r="K489">
        <v>0</v>
      </c>
      <c r="L489">
        <v>2050</v>
      </c>
      <c r="M489">
        <v>2050</v>
      </c>
      <c r="N489">
        <v>0</v>
      </c>
    </row>
    <row r="490" spans="1:14" x14ac:dyDescent="0.25">
      <c r="A490">
        <v>154.66801799999999</v>
      </c>
      <c r="B490" s="1">
        <f>DATE(2010,10,2) + TIME(16,1,56)</f>
        <v>40453.668009259258</v>
      </c>
      <c r="C490">
        <v>80</v>
      </c>
      <c r="D490">
        <v>79.495422363000003</v>
      </c>
      <c r="E490">
        <v>50</v>
      </c>
      <c r="F490">
        <v>43.620513916</v>
      </c>
      <c r="G490">
        <v>1305.4345702999999</v>
      </c>
      <c r="H490">
        <v>1295.0810547000001</v>
      </c>
      <c r="I490">
        <v>1403.2357178</v>
      </c>
      <c r="J490">
        <v>1384.2197266000001</v>
      </c>
      <c r="K490">
        <v>0</v>
      </c>
      <c r="L490">
        <v>2050</v>
      </c>
      <c r="M490">
        <v>2050</v>
      </c>
      <c r="N490">
        <v>0</v>
      </c>
    </row>
    <row r="491" spans="1:14" x14ac:dyDescent="0.25">
      <c r="A491">
        <v>154.80214899999999</v>
      </c>
      <c r="B491" s="1">
        <f>DATE(2010,10,2) + TIME(19,15,5)</f>
        <v>40453.802141203705</v>
      </c>
      <c r="C491">
        <v>80</v>
      </c>
      <c r="D491">
        <v>79.466362000000004</v>
      </c>
      <c r="E491">
        <v>50</v>
      </c>
      <c r="F491">
        <v>44.401275634999998</v>
      </c>
      <c r="G491">
        <v>1305.4304199000001</v>
      </c>
      <c r="H491">
        <v>1295.0758057</v>
      </c>
      <c r="I491">
        <v>1402.7583007999999</v>
      </c>
      <c r="J491">
        <v>1383.9753418</v>
      </c>
      <c r="K491">
        <v>0</v>
      </c>
      <c r="L491">
        <v>2050</v>
      </c>
      <c r="M491">
        <v>2050</v>
      </c>
      <c r="N491">
        <v>0</v>
      </c>
    </row>
    <row r="492" spans="1:14" x14ac:dyDescent="0.25">
      <c r="A492">
        <v>154.93688399999999</v>
      </c>
      <c r="B492" s="1">
        <f>DATE(2010,10,2) + TIME(22,29,6)</f>
        <v>40453.936874999999</v>
      </c>
      <c r="C492">
        <v>80</v>
      </c>
      <c r="D492">
        <v>79.437339782999999</v>
      </c>
      <c r="E492">
        <v>50</v>
      </c>
      <c r="F492">
        <v>45.088829040999997</v>
      </c>
      <c r="G492">
        <v>1305.4257812000001</v>
      </c>
      <c r="H492">
        <v>1295.0703125</v>
      </c>
      <c r="I492">
        <v>1402.3238524999999</v>
      </c>
      <c r="J492">
        <v>1383.7398682</v>
      </c>
      <c r="K492">
        <v>0</v>
      </c>
      <c r="L492">
        <v>2050</v>
      </c>
      <c r="M492">
        <v>2050</v>
      </c>
      <c r="N492">
        <v>0</v>
      </c>
    </row>
    <row r="493" spans="1:14" x14ac:dyDescent="0.25">
      <c r="A493">
        <v>155.07334700000001</v>
      </c>
      <c r="B493" s="1">
        <f>DATE(2010,10,3) + TIME(1,45,37)</f>
        <v>40454.073344907411</v>
      </c>
      <c r="C493">
        <v>80</v>
      </c>
      <c r="D493">
        <v>79.408157349000007</v>
      </c>
      <c r="E493">
        <v>50</v>
      </c>
      <c r="F493">
        <v>45.698074341000002</v>
      </c>
      <c r="G493">
        <v>1305.4211425999999</v>
      </c>
      <c r="H493">
        <v>1295.0648193</v>
      </c>
      <c r="I493">
        <v>1401.9279785000001</v>
      </c>
      <c r="J493">
        <v>1383.5170897999999</v>
      </c>
      <c r="K493">
        <v>0</v>
      </c>
      <c r="L493">
        <v>2050</v>
      </c>
      <c r="M493">
        <v>2050</v>
      </c>
      <c r="N493">
        <v>0</v>
      </c>
    </row>
    <row r="494" spans="1:14" x14ac:dyDescent="0.25">
      <c r="A494">
        <v>155.212176</v>
      </c>
      <c r="B494" s="1">
        <f>DATE(2010,10,3) + TIME(5,5,31)</f>
        <v>40454.212164351855</v>
      </c>
      <c r="C494">
        <v>80</v>
      </c>
      <c r="D494">
        <v>79.378677367999998</v>
      </c>
      <c r="E494">
        <v>50</v>
      </c>
      <c r="F494">
        <v>46.238941193000002</v>
      </c>
      <c r="G494">
        <v>1305.4165039</v>
      </c>
      <c r="H494">
        <v>1295.0592041</v>
      </c>
      <c r="I494">
        <v>1401.5640868999999</v>
      </c>
      <c r="J494">
        <v>1383.3043213000001</v>
      </c>
      <c r="K494">
        <v>0</v>
      </c>
      <c r="L494">
        <v>2050</v>
      </c>
      <c r="M494">
        <v>2050</v>
      </c>
      <c r="N494">
        <v>0</v>
      </c>
    </row>
    <row r="495" spans="1:14" x14ac:dyDescent="0.25">
      <c r="A495">
        <v>155.35399799999999</v>
      </c>
      <c r="B495" s="1">
        <f>DATE(2010,10,3) + TIME(8,29,45)</f>
        <v>40454.353993055556</v>
      </c>
      <c r="C495">
        <v>80</v>
      </c>
      <c r="D495">
        <v>79.348793029999996</v>
      </c>
      <c r="E495">
        <v>50</v>
      </c>
      <c r="F495">
        <v>46.719596863</v>
      </c>
      <c r="G495">
        <v>1305.4116211</v>
      </c>
      <c r="H495">
        <v>1295.0534668</v>
      </c>
      <c r="I495">
        <v>1401.2270507999999</v>
      </c>
      <c r="J495">
        <v>1383.0997314000001</v>
      </c>
      <c r="K495">
        <v>0</v>
      </c>
      <c r="L495">
        <v>2050</v>
      </c>
      <c r="M495">
        <v>2050</v>
      </c>
      <c r="N495">
        <v>0</v>
      </c>
    </row>
    <row r="496" spans="1:14" x14ac:dyDescent="0.25">
      <c r="A496">
        <v>155.49945199999999</v>
      </c>
      <c r="B496" s="1">
        <f>DATE(2010,10,3) + TIME(11,59,12)</f>
        <v>40454.499444444446</v>
      </c>
      <c r="C496">
        <v>80</v>
      </c>
      <c r="D496">
        <v>79.318382263000004</v>
      </c>
      <c r="E496">
        <v>50</v>
      </c>
      <c r="F496">
        <v>47.146892547999997</v>
      </c>
      <c r="G496">
        <v>1305.4067382999999</v>
      </c>
      <c r="H496">
        <v>1295.0476074000001</v>
      </c>
      <c r="I496">
        <v>1400.9129639</v>
      </c>
      <c r="J496">
        <v>1382.9019774999999</v>
      </c>
      <c r="K496">
        <v>0</v>
      </c>
      <c r="L496">
        <v>2050</v>
      </c>
      <c r="M496">
        <v>2050</v>
      </c>
      <c r="N496">
        <v>0</v>
      </c>
    </row>
    <row r="497" spans="1:14" x14ac:dyDescent="0.25">
      <c r="A497">
        <v>155.64918800000001</v>
      </c>
      <c r="B497" s="1">
        <f>DATE(2010,10,3) + TIME(15,34,49)</f>
        <v>40454.649178240739</v>
      </c>
      <c r="C497">
        <v>80</v>
      </c>
      <c r="D497">
        <v>79.287322997999993</v>
      </c>
      <c r="E497">
        <v>50</v>
      </c>
      <c r="F497">
        <v>47.526569365999997</v>
      </c>
      <c r="G497">
        <v>1305.4016113</v>
      </c>
      <c r="H497">
        <v>1295.041626</v>
      </c>
      <c r="I497">
        <v>1400.6182861</v>
      </c>
      <c r="J497">
        <v>1382.7095947</v>
      </c>
      <c r="K497">
        <v>0</v>
      </c>
      <c r="L497">
        <v>2050</v>
      </c>
      <c r="M497">
        <v>2050</v>
      </c>
      <c r="N497">
        <v>0</v>
      </c>
    </row>
    <row r="498" spans="1:14" x14ac:dyDescent="0.25">
      <c r="A498">
        <v>155.80393000000001</v>
      </c>
      <c r="B498" s="1">
        <f>DATE(2010,10,3) + TIME(19,17,39)</f>
        <v>40454.803923611114</v>
      </c>
      <c r="C498">
        <v>80</v>
      </c>
      <c r="D498">
        <v>79.255493164000001</v>
      </c>
      <c r="E498">
        <v>50</v>
      </c>
      <c r="F498">
        <v>47.863636016999997</v>
      </c>
      <c r="G498">
        <v>1305.3963623</v>
      </c>
      <c r="H498">
        <v>1295.0354004000001</v>
      </c>
      <c r="I498">
        <v>1400.3400879000001</v>
      </c>
      <c r="J498">
        <v>1382.5216064000001</v>
      </c>
      <c r="K498">
        <v>0</v>
      </c>
      <c r="L498">
        <v>2050</v>
      </c>
      <c r="M498">
        <v>2050</v>
      </c>
      <c r="N498">
        <v>0</v>
      </c>
    </row>
    <row r="499" spans="1:14" x14ac:dyDescent="0.25">
      <c r="A499">
        <v>155.96447699999999</v>
      </c>
      <c r="B499" s="1">
        <f>DATE(2010,10,3) + TIME(23,8,50)</f>
        <v>40454.964467592596</v>
      </c>
      <c r="C499">
        <v>80</v>
      </c>
      <c r="D499">
        <v>79.222747803000004</v>
      </c>
      <c r="E499">
        <v>50</v>
      </c>
      <c r="F499">
        <v>48.162418365000001</v>
      </c>
      <c r="G499">
        <v>1305.3909911999999</v>
      </c>
      <c r="H499">
        <v>1295.0289307</v>
      </c>
      <c r="I499">
        <v>1400.0760498</v>
      </c>
      <c r="J499">
        <v>1382.3369141000001</v>
      </c>
      <c r="K499">
        <v>0</v>
      </c>
      <c r="L499">
        <v>2050</v>
      </c>
      <c r="M499">
        <v>2050</v>
      </c>
      <c r="N499">
        <v>0</v>
      </c>
    </row>
    <row r="500" spans="1:14" x14ac:dyDescent="0.25">
      <c r="A500">
        <v>156.13163900000001</v>
      </c>
      <c r="B500" s="1">
        <f>DATE(2010,10,4) + TIME(3,9,33)</f>
        <v>40455.131631944445</v>
      </c>
      <c r="C500">
        <v>80</v>
      </c>
      <c r="D500">
        <v>79.188957213999998</v>
      </c>
      <c r="E500">
        <v>50</v>
      </c>
      <c r="F500">
        <v>48.426589966000002</v>
      </c>
      <c r="G500">
        <v>1305.3852539</v>
      </c>
      <c r="H500">
        <v>1295.0222168</v>
      </c>
      <c r="I500">
        <v>1399.8239745999999</v>
      </c>
      <c r="J500">
        <v>1382.1549072</v>
      </c>
      <c r="K500">
        <v>0</v>
      </c>
      <c r="L500">
        <v>2050</v>
      </c>
      <c r="M500">
        <v>2050</v>
      </c>
      <c r="N500">
        <v>0</v>
      </c>
    </row>
    <row r="501" spans="1:14" x14ac:dyDescent="0.25">
      <c r="A501">
        <v>156.30600000000001</v>
      </c>
      <c r="B501" s="1">
        <f>DATE(2010,10,4) + TIME(7,20,38)</f>
        <v>40455.305995370371</v>
      </c>
      <c r="C501">
        <v>80</v>
      </c>
      <c r="D501">
        <v>79.154014587000006</v>
      </c>
      <c r="E501">
        <v>50</v>
      </c>
      <c r="F501">
        <v>48.659057617000002</v>
      </c>
      <c r="G501">
        <v>1305.3793945</v>
      </c>
      <c r="H501">
        <v>1295.0152588000001</v>
      </c>
      <c r="I501">
        <v>1399.5821533000001</v>
      </c>
      <c r="J501">
        <v>1381.9744873</v>
      </c>
      <c r="K501">
        <v>0</v>
      </c>
      <c r="L501">
        <v>2050</v>
      </c>
      <c r="M501">
        <v>2050</v>
      </c>
      <c r="N501">
        <v>0</v>
      </c>
    </row>
    <row r="502" spans="1:14" x14ac:dyDescent="0.25">
      <c r="A502">
        <v>156.48860199999999</v>
      </c>
      <c r="B502" s="1">
        <f>DATE(2010,10,4) + TIME(11,43,35)</f>
        <v>40455.488599537035</v>
      </c>
      <c r="C502">
        <v>80</v>
      </c>
      <c r="D502">
        <v>79.117759704999997</v>
      </c>
      <c r="E502">
        <v>50</v>
      </c>
      <c r="F502">
        <v>48.862934113000001</v>
      </c>
      <c r="G502">
        <v>1305.3731689000001</v>
      </c>
      <c r="H502">
        <v>1295.0079346</v>
      </c>
      <c r="I502">
        <v>1399.3491211</v>
      </c>
      <c r="J502">
        <v>1381.7955322</v>
      </c>
      <c r="K502">
        <v>0</v>
      </c>
      <c r="L502">
        <v>2050</v>
      </c>
      <c r="M502">
        <v>2050</v>
      </c>
      <c r="N502">
        <v>0</v>
      </c>
    </row>
    <row r="503" spans="1:14" x14ac:dyDescent="0.25">
      <c r="A503">
        <v>156.68052900000001</v>
      </c>
      <c r="B503" s="1">
        <f>DATE(2010,10,4) + TIME(16,19,57)</f>
        <v>40455.680520833332</v>
      </c>
      <c r="C503">
        <v>80</v>
      </c>
      <c r="D503">
        <v>79.080001831000004</v>
      </c>
      <c r="E503">
        <v>50</v>
      </c>
      <c r="F503">
        <v>49.040924072000003</v>
      </c>
      <c r="G503">
        <v>1305.3665771000001</v>
      </c>
      <c r="H503">
        <v>1295.0002440999999</v>
      </c>
      <c r="I503">
        <v>1399.1234131000001</v>
      </c>
      <c r="J503">
        <v>1381.6171875</v>
      </c>
      <c r="K503">
        <v>0</v>
      </c>
      <c r="L503">
        <v>2050</v>
      </c>
      <c r="M503">
        <v>2050</v>
      </c>
      <c r="N503">
        <v>0</v>
      </c>
    </row>
    <row r="504" spans="1:14" x14ac:dyDescent="0.25">
      <c r="A504">
        <v>156.88314099999999</v>
      </c>
      <c r="B504" s="1">
        <f>DATE(2010,10,4) + TIME(21,11,43)</f>
        <v>40455.883136574077</v>
      </c>
      <c r="C504">
        <v>80</v>
      </c>
      <c r="D504">
        <v>79.040542603000006</v>
      </c>
      <c r="E504">
        <v>50</v>
      </c>
      <c r="F504">
        <v>49.195552825999997</v>
      </c>
      <c r="G504">
        <v>1305.3597411999999</v>
      </c>
      <c r="H504">
        <v>1294.9921875</v>
      </c>
      <c r="I504">
        <v>1398.9035644999999</v>
      </c>
      <c r="J504">
        <v>1381.4385986</v>
      </c>
      <c r="K504">
        <v>0</v>
      </c>
      <c r="L504">
        <v>2050</v>
      </c>
      <c r="M504">
        <v>2050</v>
      </c>
      <c r="N504">
        <v>0</v>
      </c>
    </row>
    <row r="505" spans="1:14" x14ac:dyDescent="0.25">
      <c r="A505">
        <v>157.09792100000001</v>
      </c>
      <c r="B505" s="1">
        <f>DATE(2010,10,5) + TIME(2,21,0)</f>
        <v>40456.097916666666</v>
      </c>
      <c r="C505">
        <v>80</v>
      </c>
      <c r="D505">
        <v>78.999130249000004</v>
      </c>
      <c r="E505">
        <v>50</v>
      </c>
      <c r="F505">
        <v>49.329059600999997</v>
      </c>
      <c r="G505">
        <v>1305.3524170000001</v>
      </c>
      <c r="H505">
        <v>1294.9836425999999</v>
      </c>
      <c r="I505">
        <v>1398.6881103999999</v>
      </c>
      <c r="J505">
        <v>1381.2592772999999</v>
      </c>
      <c r="K505">
        <v>0</v>
      </c>
      <c r="L505">
        <v>2050</v>
      </c>
      <c r="M505">
        <v>2050</v>
      </c>
      <c r="N505">
        <v>0</v>
      </c>
    </row>
    <row r="506" spans="1:14" x14ac:dyDescent="0.25">
      <c r="A506">
        <v>157.32653999999999</v>
      </c>
      <c r="B506" s="1">
        <f>DATE(2010,10,5) + TIME(7,50,13)</f>
        <v>40456.326539351852</v>
      </c>
      <c r="C506">
        <v>80</v>
      </c>
      <c r="D506">
        <v>78.955520629999995</v>
      </c>
      <c r="E506">
        <v>50</v>
      </c>
      <c r="F506">
        <v>49.443477631</v>
      </c>
      <c r="G506">
        <v>1305.3446045000001</v>
      </c>
      <c r="H506">
        <v>1294.9746094</v>
      </c>
      <c r="I506">
        <v>1398.4759521000001</v>
      </c>
      <c r="J506">
        <v>1381.0784911999999</v>
      </c>
      <c r="K506">
        <v>0</v>
      </c>
      <c r="L506">
        <v>2050</v>
      </c>
      <c r="M506">
        <v>2050</v>
      </c>
      <c r="N506">
        <v>0</v>
      </c>
    </row>
    <row r="507" spans="1:14" x14ac:dyDescent="0.25">
      <c r="A507">
        <v>157.570921</v>
      </c>
      <c r="B507" s="1">
        <f>DATE(2010,10,5) + TIME(13,42,7)</f>
        <v>40456.570914351854</v>
      </c>
      <c r="C507">
        <v>80</v>
      </c>
      <c r="D507">
        <v>78.909408568999993</v>
      </c>
      <c r="E507">
        <v>50</v>
      </c>
      <c r="F507">
        <v>49.54070282</v>
      </c>
      <c r="G507">
        <v>1305.3363036999999</v>
      </c>
      <c r="H507">
        <v>1294.9649658000001</v>
      </c>
      <c r="I507">
        <v>1398.2657471</v>
      </c>
      <c r="J507">
        <v>1380.8953856999999</v>
      </c>
      <c r="K507">
        <v>0</v>
      </c>
      <c r="L507">
        <v>2050</v>
      </c>
      <c r="M507">
        <v>2050</v>
      </c>
      <c r="N507">
        <v>0</v>
      </c>
    </row>
    <row r="508" spans="1:14" x14ac:dyDescent="0.25">
      <c r="A508">
        <v>157.83100300000001</v>
      </c>
      <c r="B508" s="1">
        <f>DATE(2010,10,5) + TIME(19,56,38)</f>
        <v>40456.830995370372</v>
      </c>
      <c r="C508">
        <v>80</v>
      </c>
      <c r="D508">
        <v>78.860816955999994</v>
      </c>
      <c r="E508">
        <v>50</v>
      </c>
      <c r="F508">
        <v>49.621940613</v>
      </c>
      <c r="G508">
        <v>1305.3273925999999</v>
      </c>
      <c r="H508">
        <v>1294.9545897999999</v>
      </c>
      <c r="I508">
        <v>1398.0566406</v>
      </c>
      <c r="J508">
        <v>1380.7097168</v>
      </c>
      <c r="K508">
        <v>0</v>
      </c>
      <c r="L508">
        <v>2050</v>
      </c>
      <c r="M508">
        <v>2050</v>
      </c>
      <c r="N508">
        <v>0</v>
      </c>
    </row>
    <row r="509" spans="1:14" x14ac:dyDescent="0.25">
      <c r="A509">
        <v>158.10818599999999</v>
      </c>
      <c r="B509" s="1">
        <f>DATE(2010,10,6) + TIME(2,35,47)</f>
        <v>40457.108182870368</v>
      </c>
      <c r="C509">
        <v>80</v>
      </c>
      <c r="D509">
        <v>78.809524535999998</v>
      </c>
      <c r="E509">
        <v>50</v>
      </c>
      <c r="F509">
        <v>49.689029693999998</v>
      </c>
      <c r="G509">
        <v>1305.317749</v>
      </c>
      <c r="H509">
        <v>1294.9436035000001</v>
      </c>
      <c r="I509">
        <v>1397.8488769999999</v>
      </c>
      <c r="J509">
        <v>1380.5219727000001</v>
      </c>
      <c r="K509">
        <v>0</v>
      </c>
      <c r="L509">
        <v>2050</v>
      </c>
      <c r="M509">
        <v>2050</v>
      </c>
      <c r="N509">
        <v>0</v>
      </c>
    </row>
    <row r="510" spans="1:14" x14ac:dyDescent="0.25">
      <c r="A510">
        <v>158.393754</v>
      </c>
      <c r="B510" s="1">
        <f>DATE(2010,10,6) + TIME(9,27,0)</f>
        <v>40457.393750000003</v>
      </c>
      <c r="C510">
        <v>80</v>
      </c>
      <c r="D510">
        <v>78.756774902000004</v>
      </c>
      <c r="E510">
        <v>50</v>
      </c>
      <c r="F510">
        <v>49.742298126000001</v>
      </c>
      <c r="G510">
        <v>1305.3074951000001</v>
      </c>
      <c r="H510">
        <v>1294.9317627</v>
      </c>
      <c r="I510">
        <v>1397.6427002</v>
      </c>
      <c r="J510">
        <v>1380.3323975000001</v>
      </c>
      <c r="K510">
        <v>0</v>
      </c>
      <c r="L510">
        <v>2050</v>
      </c>
      <c r="M510">
        <v>2050</v>
      </c>
      <c r="N510">
        <v>0</v>
      </c>
    </row>
    <row r="511" spans="1:14" x14ac:dyDescent="0.25">
      <c r="A511">
        <v>158.68205900000001</v>
      </c>
      <c r="B511" s="1">
        <f>DATE(2010,10,6) + TIME(16,22,9)</f>
        <v>40457.68204861111</v>
      </c>
      <c r="C511">
        <v>80</v>
      </c>
      <c r="D511">
        <v>78.703437804999993</v>
      </c>
      <c r="E511">
        <v>50</v>
      </c>
      <c r="F511">
        <v>49.783706664999997</v>
      </c>
      <c r="G511">
        <v>1305.296875</v>
      </c>
      <c r="H511">
        <v>1294.9196777</v>
      </c>
      <c r="I511">
        <v>1397.4436035000001</v>
      </c>
      <c r="J511">
        <v>1380.1470947</v>
      </c>
      <c r="K511">
        <v>0</v>
      </c>
      <c r="L511">
        <v>2050</v>
      </c>
      <c r="M511">
        <v>2050</v>
      </c>
      <c r="N511">
        <v>0</v>
      </c>
    </row>
    <row r="512" spans="1:14" x14ac:dyDescent="0.25">
      <c r="A512">
        <v>158.97356400000001</v>
      </c>
      <c r="B512" s="1">
        <f>DATE(2010,10,6) + TIME(23,21,55)</f>
        <v>40457.973553240743</v>
      </c>
      <c r="C512">
        <v>80</v>
      </c>
      <c r="D512">
        <v>78.649528502999999</v>
      </c>
      <c r="E512">
        <v>50</v>
      </c>
      <c r="F512">
        <v>49.815917968999997</v>
      </c>
      <c r="G512">
        <v>1305.2860106999999</v>
      </c>
      <c r="H512">
        <v>1294.9073486</v>
      </c>
      <c r="I512">
        <v>1397.2541504000001</v>
      </c>
      <c r="J512">
        <v>1379.9693603999999</v>
      </c>
      <c r="K512">
        <v>0</v>
      </c>
      <c r="L512">
        <v>2050</v>
      </c>
      <c r="M512">
        <v>2050</v>
      </c>
      <c r="N512">
        <v>0</v>
      </c>
    </row>
    <row r="513" spans="1:14" x14ac:dyDescent="0.25">
      <c r="A513">
        <v>159.26973699999999</v>
      </c>
      <c r="B513" s="1">
        <f>DATE(2010,10,7) + TIME(6,28,25)</f>
        <v>40458.269733796296</v>
      </c>
      <c r="C513">
        <v>80</v>
      </c>
      <c r="D513">
        <v>78.594924926999994</v>
      </c>
      <c r="E513">
        <v>50</v>
      </c>
      <c r="F513">
        <v>49.841056823999999</v>
      </c>
      <c r="G513">
        <v>1305.2751464999999</v>
      </c>
      <c r="H513">
        <v>1294.8948975000001</v>
      </c>
      <c r="I513">
        <v>1397.0729980000001</v>
      </c>
      <c r="J513">
        <v>1379.7980957</v>
      </c>
      <c r="K513">
        <v>0</v>
      </c>
      <c r="L513">
        <v>2050</v>
      </c>
      <c r="M513">
        <v>2050</v>
      </c>
      <c r="N513">
        <v>0</v>
      </c>
    </row>
    <row r="514" spans="1:14" x14ac:dyDescent="0.25">
      <c r="A514">
        <v>159.57191599999999</v>
      </c>
      <c r="B514" s="1">
        <f>DATE(2010,10,7) + TIME(13,43,33)</f>
        <v>40458.571909722225</v>
      </c>
      <c r="C514">
        <v>80</v>
      </c>
      <c r="D514">
        <v>78.539474487000007</v>
      </c>
      <c r="E514">
        <v>50</v>
      </c>
      <c r="F514">
        <v>49.860713959000002</v>
      </c>
      <c r="G514">
        <v>1305.2640381000001</v>
      </c>
      <c r="H514">
        <v>1294.8822021000001</v>
      </c>
      <c r="I514">
        <v>1396.8985596</v>
      </c>
      <c r="J514">
        <v>1379.6322021000001</v>
      </c>
      <c r="K514">
        <v>0</v>
      </c>
      <c r="L514">
        <v>2050</v>
      </c>
      <c r="M514">
        <v>2050</v>
      </c>
      <c r="N514">
        <v>0</v>
      </c>
    </row>
    <row r="515" spans="1:14" x14ac:dyDescent="0.25">
      <c r="A515">
        <v>159.881248</v>
      </c>
      <c r="B515" s="1">
        <f>DATE(2010,10,7) + TIME(21,8,59)</f>
        <v>40458.881238425929</v>
      </c>
      <c r="C515">
        <v>80</v>
      </c>
      <c r="D515">
        <v>78.483047485</v>
      </c>
      <c r="E515">
        <v>50</v>
      </c>
      <c r="F515">
        <v>49.876094817999999</v>
      </c>
      <c r="G515">
        <v>1305.2526855000001</v>
      </c>
      <c r="H515">
        <v>1294.8692627</v>
      </c>
      <c r="I515">
        <v>1396.7293701000001</v>
      </c>
      <c r="J515">
        <v>1379.4707031</v>
      </c>
      <c r="K515">
        <v>0</v>
      </c>
      <c r="L515">
        <v>2050</v>
      </c>
      <c r="M515">
        <v>2050</v>
      </c>
      <c r="N515">
        <v>0</v>
      </c>
    </row>
    <row r="516" spans="1:14" x14ac:dyDescent="0.25">
      <c r="A516">
        <v>160.19919300000001</v>
      </c>
      <c r="B516" s="1">
        <f>DATE(2010,10,8) + TIME(4,46,50)</f>
        <v>40459.199189814812</v>
      </c>
      <c r="C516">
        <v>80</v>
      </c>
      <c r="D516">
        <v>78.425460814999994</v>
      </c>
      <c r="E516">
        <v>50</v>
      </c>
      <c r="F516">
        <v>49.888141632</v>
      </c>
      <c r="G516">
        <v>1305.2410889</v>
      </c>
      <c r="H516">
        <v>1294.8560791</v>
      </c>
      <c r="I516">
        <v>1396.5645752</v>
      </c>
      <c r="J516">
        <v>1379.3126221</v>
      </c>
      <c r="K516">
        <v>0</v>
      </c>
      <c r="L516">
        <v>2050</v>
      </c>
      <c r="M516">
        <v>2050</v>
      </c>
      <c r="N516">
        <v>0</v>
      </c>
    </row>
    <row r="517" spans="1:14" x14ac:dyDescent="0.25">
      <c r="A517">
        <v>160.52701300000001</v>
      </c>
      <c r="B517" s="1">
        <f>DATE(2010,10,8) + TIME(12,38,53)</f>
        <v>40459.527002314811</v>
      </c>
      <c r="C517">
        <v>80</v>
      </c>
      <c r="D517">
        <v>78.366546631000006</v>
      </c>
      <c r="E517">
        <v>50</v>
      </c>
      <c r="F517">
        <v>49.897583007999998</v>
      </c>
      <c r="G517">
        <v>1305.229126</v>
      </c>
      <c r="H517">
        <v>1294.8424072</v>
      </c>
      <c r="I517">
        <v>1396.4031981999999</v>
      </c>
      <c r="J517">
        <v>1379.1574707</v>
      </c>
      <c r="K517">
        <v>0</v>
      </c>
      <c r="L517">
        <v>2050</v>
      </c>
      <c r="M517">
        <v>2050</v>
      </c>
      <c r="N517">
        <v>0</v>
      </c>
    </row>
    <row r="518" spans="1:14" x14ac:dyDescent="0.25">
      <c r="A518">
        <v>160.86612700000001</v>
      </c>
      <c r="B518" s="1">
        <f>DATE(2010,10,8) + TIME(20,47,13)</f>
        <v>40459.866122685184</v>
      </c>
      <c r="C518">
        <v>80</v>
      </c>
      <c r="D518">
        <v>78.306121825999995</v>
      </c>
      <c r="E518">
        <v>50</v>
      </c>
      <c r="F518">
        <v>49.904975890999999</v>
      </c>
      <c r="G518">
        <v>1305.2166748</v>
      </c>
      <c r="H518">
        <v>1294.8282471</v>
      </c>
      <c r="I518">
        <v>1396.2442627</v>
      </c>
      <c r="J518">
        <v>1379.0043945</v>
      </c>
      <c r="K518">
        <v>0</v>
      </c>
      <c r="L518">
        <v>2050</v>
      </c>
      <c r="M518">
        <v>2050</v>
      </c>
      <c r="N518">
        <v>0</v>
      </c>
    </row>
    <row r="519" spans="1:14" x14ac:dyDescent="0.25">
      <c r="A519">
        <v>161.21795900000001</v>
      </c>
      <c r="B519" s="1">
        <f>DATE(2010,10,9) + TIME(5,13,51)</f>
        <v>40460.217951388891</v>
      </c>
      <c r="C519">
        <v>80</v>
      </c>
      <c r="D519">
        <v>78.243988036999994</v>
      </c>
      <c r="E519">
        <v>50</v>
      </c>
      <c r="F519">
        <v>49.910774230999998</v>
      </c>
      <c r="G519">
        <v>1305.2039795000001</v>
      </c>
      <c r="H519">
        <v>1294.8135986</v>
      </c>
      <c r="I519">
        <v>1396.0872803</v>
      </c>
      <c r="J519">
        <v>1378.8530272999999</v>
      </c>
      <c r="K519">
        <v>0</v>
      </c>
      <c r="L519">
        <v>2050</v>
      </c>
      <c r="M519">
        <v>2050</v>
      </c>
      <c r="N519">
        <v>0</v>
      </c>
    </row>
    <row r="520" spans="1:14" x14ac:dyDescent="0.25">
      <c r="A520">
        <v>161.58396500000001</v>
      </c>
      <c r="B520" s="1">
        <f>DATE(2010,10,9) + TIME(14,0,54)</f>
        <v>40460.583958333336</v>
      </c>
      <c r="C520">
        <v>80</v>
      </c>
      <c r="D520">
        <v>78.179946899000001</v>
      </c>
      <c r="E520">
        <v>50</v>
      </c>
      <c r="F520">
        <v>49.915317535</v>
      </c>
      <c r="G520">
        <v>1305.1906738</v>
      </c>
      <c r="H520">
        <v>1294.7984618999999</v>
      </c>
      <c r="I520">
        <v>1395.9315185999999</v>
      </c>
      <c r="J520">
        <v>1378.7026367000001</v>
      </c>
      <c r="K520">
        <v>0</v>
      </c>
      <c r="L520">
        <v>2050</v>
      </c>
      <c r="M520">
        <v>2050</v>
      </c>
      <c r="N520">
        <v>0</v>
      </c>
    </row>
    <row r="521" spans="1:14" x14ac:dyDescent="0.25">
      <c r="A521">
        <v>161.96647100000001</v>
      </c>
      <c r="B521" s="1">
        <f>DATE(2010,10,9) + TIME(23,11,43)</f>
        <v>40460.966469907406</v>
      </c>
      <c r="C521">
        <v>80</v>
      </c>
      <c r="D521">
        <v>78.113693237000007</v>
      </c>
      <c r="E521">
        <v>50</v>
      </c>
      <c r="F521">
        <v>49.918888092000003</v>
      </c>
      <c r="G521">
        <v>1305.1767577999999</v>
      </c>
      <c r="H521">
        <v>1294.7825928</v>
      </c>
      <c r="I521">
        <v>1395.7767334</v>
      </c>
      <c r="J521">
        <v>1378.5531006000001</v>
      </c>
      <c r="K521">
        <v>0</v>
      </c>
      <c r="L521">
        <v>2050</v>
      </c>
      <c r="M521">
        <v>2050</v>
      </c>
      <c r="N521">
        <v>0</v>
      </c>
    </row>
    <row r="522" spans="1:14" x14ac:dyDescent="0.25">
      <c r="A522">
        <v>162.36820800000001</v>
      </c>
      <c r="B522" s="1">
        <f>DATE(2010,10,10) + TIME(8,50,13)</f>
        <v>40461.368206018517</v>
      </c>
      <c r="C522">
        <v>80</v>
      </c>
      <c r="D522">
        <v>78.044868468999994</v>
      </c>
      <c r="E522">
        <v>50</v>
      </c>
      <c r="F522">
        <v>49.921703338999997</v>
      </c>
      <c r="G522">
        <v>1305.1622314000001</v>
      </c>
      <c r="H522">
        <v>1294.7661132999999</v>
      </c>
      <c r="I522">
        <v>1395.6219481999999</v>
      </c>
      <c r="J522">
        <v>1378.4034423999999</v>
      </c>
      <c r="K522">
        <v>0</v>
      </c>
      <c r="L522">
        <v>2050</v>
      </c>
      <c r="M522">
        <v>2050</v>
      </c>
      <c r="N522">
        <v>0</v>
      </c>
    </row>
    <row r="523" spans="1:14" x14ac:dyDescent="0.25">
      <c r="A523">
        <v>162.792419</v>
      </c>
      <c r="B523" s="1">
        <f>DATE(2010,10,10) + TIME(19,1,4)</f>
        <v>40461.792407407411</v>
      </c>
      <c r="C523">
        <v>80</v>
      </c>
      <c r="D523">
        <v>77.973037719999994</v>
      </c>
      <c r="E523">
        <v>50</v>
      </c>
      <c r="F523">
        <v>49.923934936999999</v>
      </c>
      <c r="G523">
        <v>1305.1469727000001</v>
      </c>
      <c r="H523">
        <v>1294.7486572</v>
      </c>
      <c r="I523">
        <v>1395.4665527</v>
      </c>
      <c r="J523">
        <v>1378.2532959</v>
      </c>
      <c r="K523">
        <v>0</v>
      </c>
      <c r="L523">
        <v>2050</v>
      </c>
      <c r="M523">
        <v>2050</v>
      </c>
      <c r="N523">
        <v>0</v>
      </c>
    </row>
    <row r="524" spans="1:14" x14ac:dyDescent="0.25">
      <c r="A524">
        <v>163.23945800000001</v>
      </c>
      <c r="B524" s="1">
        <f>DATE(2010,10,11) + TIME(5,44,49)</f>
        <v>40462.23945601852</v>
      </c>
      <c r="C524">
        <v>80</v>
      </c>
      <c r="D524">
        <v>77.898124695000007</v>
      </c>
      <c r="E524">
        <v>50</v>
      </c>
      <c r="F524">
        <v>49.925701140999998</v>
      </c>
      <c r="G524">
        <v>1305.1308594</v>
      </c>
      <c r="H524">
        <v>1294.7303466999999</v>
      </c>
      <c r="I524">
        <v>1395.3095702999999</v>
      </c>
      <c r="J524">
        <v>1378.1016846</v>
      </c>
      <c r="K524">
        <v>0</v>
      </c>
      <c r="L524">
        <v>2050</v>
      </c>
      <c r="M524">
        <v>2050</v>
      </c>
      <c r="N524">
        <v>0</v>
      </c>
    </row>
    <row r="525" spans="1:14" x14ac:dyDescent="0.25">
      <c r="A525">
        <v>163.698914</v>
      </c>
      <c r="B525" s="1">
        <f>DATE(2010,10,11) + TIME(16,46,26)</f>
        <v>40462.698912037034</v>
      </c>
      <c r="C525">
        <v>80</v>
      </c>
      <c r="D525">
        <v>77.821273804</v>
      </c>
      <c r="E525">
        <v>50</v>
      </c>
      <c r="F525">
        <v>49.927074431999998</v>
      </c>
      <c r="G525">
        <v>1305.1136475000001</v>
      </c>
      <c r="H525">
        <v>1294.7109375</v>
      </c>
      <c r="I525">
        <v>1395.1516113</v>
      </c>
      <c r="J525">
        <v>1377.9490966999999</v>
      </c>
      <c r="K525">
        <v>0</v>
      </c>
      <c r="L525">
        <v>2050</v>
      </c>
      <c r="M525">
        <v>2050</v>
      </c>
      <c r="N525">
        <v>0</v>
      </c>
    </row>
    <row r="526" spans="1:14" x14ac:dyDescent="0.25">
      <c r="A526">
        <v>164.162318</v>
      </c>
      <c r="B526" s="1">
        <f>DATE(2010,10,12) + TIME(3,53,44)</f>
        <v>40463.162314814814</v>
      </c>
      <c r="C526">
        <v>80</v>
      </c>
      <c r="D526">
        <v>77.743598938000005</v>
      </c>
      <c r="E526">
        <v>50</v>
      </c>
      <c r="F526">
        <v>49.928134917999998</v>
      </c>
      <c r="G526">
        <v>1305.0959473</v>
      </c>
      <c r="H526">
        <v>1294.690918</v>
      </c>
      <c r="I526">
        <v>1394.9964600000001</v>
      </c>
      <c r="J526">
        <v>1377.7993164</v>
      </c>
      <c r="K526">
        <v>0</v>
      </c>
      <c r="L526">
        <v>2050</v>
      </c>
      <c r="M526">
        <v>2050</v>
      </c>
      <c r="N526">
        <v>0</v>
      </c>
    </row>
    <row r="527" spans="1:14" x14ac:dyDescent="0.25">
      <c r="A527">
        <v>164.63176799999999</v>
      </c>
      <c r="B527" s="1">
        <f>DATE(2010,10,12) + TIME(15,9,44)</f>
        <v>40463.63175925926</v>
      </c>
      <c r="C527">
        <v>80</v>
      </c>
      <c r="D527">
        <v>77.665100097999996</v>
      </c>
      <c r="E527">
        <v>50</v>
      </c>
      <c r="F527">
        <v>49.928970337000003</v>
      </c>
      <c r="G527">
        <v>1305.0780029</v>
      </c>
      <c r="H527">
        <v>1294.6706543</v>
      </c>
      <c r="I527">
        <v>1394.8468018000001</v>
      </c>
      <c r="J527">
        <v>1377.6549072</v>
      </c>
      <c r="K527">
        <v>0</v>
      </c>
      <c r="L527">
        <v>2050</v>
      </c>
      <c r="M527">
        <v>2050</v>
      </c>
      <c r="N527">
        <v>0</v>
      </c>
    </row>
    <row r="528" spans="1:14" x14ac:dyDescent="0.25">
      <c r="A528">
        <v>165.10813200000001</v>
      </c>
      <c r="B528" s="1">
        <f>DATE(2010,10,13) + TIME(2,35,42)</f>
        <v>40464.108124999999</v>
      </c>
      <c r="C528">
        <v>80</v>
      </c>
      <c r="D528">
        <v>77.585823059000006</v>
      </c>
      <c r="E528">
        <v>50</v>
      </c>
      <c r="F528">
        <v>49.929641724</v>
      </c>
      <c r="G528">
        <v>1305.0598144999999</v>
      </c>
      <c r="H528">
        <v>1294.6501464999999</v>
      </c>
      <c r="I528">
        <v>1394.7016602000001</v>
      </c>
      <c r="J528">
        <v>1377.5150146000001</v>
      </c>
      <c r="K528">
        <v>0</v>
      </c>
      <c r="L528">
        <v>2050</v>
      </c>
      <c r="M528">
        <v>2050</v>
      </c>
      <c r="N528">
        <v>0</v>
      </c>
    </row>
    <row r="529" spans="1:14" x14ac:dyDescent="0.25">
      <c r="A529">
        <v>165.59326799999999</v>
      </c>
      <c r="B529" s="1">
        <f>DATE(2010,10,13) + TIME(14,14,18)</f>
        <v>40464.593263888892</v>
      </c>
      <c r="C529">
        <v>80</v>
      </c>
      <c r="D529">
        <v>77.505630492999998</v>
      </c>
      <c r="E529">
        <v>50</v>
      </c>
      <c r="F529">
        <v>49.930183411000002</v>
      </c>
      <c r="G529">
        <v>1305.0413818</v>
      </c>
      <c r="H529">
        <v>1294.6292725000001</v>
      </c>
      <c r="I529">
        <v>1394.5605469</v>
      </c>
      <c r="J529">
        <v>1377.3790283000001</v>
      </c>
      <c r="K529">
        <v>0</v>
      </c>
      <c r="L529">
        <v>2050</v>
      </c>
      <c r="M529">
        <v>2050</v>
      </c>
      <c r="N529">
        <v>0</v>
      </c>
    </row>
    <row r="530" spans="1:14" x14ac:dyDescent="0.25">
      <c r="A530">
        <v>166.08899500000001</v>
      </c>
      <c r="B530" s="1">
        <f>DATE(2010,10,14) + TIME(2,8,9)</f>
        <v>40465.088993055557</v>
      </c>
      <c r="C530">
        <v>80</v>
      </c>
      <c r="D530">
        <v>77.424369811999995</v>
      </c>
      <c r="E530">
        <v>50</v>
      </c>
      <c r="F530">
        <v>49.93062973</v>
      </c>
      <c r="G530">
        <v>1305.0224608999999</v>
      </c>
      <c r="H530">
        <v>1294.6079102000001</v>
      </c>
      <c r="I530">
        <v>1394.4226074000001</v>
      </c>
      <c r="J530">
        <v>1377.2462158000001</v>
      </c>
      <c r="K530">
        <v>0</v>
      </c>
      <c r="L530">
        <v>2050</v>
      </c>
      <c r="M530">
        <v>2050</v>
      </c>
      <c r="N530">
        <v>0</v>
      </c>
    </row>
    <row r="531" spans="1:14" x14ac:dyDescent="0.25">
      <c r="A531">
        <v>166.59714700000001</v>
      </c>
      <c r="B531" s="1">
        <f>DATE(2010,10,14) + TIME(14,19,53)</f>
        <v>40465.597141203703</v>
      </c>
      <c r="C531">
        <v>80</v>
      </c>
      <c r="D531">
        <v>77.341850281000006</v>
      </c>
      <c r="E531">
        <v>50</v>
      </c>
      <c r="F531">
        <v>49.930999755999999</v>
      </c>
      <c r="G531">
        <v>1305.0031738</v>
      </c>
      <c r="H531">
        <v>1294.5860596</v>
      </c>
      <c r="I531">
        <v>1394.2873535000001</v>
      </c>
      <c r="J531">
        <v>1377.1160889</v>
      </c>
      <c r="K531">
        <v>0</v>
      </c>
      <c r="L531">
        <v>2050</v>
      </c>
      <c r="M531">
        <v>2050</v>
      </c>
      <c r="N531">
        <v>0</v>
      </c>
    </row>
    <row r="532" spans="1:14" x14ac:dyDescent="0.25">
      <c r="A532">
        <v>167.119699</v>
      </c>
      <c r="B532" s="1">
        <f>DATE(2010,10,15) + TIME(2,52,21)</f>
        <v>40466.119687500002</v>
      </c>
      <c r="C532">
        <v>80</v>
      </c>
      <c r="D532">
        <v>77.257835388000004</v>
      </c>
      <c r="E532">
        <v>50</v>
      </c>
      <c r="F532">
        <v>49.931312560999999</v>
      </c>
      <c r="G532">
        <v>1304.9833983999999</v>
      </c>
      <c r="H532">
        <v>1294.5634766000001</v>
      </c>
      <c r="I532">
        <v>1394.1541748</v>
      </c>
      <c r="J532">
        <v>1376.9881591999999</v>
      </c>
      <c r="K532">
        <v>0</v>
      </c>
      <c r="L532">
        <v>2050</v>
      </c>
      <c r="M532">
        <v>2050</v>
      </c>
      <c r="N532">
        <v>0</v>
      </c>
    </row>
    <row r="533" spans="1:14" x14ac:dyDescent="0.25">
      <c r="A533">
        <v>167.65955199999999</v>
      </c>
      <c r="B533" s="1">
        <f>DATE(2010,10,15) + TIME(15,49,45)</f>
        <v>40466.659548611111</v>
      </c>
      <c r="C533">
        <v>80</v>
      </c>
      <c r="D533">
        <v>77.172004700000002</v>
      </c>
      <c r="E533">
        <v>50</v>
      </c>
      <c r="F533">
        <v>49.931583404999998</v>
      </c>
      <c r="G533">
        <v>1304.9628906</v>
      </c>
      <c r="H533">
        <v>1294.5404053</v>
      </c>
      <c r="I533">
        <v>1394.0224608999999</v>
      </c>
      <c r="J533">
        <v>1376.8616943</v>
      </c>
      <c r="K533">
        <v>0</v>
      </c>
      <c r="L533">
        <v>2050</v>
      </c>
      <c r="M533">
        <v>2050</v>
      </c>
      <c r="N533">
        <v>0</v>
      </c>
    </row>
    <row r="534" spans="1:14" x14ac:dyDescent="0.25">
      <c r="A534">
        <v>168.21993699999999</v>
      </c>
      <c r="B534" s="1">
        <f>DATE(2010,10,16) + TIME(5,16,42)</f>
        <v>40467.219930555555</v>
      </c>
      <c r="C534">
        <v>80</v>
      </c>
      <c r="D534">
        <v>77.083976746000005</v>
      </c>
      <c r="E534">
        <v>50</v>
      </c>
      <c r="F534">
        <v>49.931816101000003</v>
      </c>
      <c r="G534">
        <v>1304.9417725000001</v>
      </c>
      <c r="H534">
        <v>1294.5163574000001</v>
      </c>
      <c r="I534">
        <v>1393.8918457</v>
      </c>
      <c r="J534">
        <v>1376.7363281</v>
      </c>
      <c r="K534">
        <v>0</v>
      </c>
      <c r="L534">
        <v>2050</v>
      </c>
      <c r="M534">
        <v>2050</v>
      </c>
      <c r="N534">
        <v>0</v>
      </c>
    </row>
    <row r="535" spans="1:14" x14ac:dyDescent="0.25">
      <c r="A535">
        <v>168.80455799999999</v>
      </c>
      <c r="B535" s="1">
        <f>DATE(2010,10,16) + TIME(19,18,33)</f>
        <v>40467.804548611108</v>
      </c>
      <c r="C535">
        <v>80</v>
      </c>
      <c r="D535">
        <v>76.993309021000002</v>
      </c>
      <c r="E535">
        <v>50</v>
      </c>
      <c r="F535">
        <v>49.932022095000001</v>
      </c>
      <c r="G535">
        <v>1304.9196777</v>
      </c>
      <c r="H535">
        <v>1294.4913329999999</v>
      </c>
      <c r="I535">
        <v>1393.7614745999999</v>
      </c>
      <c r="J535">
        <v>1376.6112060999999</v>
      </c>
      <c r="K535">
        <v>0</v>
      </c>
      <c r="L535">
        <v>2050</v>
      </c>
      <c r="M535">
        <v>2050</v>
      </c>
      <c r="N535">
        <v>0</v>
      </c>
    </row>
    <row r="536" spans="1:14" x14ac:dyDescent="0.25">
      <c r="A536">
        <v>169.41774699999999</v>
      </c>
      <c r="B536" s="1">
        <f>DATE(2010,10,17) + TIME(10,1,33)</f>
        <v>40468.417743055557</v>
      </c>
      <c r="C536">
        <v>80</v>
      </c>
      <c r="D536">
        <v>76.899490356000001</v>
      </c>
      <c r="E536">
        <v>50</v>
      </c>
      <c r="F536">
        <v>49.932205199999999</v>
      </c>
      <c r="G536">
        <v>1304.8966064000001</v>
      </c>
      <c r="H536">
        <v>1294.4652100000001</v>
      </c>
      <c r="I536">
        <v>1393.6307373</v>
      </c>
      <c r="J536">
        <v>1376.4859618999999</v>
      </c>
      <c r="K536">
        <v>0</v>
      </c>
      <c r="L536">
        <v>2050</v>
      </c>
      <c r="M536">
        <v>2050</v>
      </c>
      <c r="N536">
        <v>0</v>
      </c>
    </row>
    <row r="537" spans="1:14" x14ac:dyDescent="0.25">
      <c r="A537">
        <v>170.048789</v>
      </c>
      <c r="B537" s="1">
        <f>DATE(2010,10,18) + TIME(1,10,15)</f>
        <v>40469.048784722225</v>
      </c>
      <c r="C537">
        <v>80</v>
      </c>
      <c r="D537">
        <v>76.803421021000005</v>
      </c>
      <c r="E537">
        <v>50</v>
      </c>
      <c r="F537">
        <v>49.932365417</v>
      </c>
      <c r="G537">
        <v>1304.8721923999999</v>
      </c>
      <c r="H537">
        <v>1294.4377440999999</v>
      </c>
      <c r="I537">
        <v>1393.4989014</v>
      </c>
      <c r="J537">
        <v>1376.3598632999999</v>
      </c>
      <c r="K537">
        <v>0</v>
      </c>
      <c r="L537">
        <v>2050</v>
      </c>
      <c r="M537">
        <v>2050</v>
      </c>
      <c r="N537">
        <v>0</v>
      </c>
    </row>
    <row r="538" spans="1:14" x14ac:dyDescent="0.25">
      <c r="A538">
        <v>170.68379899999999</v>
      </c>
      <c r="B538" s="1">
        <f>DATE(2010,10,18) + TIME(16,24,40)</f>
        <v>40469.683796296296</v>
      </c>
      <c r="C538">
        <v>80</v>
      </c>
      <c r="D538">
        <v>76.706542968999997</v>
      </c>
      <c r="E538">
        <v>50</v>
      </c>
      <c r="F538">
        <v>49.932506560999997</v>
      </c>
      <c r="G538">
        <v>1304.8469238</v>
      </c>
      <c r="H538">
        <v>1294.4093018000001</v>
      </c>
      <c r="I538">
        <v>1393.3686522999999</v>
      </c>
      <c r="J538">
        <v>1376.2352295000001</v>
      </c>
      <c r="K538">
        <v>0</v>
      </c>
      <c r="L538">
        <v>2050</v>
      </c>
      <c r="M538">
        <v>2050</v>
      </c>
      <c r="N538">
        <v>0</v>
      </c>
    </row>
    <row r="539" spans="1:14" x14ac:dyDescent="0.25">
      <c r="A539">
        <v>171.32483199999999</v>
      </c>
      <c r="B539" s="1">
        <f>DATE(2010,10,19) + TIME(7,47,45)</f>
        <v>40470.324826388889</v>
      </c>
      <c r="C539">
        <v>80</v>
      </c>
      <c r="D539">
        <v>76.609092712000006</v>
      </c>
      <c r="E539">
        <v>50</v>
      </c>
      <c r="F539">
        <v>49.932632446</v>
      </c>
      <c r="G539">
        <v>1304.8214111</v>
      </c>
      <c r="H539">
        <v>1294.3806152</v>
      </c>
      <c r="I539">
        <v>1393.2426757999999</v>
      </c>
      <c r="J539">
        <v>1376.1148682</v>
      </c>
      <c r="K539">
        <v>0</v>
      </c>
      <c r="L539">
        <v>2050</v>
      </c>
      <c r="M539">
        <v>2050</v>
      </c>
      <c r="N539">
        <v>0</v>
      </c>
    </row>
    <row r="540" spans="1:14" x14ac:dyDescent="0.25">
      <c r="A540">
        <v>171.975121</v>
      </c>
      <c r="B540" s="1">
        <f>DATE(2010,10,19) + TIME(23,24,10)</f>
        <v>40470.975115740737</v>
      </c>
      <c r="C540">
        <v>80</v>
      </c>
      <c r="D540">
        <v>76.510986328000001</v>
      </c>
      <c r="E540">
        <v>50</v>
      </c>
      <c r="F540">
        <v>49.932743072999997</v>
      </c>
      <c r="G540">
        <v>1304.7956543</v>
      </c>
      <c r="H540">
        <v>1294.3514404</v>
      </c>
      <c r="I540">
        <v>1393.1203613</v>
      </c>
      <c r="J540">
        <v>1375.9980469</v>
      </c>
      <c r="K540">
        <v>0</v>
      </c>
      <c r="L540">
        <v>2050</v>
      </c>
      <c r="M540">
        <v>2050</v>
      </c>
      <c r="N540">
        <v>0</v>
      </c>
    </row>
    <row r="541" spans="1:14" x14ac:dyDescent="0.25">
      <c r="A541">
        <v>172.63695799999999</v>
      </c>
      <c r="B541" s="1">
        <f>DATE(2010,10,20) + TIME(15,17,13)</f>
        <v>40471.636956018519</v>
      </c>
      <c r="C541">
        <v>80</v>
      </c>
      <c r="D541">
        <v>76.412078856999997</v>
      </c>
      <c r="E541">
        <v>50</v>
      </c>
      <c r="F541">
        <v>49.932849883999999</v>
      </c>
      <c r="G541">
        <v>1304.7694091999999</v>
      </c>
      <c r="H541">
        <v>1294.3216553</v>
      </c>
      <c r="I541">
        <v>1393.0008545000001</v>
      </c>
      <c r="J541">
        <v>1375.8840332</v>
      </c>
      <c r="K541">
        <v>0</v>
      </c>
      <c r="L541">
        <v>2050</v>
      </c>
      <c r="M541">
        <v>2050</v>
      </c>
      <c r="N541">
        <v>0</v>
      </c>
    </row>
    <row r="542" spans="1:14" x14ac:dyDescent="0.25">
      <c r="A542">
        <v>173.31296699999999</v>
      </c>
      <c r="B542" s="1">
        <f>DATE(2010,10,21) + TIME(7,30,40)</f>
        <v>40472.312962962962</v>
      </c>
      <c r="C542">
        <v>80</v>
      </c>
      <c r="D542">
        <v>76.312156677000004</v>
      </c>
      <c r="E542">
        <v>50</v>
      </c>
      <c r="F542">
        <v>49.932945251</v>
      </c>
      <c r="G542">
        <v>1304.7424315999999</v>
      </c>
      <c r="H542">
        <v>1294.2912598</v>
      </c>
      <c r="I542">
        <v>1392.8837891000001</v>
      </c>
      <c r="J542">
        <v>1375.7723389</v>
      </c>
      <c r="K542">
        <v>0</v>
      </c>
      <c r="L542">
        <v>2050</v>
      </c>
      <c r="M542">
        <v>2050</v>
      </c>
      <c r="N542">
        <v>0</v>
      </c>
    </row>
    <row r="543" spans="1:14" x14ac:dyDescent="0.25">
      <c r="A543">
        <v>174.005585</v>
      </c>
      <c r="B543" s="1">
        <f>DATE(2010,10,22) + TIME(0,8,2)</f>
        <v>40473.005578703705</v>
      </c>
      <c r="C543">
        <v>80</v>
      </c>
      <c r="D543">
        <v>76.210960388000004</v>
      </c>
      <c r="E543">
        <v>50</v>
      </c>
      <c r="F543">
        <v>49.933040619000003</v>
      </c>
      <c r="G543">
        <v>1304.7149658000001</v>
      </c>
      <c r="H543">
        <v>1294.2600098</v>
      </c>
      <c r="I543">
        <v>1392.7684326000001</v>
      </c>
      <c r="J543">
        <v>1375.6623535000001</v>
      </c>
      <c r="K543">
        <v>0</v>
      </c>
      <c r="L543">
        <v>2050</v>
      </c>
      <c r="M543">
        <v>2050</v>
      </c>
      <c r="N543">
        <v>0</v>
      </c>
    </row>
    <row r="544" spans="1:14" x14ac:dyDescent="0.25">
      <c r="A544">
        <v>174.71704600000001</v>
      </c>
      <c r="B544" s="1">
        <f>DATE(2010,10,22) + TIME(17,12,32)</f>
        <v>40473.717037037037</v>
      </c>
      <c r="C544">
        <v>80</v>
      </c>
      <c r="D544">
        <v>76.108245850000003</v>
      </c>
      <c r="E544">
        <v>50</v>
      </c>
      <c r="F544">
        <v>49.933128357000001</v>
      </c>
      <c r="G544">
        <v>1304.6865233999999</v>
      </c>
      <c r="H544">
        <v>1294.2279053</v>
      </c>
      <c r="I544">
        <v>1392.6544189000001</v>
      </c>
      <c r="J544">
        <v>1375.5538329999999</v>
      </c>
      <c r="K544">
        <v>0</v>
      </c>
      <c r="L544">
        <v>2050</v>
      </c>
      <c r="M544">
        <v>2050</v>
      </c>
      <c r="N544">
        <v>0</v>
      </c>
    </row>
    <row r="545" spans="1:14" x14ac:dyDescent="0.25">
      <c r="A545">
        <v>175.450715</v>
      </c>
      <c r="B545" s="1">
        <f>DATE(2010,10,23) + TIME(10,49,1)</f>
        <v>40474.450706018521</v>
      </c>
      <c r="C545">
        <v>80</v>
      </c>
      <c r="D545">
        <v>76.003669739000003</v>
      </c>
      <c r="E545">
        <v>50</v>
      </c>
      <c r="F545">
        <v>49.933216094999999</v>
      </c>
      <c r="G545">
        <v>1304.6572266000001</v>
      </c>
      <c r="H545">
        <v>1294.1947021000001</v>
      </c>
      <c r="I545">
        <v>1392.5415039</v>
      </c>
      <c r="J545">
        <v>1375.4464111</v>
      </c>
      <c r="K545">
        <v>0</v>
      </c>
      <c r="L545">
        <v>2050</v>
      </c>
      <c r="M545">
        <v>2050</v>
      </c>
      <c r="N545">
        <v>0</v>
      </c>
    </row>
    <row r="546" spans="1:14" x14ac:dyDescent="0.25">
      <c r="A546">
        <v>176.20980599999999</v>
      </c>
      <c r="B546" s="1">
        <f>DATE(2010,10,24) + TIME(5,2,7)</f>
        <v>40475.209803240738</v>
      </c>
      <c r="C546">
        <v>80</v>
      </c>
      <c r="D546">
        <v>75.896881104000002</v>
      </c>
      <c r="E546">
        <v>50</v>
      </c>
      <c r="F546">
        <v>49.933303832999997</v>
      </c>
      <c r="G546">
        <v>1304.6268310999999</v>
      </c>
      <c r="H546">
        <v>1294.1602783000001</v>
      </c>
      <c r="I546">
        <v>1392.4291992000001</v>
      </c>
      <c r="J546">
        <v>1375.3395995999999</v>
      </c>
      <c r="K546">
        <v>0</v>
      </c>
      <c r="L546">
        <v>2050</v>
      </c>
      <c r="M546">
        <v>2050</v>
      </c>
      <c r="N546">
        <v>0</v>
      </c>
    </row>
    <row r="547" spans="1:14" x14ac:dyDescent="0.25">
      <c r="A547">
        <v>176.999222</v>
      </c>
      <c r="B547" s="1">
        <f>DATE(2010,10,24) + TIME(23,58,52)</f>
        <v>40475.999212962961</v>
      </c>
      <c r="C547">
        <v>80</v>
      </c>
      <c r="D547">
        <v>75.787391662999994</v>
      </c>
      <c r="E547">
        <v>50</v>
      </c>
      <c r="F547">
        <v>49.933395386000001</v>
      </c>
      <c r="G547">
        <v>1304.5952147999999</v>
      </c>
      <c r="H547">
        <v>1294.1243896000001</v>
      </c>
      <c r="I547">
        <v>1392.3171387</v>
      </c>
      <c r="J547">
        <v>1375.2331543</v>
      </c>
      <c r="K547">
        <v>0</v>
      </c>
      <c r="L547">
        <v>2050</v>
      </c>
      <c r="M547">
        <v>2050</v>
      </c>
      <c r="N547">
        <v>0</v>
      </c>
    </row>
    <row r="548" spans="1:14" x14ac:dyDescent="0.25">
      <c r="A548">
        <v>177.82461900000001</v>
      </c>
      <c r="B548" s="1">
        <f>DATE(2010,10,25) + TIME(19,47,27)</f>
        <v>40476.824618055558</v>
      </c>
      <c r="C548">
        <v>80</v>
      </c>
      <c r="D548">
        <v>75.674636840999995</v>
      </c>
      <c r="E548">
        <v>50</v>
      </c>
      <c r="F548">
        <v>49.933483123999999</v>
      </c>
      <c r="G548">
        <v>1304.5621338000001</v>
      </c>
      <c r="H548">
        <v>1294.0867920000001</v>
      </c>
      <c r="I548">
        <v>1392.2047118999999</v>
      </c>
      <c r="J548">
        <v>1375.1263428</v>
      </c>
      <c r="K548">
        <v>0</v>
      </c>
      <c r="L548">
        <v>2050</v>
      </c>
      <c r="M548">
        <v>2050</v>
      </c>
      <c r="N548">
        <v>0</v>
      </c>
    </row>
    <row r="549" spans="1:14" x14ac:dyDescent="0.25">
      <c r="A549">
        <v>178.654539</v>
      </c>
      <c r="B549" s="1">
        <f>DATE(2010,10,26) + TIME(15,42,32)</f>
        <v>40477.654537037037</v>
      </c>
      <c r="C549">
        <v>80</v>
      </c>
      <c r="D549">
        <v>75.560806274000001</v>
      </c>
      <c r="E549">
        <v>50</v>
      </c>
      <c r="F549">
        <v>49.933570862000003</v>
      </c>
      <c r="G549">
        <v>1304.5272216999999</v>
      </c>
      <c r="H549">
        <v>1294.0472411999999</v>
      </c>
      <c r="I549">
        <v>1392.0913086</v>
      </c>
      <c r="J549">
        <v>1375.0187988</v>
      </c>
      <c r="K549">
        <v>0</v>
      </c>
      <c r="L549">
        <v>2050</v>
      </c>
      <c r="M549">
        <v>2050</v>
      </c>
      <c r="N549">
        <v>0</v>
      </c>
    </row>
    <row r="550" spans="1:14" x14ac:dyDescent="0.25">
      <c r="A550">
        <v>179.491017</v>
      </c>
      <c r="B550" s="1">
        <f>DATE(2010,10,27) + TIME(11,47,3)</f>
        <v>40478.491006944445</v>
      </c>
      <c r="C550">
        <v>80</v>
      </c>
      <c r="D550">
        <v>75.446495056000003</v>
      </c>
      <c r="E550">
        <v>50</v>
      </c>
      <c r="F550">
        <v>49.933658600000001</v>
      </c>
      <c r="G550">
        <v>1304.4918213000001</v>
      </c>
      <c r="H550">
        <v>1294.0072021000001</v>
      </c>
      <c r="I550">
        <v>1391.9813231999999</v>
      </c>
      <c r="J550">
        <v>1374.9145507999999</v>
      </c>
      <c r="K550">
        <v>0</v>
      </c>
      <c r="L550">
        <v>2050</v>
      </c>
      <c r="M550">
        <v>2050</v>
      </c>
      <c r="N550">
        <v>0</v>
      </c>
    </row>
    <row r="551" spans="1:14" x14ac:dyDescent="0.25">
      <c r="A551">
        <v>180.33776700000001</v>
      </c>
      <c r="B551" s="1">
        <f>DATE(2010,10,28) + TIME(8,6,23)</f>
        <v>40479.337766203702</v>
      </c>
      <c r="C551">
        <v>80</v>
      </c>
      <c r="D551">
        <v>75.331779479999994</v>
      </c>
      <c r="E551">
        <v>50</v>
      </c>
      <c r="F551">
        <v>49.933746337999999</v>
      </c>
      <c r="G551">
        <v>1304.4558105000001</v>
      </c>
      <c r="H551">
        <v>1293.9663086</v>
      </c>
      <c r="I551">
        <v>1391.8743896000001</v>
      </c>
      <c r="J551">
        <v>1374.8132324000001</v>
      </c>
      <c r="K551">
        <v>0</v>
      </c>
      <c r="L551">
        <v>2050</v>
      </c>
      <c r="M551">
        <v>2050</v>
      </c>
      <c r="N551">
        <v>0</v>
      </c>
    </row>
    <row r="552" spans="1:14" x14ac:dyDescent="0.25">
      <c r="A552">
        <v>181.198002</v>
      </c>
      <c r="B552" s="1">
        <f>DATE(2010,10,29) + TIME(4,45,7)</f>
        <v>40480.197997685187</v>
      </c>
      <c r="C552">
        <v>80</v>
      </c>
      <c r="D552">
        <v>75.216552734000004</v>
      </c>
      <c r="E552">
        <v>50</v>
      </c>
      <c r="F552">
        <v>49.933834075999997</v>
      </c>
      <c r="G552">
        <v>1304.4193115</v>
      </c>
      <c r="H552">
        <v>1293.9246826000001</v>
      </c>
      <c r="I552">
        <v>1391.7698975000001</v>
      </c>
      <c r="J552">
        <v>1374.7142334</v>
      </c>
      <c r="K552">
        <v>0</v>
      </c>
      <c r="L552">
        <v>2050</v>
      </c>
      <c r="M552">
        <v>2050</v>
      </c>
      <c r="N552">
        <v>0</v>
      </c>
    </row>
    <row r="553" spans="1:14" x14ac:dyDescent="0.25">
      <c r="A553">
        <v>182.07453699999999</v>
      </c>
      <c r="B553" s="1">
        <f>DATE(2010,10,30) + TIME(1,47,19)</f>
        <v>40481.074525462966</v>
      </c>
      <c r="C553">
        <v>80</v>
      </c>
      <c r="D553">
        <v>75.100608825999998</v>
      </c>
      <c r="E553">
        <v>50</v>
      </c>
      <c r="F553">
        <v>49.933921814000001</v>
      </c>
      <c r="G553">
        <v>1304.3818358999999</v>
      </c>
      <c r="H553">
        <v>1293.8819579999999</v>
      </c>
      <c r="I553">
        <v>1391.6672363</v>
      </c>
      <c r="J553">
        <v>1374.6171875</v>
      </c>
      <c r="K553">
        <v>0</v>
      </c>
      <c r="L553">
        <v>2050</v>
      </c>
      <c r="M553">
        <v>2050</v>
      </c>
      <c r="N553">
        <v>0</v>
      </c>
    </row>
    <row r="554" spans="1:14" x14ac:dyDescent="0.25">
      <c r="A554">
        <v>182.97053500000001</v>
      </c>
      <c r="B554" s="1">
        <f>DATE(2010,10,30) + TIME(23,17,34)</f>
        <v>40481.970532407409</v>
      </c>
      <c r="C554">
        <v>80</v>
      </c>
      <c r="D554">
        <v>74.983680724999999</v>
      </c>
      <c r="E554">
        <v>50</v>
      </c>
      <c r="F554">
        <v>49.934013366999999</v>
      </c>
      <c r="G554">
        <v>1304.3432617000001</v>
      </c>
      <c r="H554">
        <v>1293.8380127</v>
      </c>
      <c r="I554">
        <v>1391.5662841999999</v>
      </c>
      <c r="J554">
        <v>1374.5216064000001</v>
      </c>
      <c r="K554">
        <v>0</v>
      </c>
      <c r="L554">
        <v>2050</v>
      </c>
      <c r="M554">
        <v>2050</v>
      </c>
      <c r="N554">
        <v>0</v>
      </c>
    </row>
    <row r="555" spans="1:14" x14ac:dyDescent="0.25">
      <c r="A555">
        <v>183.89089200000001</v>
      </c>
      <c r="B555" s="1">
        <f>DATE(2010,10,31) + TIME(21,22,53)</f>
        <v>40482.8908912037</v>
      </c>
      <c r="C555">
        <v>80</v>
      </c>
      <c r="D555">
        <v>74.865249633999994</v>
      </c>
      <c r="E555">
        <v>50</v>
      </c>
      <c r="F555">
        <v>49.934104918999999</v>
      </c>
      <c r="G555">
        <v>1304.3035889</v>
      </c>
      <c r="H555">
        <v>1293.7926024999999</v>
      </c>
      <c r="I555">
        <v>1391.4664307</v>
      </c>
      <c r="J555">
        <v>1374.4272461</v>
      </c>
      <c r="K555">
        <v>0</v>
      </c>
      <c r="L555">
        <v>2050</v>
      </c>
      <c r="M555">
        <v>2050</v>
      </c>
      <c r="N555">
        <v>0</v>
      </c>
    </row>
    <row r="556" spans="1:14" x14ac:dyDescent="0.25">
      <c r="A556">
        <v>184</v>
      </c>
      <c r="B556" s="1">
        <f>DATE(2010,11,1) + TIME(0,0,0)</f>
        <v>40483</v>
      </c>
      <c r="C556">
        <v>80</v>
      </c>
      <c r="D556">
        <v>74.841362000000004</v>
      </c>
      <c r="E556">
        <v>50</v>
      </c>
      <c r="F556">
        <v>49.934104918999999</v>
      </c>
      <c r="G556">
        <v>1304.2597656</v>
      </c>
      <c r="H556">
        <v>1293.7508545000001</v>
      </c>
      <c r="I556">
        <v>1391.3674315999999</v>
      </c>
      <c r="J556">
        <v>1374.3337402</v>
      </c>
      <c r="K556">
        <v>0</v>
      </c>
      <c r="L556">
        <v>2050</v>
      </c>
      <c r="M556">
        <v>2050</v>
      </c>
      <c r="N556">
        <v>0</v>
      </c>
    </row>
    <row r="557" spans="1:14" x14ac:dyDescent="0.25">
      <c r="A557">
        <v>184.94785400000001</v>
      </c>
      <c r="B557" s="1">
        <f>DATE(2010,11,1) + TIME(22,44,54)</f>
        <v>40483.947847222225</v>
      </c>
      <c r="C557">
        <v>80</v>
      </c>
      <c r="D557">
        <v>74.725883483999993</v>
      </c>
      <c r="E557">
        <v>50</v>
      </c>
      <c r="F557">
        <v>49.934211730999998</v>
      </c>
      <c r="G557">
        <v>1304.2574463000001</v>
      </c>
      <c r="H557">
        <v>1293.7391356999999</v>
      </c>
      <c r="I557">
        <v>1391.3555908000001</v>
      </c>
      <c r="J557">
        <v>1374.3226318</v>
      </c>
      <c r="K557">
        <v>0</v>
      </c>
      <c r="L557">
        <v>2050</v>
      </c>
      <c r="M557">
        <v>2050</v>
      </c>
      <c r="N557">
        <v>0</v>
      </c>
    </row>
    <row r="558" spans="1:14" x14ac:dyDescent="0.25">
      <c r="A558">
        <v>185.933457</v>
      </c>
      <c r="B558" s="1">
        <f>DATE(2010,11,2) + TIME(22,24,10)</f>
        <v>40484.933449074073</v>
      </c>
      <c r="C558">
        <v>80</v>
      </c>
      <c r="D558">
        <v>74.605674743999998</v>
      </c>
      <c r="E558">
        <v>50</v>
      </c>
      <c r="F558">
        <v>49.934310912999997</v>
      </c>
      <c r="G558">
        <v>1304.2148437999999</v>
      </c>
      <c r="H558">
        <v>1293.6905518000001</v>
      </c>
      <c r="I558">
        <v>1391.2574463000001</v>
      </c>
      <c r="J558">
        <v>1374.2299805</v>
      </c>
      <c r="K558">
        <v>0</v>
      </c>
      <c r="L558">
        <v>2050</v>
      </c>
      <c r="M558">
        <v>2050</v>
      </c>
      <c r="N558">
        <v>0</v>
      </c>
    </row>
    <row r="559" spans="1:14" x14ac:dyDescent="0.25">
      <c r="A559">
        <v>186.95965200000001</v>
      </c>
      <c r="B559" s="1">
        <f>DATE(2010,11,3) + TIME(23,1,53)</f>
        <v>40485.959641203706</v>
      </c>
      <c r="C559">
        <v>80</v>
      </c>
      <c r="D559">
        <v>74.481239318999997</v>
      </c>
      <c r="E559">
        <v>50</v>
      </c>
      <c r="F559">
        <v>49.934413910000004</v>
      </c>
      <c r="G559">
        <v>1304.1700439000001</v>
      </c>
      <c r="H559">
        <v>1293.6391602000001</v>
      </c>
      <c r="I559">
        <v>1391.1585693</v>
      </c>
      <c r="J559">
        <v>1374.1365966999999</v>
      </c>
      <c r="K559">
        <v>0</v>
      </c>
      <c r="L559">
        <v>2050</v>
      </c>
      <c r="M559">
        <v>2050</v>
      </c>
      <c r="N559">
        <v>0</v>
      </c>
    </row>
    <row r="560" spans="1:14" x14ac:dyDescent="0.25">
      <c r="A560">
        <v>187.994394</v>
      </c>
      <c r="B560" s="1">
        <f>DATE(2010,11,4) + TIME(23,51,55)</f>
        <v>40486.994386574072</v>
      </c>
      <c r="C560">
        <v>80</v>
      </c>
      <c r="D560">
        <v>74.354873656999999</v>
      </c>
      <c r="E560">
        <v>50</v>
      </c>
      <c r="F560">
        <v>49.934516907000003</v>
      </c>
      <c r="G560">
        <v>1304.1226807</v>
      </c>
      <c r="H560">
        <v>1293.5849608999999</v>
      </c>
      <c r="I560">
        <v>1391.0589600000001</v>
      </c>
      <c r="J560">
        <v>1374.0427245999999</v>
      </c>
      <c r="K560">
        <v>0</v>
      </c>
      <c r="L560">
        <v>2050</v>
      </c>
      <c r="M560">
        <v>2050</v>
      </c>
      <c r="N560">
        <v>0</v>
      </c>
    </row>
    <row r="561" spans="1:14" x14ac:dyDescent="0.25">
      <c r="A561">
        <v>189.037621</v>
      </c>
      <c r="B561" s="1">
        <f>DATE(2010,11,6) + TIME(0,54,10)</f>
        <v>40488.037615740737</v>
      </c>
      <c r="C561">
        <v>80</v>
      </c>
      <c r="D561">
        <v>74.227775574000006</v>
      </c>
      <c r="E561">
        <v>50</v>
      </c>
      <c r="F561">
        <v>49.934623717999997</v>
      </c>
      <c r="G561">
        <v>1304.0744629000001</v>
      </c>
      <c r="H561">
        <v>1293.5294189000001</v>
      </c>
      <c r="I561">
        <v>1390.9619141000001</v>
      </c>
      <c r="J561">
        <v>1373.9512939000001</v>
      </c>
      <c r="K561">
        <v>0</v>
      </c>
      <c r="L561">
        <v>2050</v>
      </c>
      <c r="M561">
        <v>2050</v>
      </c>
      <c r="N561">
        <v>0</v>
      </c>
    </row>
    <row r="562" spans="1:14" x14ac:dyDescent="0.25">
      <c r="A562">
        <v>190.092828</v>
      </c>
      <c r="B562" s="1">
        <f>DATE(2010,11,7) + TIME(2,13,40)</f>
        <v>40489.092824074076</v>
      </c>
      <c r="C562">
        <v>80</v>
      </c>
      <c r="D562">
        <v>74.100334167</v>
      </c>
      <c r="E562">
        <v>50</v>
      </c>
      <c r="F562">
        <v>49.934726714999996</v>
      </c>
      <c r="G562">
        <v>1304.0252685999999</v>
      </c>
      <c r="H562">
        <v>1293.4726562000001</v>
      </c>
      <c r="I562">
        <v>1390.8671875</v>
      </c>
      <c r="J562">
        <v>1373.8621826000001</v>
      </c>
      <c r="K562">
        <v>0</v>
      </c>
      <c r="L562">
        <v>2050</v>
      </c>
      <c r="M562">
        <v>2050</v>
      </c>
      <c r="N562">
        <v>0</v>
      </c>
    </row>
    <row r="563" spans="1:14" x14ac:dyDescent="0.25">
      <c r="A563">
        <v>191.164331</v>
      </c>
      <c r="B563" s="1">
        <f>DATE(2010,11,8) + TIME(3,56,38)</f>
        <v>40490.1643287037</v>
      </c>
      <c r="C563">
        <v>80</v>
      </c>
      <c r="D563">
        <v>73.972511291999993</v>
      </c>
      <c r="E563">
        <v>50</v>
      </c>
      <c r="F563">
        <v>49.934833527000002</v>
      </c>
      <c r="G563">
        <v>1303.9749756000001</v>
      </c>
      <c r="H563">
        <v>1293.4143065999999</v>
      </c>
      <c r="I563">
        <v>1390.7745361</v>
      </c>
      <c r="J563">
        <v>1373.7749022999999</v>
      </c>
      <c r="K563">
        <v>0</v>
      </c>
      <c r="L563">
        <v>2050</v>
      </c>
      <c r="M563">
        <v>2050</v>
      </c>
      <c r="N563">
        <v>0</v>
      </c>
    </row>
    <row r="564" spans="1:14" x14ac:dyDescent="0.25">
      <c r="A564">
        <v>192.25596100000001</v>
      </c>
      <c r="B564" s="1">
        <f>DATE(2010,11,9) + TIME(6,8,34)</f>
        <v>40491.255949074075</v>
      </c>
      <c r="C564">
        <v>80</v>
      </c>
      <c r="D564">
        <v>73.844070435000006</v>
      </c>
      <c r="E564">
        <v>50</v>
      </c>
      <c r="F564">
        <v>49.934944153000004</v>
      </c>
      <c r="G564">
        <v>1303.9232178</v>
      </c>
      <c r="H564">
        <v>1293.3542480000001</v>
      </c>
      <c r="I564">
        <v>1390.6834716999999</v>
      </c>
      <c r="J564">
        <v>1373.6892089999999</v>
      </c>
      <c r="K564">
        <v>0</v>
      </c>
      <c r="L564">
        <v>2050</v>
      </c>
      <c r="M564">
        <v>2050</v>
      </c>
      <c r="N564">
        <v>0</v>
      </c>
    </row>
    <row r="565" spans="1:14" x14ac:dyDescent="0.25">
      <c r="A565">
        <v>193.371195</v>
      </c>
      <c r="B565" s="1">
        <f>DATE(2010,11,10) + TIME(8,54,31)</f>
        <v>40492.371192129627</v>
      </c>
      <c r="C565">
        <v>80</v>
      </c>
      <c r="D565">
        <v>73.714736938000001</v>
      </c>
      <c r="E565">
        <v>50</v>
      </c>
      <c r="F565">
        <v>49.935054778999998</v>
      </c>
      <c r="G565">
        <v>1303.8698730000001</v>
      </c>
      <c r="H565">
        <v>1293.2922363</v>
      </c>
      <c r="I565">
        <v>1390.5936279</v>
      </c>
      <c r="J565">
        <v>1373.6047363</v>
      </c>
      <c r="K565">
        <v>0</v>
      </c>
      <c r="L565">
        <v>2050</v>
      </c>
      <c r="M565">
        <v>2050</v>
      </c>
      <c r="N565">
        <v>0</v>
      </c>
    </row>
    <row r="566" spans="1:14" x14ac:dyDescent="0.25">
      <c r="A566">
        <v>194.51352900000001</v>
      </c>
      <c r="B566" s="1">
        <f>DATE(2010,11,11) + TIME(12,19,28)</f>
        <v>40493.513518518521</v>
      </c>
      <c r="C566">
        <v>80</v>
      </c>
      <c r="D566">
        <v>73.584182738999999</v>
      </c>
      <c r="E566">
        <v>50</v>
      </c>
      <c r="F566">
        <v>49.935173034999998</v>
      </c>
      <c r="G566">
        <v>1303.8146973</v>
      </c>
      <c r="H566">
        <v>1293.2277832</v>
      </c>
      <c r="I566">
        <v>1390.5046387</v>
      </c>
      <c r="J566">
        <v>1373.5211182</v>
      </c>
      <c r="K566">
        <v>0</v>
      </c>
      <c r="L566">
        <v>2050</v>
      </c>
      <c r="M566">
        <v>2050</v>
      </c>
      <c r="N566">
        <v>0</v>
      </c>
    </row>
    <row r="567" spans="1:14" x14ac:dyDescent="0.25">
      <c r="A567">
        <v>195.68807699999999</v>
      </c>
      <c r="B567" s="1">
        <f>DATE(2010,11,12) + TIME(16,30,49)</f>
        <v>40494.688067129631</v>
      </c>
      <c r="C567">
        <v>80</v>
      </c>
      <c r="D567">
        <v>73.452003478999998</v>
      </c>
      <c r="E567">
        <v>50</v>
      </c>
      <c r="F567">
        <v>49.935287475999999</v>
      </c>
      <c r="G567">
        <v>1303.7574463000001</v>
      </c>
      <c r="H567">
        <v>1293.1607666</v>
      </c>
      <c r="I567">
        <v>1390.4162598</v>
      </c>
      <c r="J567">
        <v>1373.4382324000001</v>
      </c>
      <c r="K567">
        <v>0</v>
      </c>
      <c r="L567">
        <v>2050</v>
      </c>
      <c r="M567">
        <v>2050</v>
      </c>
      <c r="N567">
        <v>0</v>
      </c>
    </row>
    <row r="568" spans="1:14" x14ac:dyDescent="0.25">
      <c r="A568">
        <v>196.90190200000001</v>
      </c>
      <c r="B568" s="1">
        <f>DATE(2010,11,13) + TIME(21,38,44)</f>
        <v>40495.901898148149</v>
      </c>
      <c r="C568">
        <v>80</v>
      </c>
      <c r="D568">
        <v>73.317649841000005</v>
      </c>
      <c r="E568">
        <v>50</v>
      </c>
      <c r="F568">
        <v>49.935409546000002</v>
      </c>
      <c r="G568">
        <v>1303.6977539</v>
      </c>
      <c r="H568">
        <v>1293.0906981999999</v>
      </c>
      <c r="I568">
        <v>1390.3283690999999</v>
      </c>
      <c r="J568">
        <v>1373.3555908000001</v>
      </c>
      <c r="K568">
        <v>0</v>
      </c>
      <c r="L568">
        <v>2050</v>
      </c>
      <c r="M568">
        <v>2050</v>
      </c>
      <c r="N568">
        <v>0</v>
      </c>
    </row>
    <row r="569" spans="1:14" x14ac:dyDescent="0.25">
      <c r="A569">
        <v>198.14435499999999</v>
      </c>
      <c r="B569" s="1">
        <f>DATE(2010,11,15) + TIME(3,27,52)</f>
        <v>40497.14435185185</v>
      </c>
      <c r="C569">
        <v>80</v>
      </c>
      <c r="D569">
        <v>73.181411742999998</v>
      </c>
      <c r="E569">
        <v>50</v>
      </c>
      <c r="F569">
        <v>49.935535430999998</v>
      </c>
      <c r="G569">
        <v>1303.6351318</v>
      </c>
      <c r="H569">
        <v>1293.0170897999999</v>
      </c>
      <c r="I569">
        <v>1390.2402344</v>
      </c>
      <c r="J569">
        <v>1373.2729492000001</v>
      </c>
      <c r="K569">
        <v>0</v>
      </c>
      <c r="L569">
        <v>2050</v>
      </c>
      <c r="M569">
        <v>2050</v>
      </c>
      <c r="N569">
        <v>0</v>
      </c>
    </row>
    <row r="570" spans="1:14" x14ac:dyDescent="0.25">
      <c r="A570">
        <v>199.39370099999999</v>
      </c>
      <c r="B570" s="1">
        <f>DATE(2010,11,16) + TIME(9,26,55)</f>
        <v>40498.393692129626</v>
      </c>
      <c r="C570">
        <v>80</v>
      </c>
      <c r="D570">
        <v>73.044616699000002</v>
      </c>
      <c r="E570">
        <v>50</v>
      </c>
      <c r="F570">
        <v>49.935661316000001</v>
      </c>
      <c r="G570">
        <v>1303.5699463000001</v>
      </c>
      <c r="H570">
        <v>1292.9404297000001</v>
      </c>
      <c r="I570">
        <v>1390.152832</v>
      </c>
      <c r="J570">
        <v>1373.1910399999999</v>
      </c>
      <c r="K570">
        <v>0</v>
      </c>
      <c r="L570">
        <v>2050</v>
      </c>
      <c r="M570">
        <v>2050</v>
      </c>
      <c r="N570">
        <v>0</v>
      </c>
    </row>
    <row r="571" spans="1:14" x14ac:dyDescent="0.25">
      <c r="A571">
        <v>200.65570299999999</v>
      </c>
      <c r="B571" s="1">
        <f>DATE(2010,11,17) + TIME(15,44,12)</f>
        <v>40499.655694444446</v>
      </c>
      <c r="C571">
        <v>80</v>
      </c>
      <c r="D571">
        <v>72.907791137999993</v>
      </c>
      <c r="E571">
        <v>50</v>
      </c>
      <c r="F571">
        <v>49.935787200999997</v>
      </c>
      <c r="G571">
        <v>1303.5035399999999</v>
      </c>
      <c r="H571">
        <v>1292.8616943</v>
      </c>
      <c r="I571">
        <v>1390.067749</v>
      </c>
      <c r="J571">
        <v>1373.1112060999999</v>
      </c>
      <c r="K571">
        <v>0</v>
      </c>
      <c r="L571">
        <v>2050</v>
      </c>
      <c r="M571">
        <v>2050</v>
      </c>
      <c r="N571">
        <v>0</v>
      </c>
    </row>
    <row r="572" spans="1:14" x14ac:dyDescent="0.25">
      <c r="A572">
        <v>201.93500499999999</v>
      </c>
      <c r="B572" s="1">
        <f>DATE(2010,11,18) + TIME(22,26,24)</f>
        <v>40500.934999999998</v>
      </c>
      <c r="C572">
        <v>80</v>
      </c>
      <c r="D572">
        <v>72.770889281999999</v>
      </c>
      <c r="E572">
        <v>50</v>
      </c>
      <c r="F572">
        <v>49.935916900999999</v>
      </c>
      <c r="G572">
        <v>1303.4351807</v>
      </c>
      <c r="H572">
        <v>1292.7805175999999</v>
      </c>
      <c r="I572">
        <v>1389.984375</v>
      </c>
      <c r="J572">
        <v>1373.0330810999999</v>
      </c>
      <c r="K572">
        <v>0</v>
      </c>
      <c r="L572">
        <v>2050</v>
      </c>
      <c r="M572">
        <v>2050</v>
      </c>
      <c r="N572">
        <v>0</v>
      </c>
    </row>
    <row r="573" spans="1:14" x14ac:dyDescent="0.25">
      <c r="A573">
        <v>203.23597599999999</v>
      </c>
      <c r="B573" s="1">
        <f>DATE(2010,11,20) + TIME(5,39,48)</f>
        <v>40502.235972222225</v>
      </c>
      <c r="C573">
        <v>80</v>
      </c>
      <c r="D573">
        <v>72.633636475000003</v>
      </c>
      <c r="E573">
        <v>50</v>
      </c>
      <c r="F573">
        <v>49.936046599999997</v>
      </c>
      <c r="G573">
        <v>1303.3648682</v>
      </c>
      <c r="H573">
        <v>1292.6967772999999</v>
      </c>
      <c r="I573">
        <v>1389.9023437999999</v>
      </c>
      <c r="J573">
        <v>1372.9561768000001</v>
      </c>
      <c r="K573">
        <v>0</v>
      </c>
      <c r="L573">
        <v>2050</v>
      </c>
      <c r="M573">
        <v>2050</v>
      </c>
      <c r="N573">
        <v>0</v>
      </c>
    </row>
    <row r="574" spans="1:14" x14ac:dyDescent="0.25">
      <c r="A574">
        <v>204.562848</v>
      </c>
      <c r="B574" s="1">
        <f>DATE(2010,11,21) + TIME(13,30,30)</f>
        <v>40503.562847222223</v>
      </c>
      <c r="C574">
        <v>80</v>
      </c>
      <c r="D574">
        <v>72.495697020999998</v>
      </c>
      <c r="E574">
        <v>50</v>
      </c>
      <c r="F574">
        <v>49.9361763</v>
      </c>
      <c r="G574">
        <v>1303.2922363</v>
      </c>
      <c r="H574">
        <v>1292.6097411999999</v>
      </c>
      <c r="I574">
        <v>1389.8214111</v>
      </c>
      <c r="J574">
        <v>1372.8804932</v>
      </c>
      <c r="K574">
        <v>0</v>
      </c>
      <c r="L574">
        <v>2050</v>
      </c>
      <c r="M574">
        <v>2050</v>
      </c>
      <c r="N574">
        <v>0</v>
      </c>
    </row>
    <row r="575" spans="1:14" x14ac:dyDescent="0.25">
      <c r="A575">
        <v>205.91988799999999</v>
      </c>
      <c r="B575" s="1">
        <f>DATE(2010,11,22) + TIME(22,4,38)</f>
        <v>40504.91988425926</v>
      </c>
      <c r="C575">
        <v>80</v>
      </c>
      <c r="D575">
        <v>72.356681824000006</v>
      </c>
      <c r="E575">
        <v>50</v>
      </c>
      <c r="F575">
        <v>49.936313628999997</v>
      </c>
      <c r="G575">
        <v>1303.2167969</v>
      </c>
      <c r="H575">
        <v>1292.5191649999999</v>
      </c>
      <c r="I575">
        <v>1389.7413329999999</v>
      </c>
      <c r="J575">
        <v>1372.8055420000001</v>
      </c>
      <c r="K575">
        <v>0</v>
      </c>
      <c r="L575">
        <v>2050</v>
      </c>
      <c r="M575">
        <v>2050</v>
      </c>
      <c r="N575">
        <v>0</v>
      </c>
    </row>
    <row r="576" spans="1:14" x14ac:dyDescent="0.25">
      <c r="A576">
        <v>207.31457499999999</v>
      </c>
      <c r="B576" s="1">
        <f>DATE(2010,11,24) + TIME(7,32,59)</f>
        <v>40506.314571759256</v>
      </c>
      <c r="C576">
        <v>80</v>
      </c>
      <c r="D576">
        <v>72.216072083</v>
      </c>
      <c r="E576">
        <v>50</v>
      </c>
      <c r="F576">
        <v>49.936450958000002</v>
      </c>
      <c r="G576">
        <v>1303.1383057</v>
      </c>
      <c r="H576">
        <v>1292.4246826000001</v>
      </c>
      <c r="I576">
        <v>1389.6618652</v>
      </c>
      <c r="J576">
        <v>1372.7312012</v>
      </c>
      <c r="K576">
        <v>0</v>
      </c>
      <c r="L576">
        <v>2050</v>
      </c>
      <c r="M576">
        <v>2050</v>
      </c>
      <c r="N576">
        <v>0</v>
      </c>
    </row>
    <row r="577" spans="1:14" x14ac:dyDescent="0.25">
      <c r="A577">
        <v>208.75540899999999</v>
      </c>
      <c r="B577" s="1">
        <f>DATE(2010,11,25) + TIME(18,7,47)</f>
        <v>40507.75540509259</v>
      </c>
      <c r="C577">
        <v>80</v>
      </c>
      <c r="D577">
        <v>72.073196410999998</v>
      </c>
      <c r="E577">
        <v>50</v>
      </c>
      <c r="F577">
        <v>49.936595916999998</v>
      </c>
      <c r="G577">
        <v>1303.0562743999999</v>
      </c>
      <c r="H577">
        <v>1292.3254394999999</v>
      </c>
      <c r="I577">
        <v>1389.5825195</v>
      </c>
      <c r="J577">
        <v>1372.6569824000001</v>
      </c>
      <c r="K577">
        <v>0</v>
      </c>
      <c r="L577">
        <v>2050</v>
      </c>
      <c r="M577">
        <v>2050</v>
      </c>
      <c r="N577">
        <v>0</v>
      </c>
    </row>
    <row r="578" spans="1:14" x14ac:dyDescent="0.25">
      <c r="A578">
        <v>210.22845000000001</v>
      </c>
      <c r="B578" s="1">
        <f>DATE(2010,11,27) + TIME(5,28,58)</f>
        <v>40509.228449074071</v>
      </c>
      <c r="C578">
        <v>80</v>
      </c>
      <c r="D578">
        <v>71.928268433</v>
      </c>
      <c r="E578">
        <v>50</v>
      </c>
      <c r="F578">
        <v>49.936740874999998</v>
      </c>
      <c r="G578">
        <v>1302.9699707</v>
      </c>
      <c r="H578">
        <v>1292.2208252</v>
      </c>
      <c r="I578">
        <v>1389.5030518000001</v>
      </c>
      <c r="J578">
        <v>1372.5826416</v>
      </c>
      <c r="K578">
        <v>0</v>
      </c>
      <c r="L578">
        <v>2050</v>
      </c>
      <c r="M578">
        <v>2050</v>
      </c>
      <c r="N578">
        <v>0</v>
      </c>
    </row>
    <row r="579" spans="1:14" x14ac:dyDescent="0.25">
      <c r="A579">
        <v>211.7114</v>
      </c>
      <c r="B579" s="1">
        <f>DATE(2010,11,28) + TIME(17,4,24)</f>
        <v>40510.711388888885</v>
      </c>
      <c r="C579">
        <v>80</v>
      </c>
      <c r="D579">
        <v>71.782508849999999</v>
      </c>
      <c r="E579">
        <v>50</v>
      </c>
      <c r="F579">
        <v>49.936889647999998</v>
      </c>
      <c r="G579">
        <v>1302.8798827999999</v>
      </c>
      <c r="H579">
        <v>1292.1113281</v>
      </c>
      <c r="I579">
        <v>1389.4240723</v>
      </c>
      <c r="J579">
        <v>1372.5089111</v>
      </c>
      <c r="K579">
        <v>0</v>
      </c>
      <c r="L579">
        <v>2050</v>
      </c>
      <c r="M579">
        <v>2050</v>
      </c>
      <c r="N579">
        <v>0</v>
      </c>
    </row>
    <row r="580" spans="1:14" x14ac:dyDescent="0.25">
      <c r="A580">
        <v>213.20921799999999</v>
      </c>
      <c r="B580" s="1">
        <f>DATE(2010,11,30) + TIME(5,1,16)</f>
        <v>40512.20921296296</v>
      </c>
      <c r="C580">
        <v>80</v>
      </c>
      <c r="D580">
        <v>71.636566161999994</v>
      </c>
      <c r="E580">
        <v>50</v>
      </c>
      <c r="F580">
        <v>49.937034607000001</v>
      </c>
      <c r="G580">
        <v>1302.7874756000001</v>
      </c>
      <c r="H580">
        <v>1291.9982910000001</v>
      </c>
      <c r="I580">
        <v>1389.3470459</v>
      </c>
      <c r="J580">
        <v>1372.4368896000001</v>
      </c>
      <c r="K580">
        <v>0</v>
      </c>
      <c r="L580">
        <v>2050</v>
      </c>
      <c r="M580">
        <v>2050</v>
      </c>
      <c r="N580">
        <v>0</v>
      </c>
    </row>
    <row r="581" spans="1:14" x14ac:dyDescent="0.25">
      <c r="A581">
        <v>214</v>
      </c>
      <c r="B581" s="1">
        <f>DATE(2010,12,1) + TIME(0,0,0)</f>
        <v>40513</v>
      </c>
      <c r="C581">
        <v>80</v>
      </c>
      <c r="D581">
        <v>71.530616760000001</v>
      </c>
      <c r="E581">
        <v>50</v>
      </c>
      <c r="F581">
        <v>49.937107085999997</v>
      </c>
      <c r="G581">
        <v>1302.6921387</v>
      </c>
      <c r="H581">
        <v>1291.8862305</v>
      </c>
      <c r="I581">
        <v>1389.2707519999999</v>
      </c>
      <c r="J581">
        <v>1372.3656006000001</v>
      </c>
      <c r="K581">
        <v>0</v>
      </c>
      <c r="L581">
        <v>2050</v>
      </c>
      <c r="M581">
        <v>2050</v>
      </c>
      <c r="N581">
        <v>0</v>
      </c>
    </row>
    <row r="582" spans="1:14" x14ac:dyDescent="0.25">
      <c r="A582">
        <v>215.517797</v>
      </c>
      <c r="B582" s="1">
        <f>DATE(2010,12,2) + TIME(12,25,37)</f>
        <v>40514.517789351848</v>
      </c>
      <c r="C582">
        <v>80</v>
      </c>
      <c r="D582">
        <v>71.402076721</v>
      </c>
      <c r="E582">
        <v>50</v>
      </c>
      <c r="F582">
        <v>49.937263489000003</v>
      </c>
      <c r="G582">
        <v>1302.6390381000001</v>
      </c>
      <c r="H582">
        <v>1291.8135986</v>
      </c>
      <c r="I582">
        <v>1389.2322998</v>
      </c>
      <c r="J582">
        <v>1372.3297118999999</v>
      </c>
      <c r="K582">
        <v>0</v>
      </c>
      <c r="L582">
        <v>2050</v>
      </c>
      <c r="M582">
        <v>2050</v>
      </c>
      <c r="N582">
        <v>0</v>
      </c>
    </row>
    <row r="583" spans="1:14" x14ac:dyDescent="0.25">
      <c r="A583">
        <v>217.077011</v>
      </c>
      <c r="B583" s="1">
        <f>DATE(2010,12,4) + TIME(1,50,53)</f>
        <v>40516.077002314814</v>
      </c>
      <c r="C583">
        <v>80</v>
      </c>
      <c r="D583">
        <v>71.262481688999998</v>
      </c>
      <c r="E583">
        <v>50</v>
      </c>
      <c r="F583">
        <v>49.937416077000002</v>
      </c>
      <c r="G583">
        <v>1302.5407714999999</v>
      </c>
      <c r="H583">
        <v>1291.6934814000001</v>
      </c>
      <c r="I583">
        <v>1389.1590576000001</v>
      </c>
      <c r="J583">
        <v>1372.2613524999999</v>
      </c>
      <c r="K583">
        <v>0</v>
      </c>
      <c r="L583">
        <v>2050</v>
      </c>
      <c r="M583">
        <v>2050</v>
      </c>
      <c r="N583">
        <v>0</v>
      </c>
    </row>
    <row r="584" spans="1:14" x14ac:dyDescent="0.25">
      <c r="A584">
        <v>218.669659</v>
      </c>
      <c r="B584" s="1">
        <f>DATE(2010,12,5) + TIME(16,4,18)</f>
        <v>40517.669652777775</v>
      </c>
      <c r="C584">
        <v>80</v>
      </c>
      <c r="D584">
        <v>71.117088318</v>
      </c>
      <c r="E584">
        <v>50</v>
      </c>
      <c r="F584">
        <v>49.937572479000004</v>
      </c>
      <c r="G584">
        <v>1302.4370117000001</v>
      </c>
      <c r="H584">
        <v>1291.5653076000001</v>
      </c>
      <c r="I584">
        <v>1389.0858154</v>
      </c>
      <c r="J584">
        <v>1372.1931152</v>
      </c>
      <c r="K584">
        <v>0</v>
      </c>
      <c r="L584">
        <v>2050</v>
      </c>
      <c r="M584">
        <v>2050</v>
      </c>
      <c r="N584">
        <v>0</v>
      </c>
    </row>
    <row r="585" spans="1:14" x14ac:dyDescent="0.25">
      <c r="A585">
        <v>220.30176299999999</v>
      </c>
      <c r="B585" s="1">
        <f>DATE(2010,12,7) + TIME(7,14,32)</f>
        <v>40519.301759259259</v>
      </c>
      <c r="C585">
        <v>80</v>
      </c>
      <c r="D585">
        <v>70.968032836999996</v>
      </c>
      <c r="E585">
        <v>50</v>
      </c>
      <c r="F585">
        <v>49.937732697000001</v>
      </c>
      <c r="G585">
        <v>1302.3286132999999</v>
      </c>
      <c r="H585">
        <v>1291.4305420000001</v>
      </c>
      <c r="I585">
        <v>1389.0130615</v>
      </c>
      <c r="J585">
        <v>1372.1252440999999</v>
      </c>
      <c r="K585">
        <v>0</v>
      </c>
      <c r="L585">
        <v>2050</v>
      </c>
      <c r="M585">
        <v>2050</v>
      </c>
      <c r="N585">
        <v>0</v>
      </c>
    </row>
    <row r="586" spans="1:14" x14ac:dyDescent="0.25">
      <c r="A586">
        <v>221.97742400000001</v>
      </c>
      <c r="B586" s="1">
        <f>DATE(2010,12,8) + TIME(23,27,29)</f>
        <v>40520.977418981478</v>
      </c>
      <c r="C586">
        <v>80</v>
      </c>
      <c r="D586">
        <v>70.815933228000006</v>
      </c>
      <c r="E586">
        <v>50</v>
      </c>
      <c r="F586">
        <v>49.937892914000003</v>
      </c>
      <c r="G586">
        <v>1302.2150879000001</v>
      </c>
      <c r="H586">
        <v>1291.2888184000001</v>
      </c>
      <c r="I586">
        <v>1388.9406738</v>
      </c>
      <c r="J586">
        <v>1372.0577393000001</v>
      </c>
      <c r="K586">
        <v>0</v>
      </c>
      <c r="L586">
        <v>2050</v>
      </c>
      <c r="M586">
        <v>2050</v>
      </c>
      <c r="N586">
        <v>0</v>
      </c>
    </row>
    <row r="587" spans="1:14" x14ac:dyDescent="0.25">
      <c r="A587">
        <v>223.67298400000001</v>
      </c>
      <c r="B587" s="1">
        <f>DATE(2010,12,10) + TIME(16,9,5)</f>
        <v>40522.672974537039</v>
      </c>
      <c r="C587">
        <v>80</v>
      </c>
      <c r="D587">
        <v>70.661758422999995</v>
      </c>
      <c r="E587">
        <v>50</v>
      </c>
      <c r="F587">
        <v>49.938056946000003</v>
      </c>
      <c r="G587">
        <v>1302.0960693</v>
      </c>
      <c r="H587">
        <v>1291.1395264</v>
      </c>
      <c r="I587">
        <v>1388.8685303</v>
      </c>
      <c r="J587">
        <v>1371.9903564000001</v>
      </c>
      <c r="K587">
        <v>0</v>
      </c>
      <c r="L587">
        <v>2050</v>
      </c>
      <c r="M587">
        <v>2050</v>
      </c>
      <c r="N587">
        <v>0</v>
      </c>
    </row>
    <row r="588" spans="1:14" x14ac:dyDescent="0.25">
      <c r="A588">
        <v>225.380109</v>
      </c>
      <c r="B588" s="1">
        <f>DATE(2010,12,12) + TIME(9,7,21)</f>
        <v>40524.380104166667</v>
      </c>
      <c r="C588">
        <v>80</v>
      </c>
      <c r="D588">
        <v>70.506607056000007</v>
      </c>
      <c r="E588">
        <v>50</v>
      </c>
      <c r="F588">
        <v>49.938220977999997</v>
      </c>
      <c r="G588">
        <v>1301.9729004000001</v>
      </c>
      <c r="H588">
        <v>1290.9844971</v>
      </c>
      <c r="I588">
        <v>1388.7973632999999</v>
      </c>
      <c r="J588">
        <v>1371.9241943</v>
      </c>
      <c r="K588">
        <v>0</v>
      </c>
      <c r="L588">
        <v>2050</v>
      </c>
      <c r="M588">
        <v>2050</v>
      </c>
      <c r="N588">
        <v>0</v>
      </c>
    </row>
    <row r="589" spans="1:14" x14ac:dyDescent="0.25">
      <c r="A589">
        <v>227.108047</v>
      </c>
      <c r="B589" s="1">
        <f>DATE(2010,12,14) + TIME(2,35,35)</f>
        <v>40526.108043981483</v>
      </c>
      <c r="C589">
        <v>80</v>
      </c>
      <c r="D589">
        <v>70.350715636999993</v>
      </c>
      <c r="E589">
        <v>50</v>
      </c>
      <c r="F589">
        <v>49.938388824</v>
      </c>
      <c r="G589">
        <v>1301.8461914</v>
      </c>
      <c r="H589">
        <v>1290.8240966999999</v>
      </c>
      <c r="I589">
        <v>1388.7277832</v>
      </c>
      <c r="J589">
        <v>1371.859375</v>
      </c>
      <c r="K589">
        <v>0</v>
      </c>
      <c r="L589">
        <v>2050</v>
      </c>
      <c r="M589">
        <v>2050</v>
      </c>
      <c r="N589">
        <v>0</v>
      </c>
    </row>
    <row r="590" spans="1:14" x14ac:dyDescent="0.25">
      <c r="A590">
        <v>228.86042</v>
      </c>
      <c r="B590" s="1">
        <f>DATE(2010,12,15) + TIME(20,39,0)</f>
        <v>40527.86041666667</v>
      </c>
      <c r="C590">
        <v>80</v>
      </c>
      <c r="D590">
        <v>70.193748474000003</v>
      </c>
      <c r="E590">
        <v>50</v>
      </c>
      <c r="F590">
        <v>49.938556671000001</v>
      </c>
      <c r="G590">
        <v>1301.7150879000001</v>
      </c>
      <c r="H590">
        <v>1290.6575928</v>
      </c>
      <c r="I590">
        <v>1388.6593018000001</v>
      </c>
      <c r="J590">
        <v>1371.7955322</v>
      </c>
      <c r="K590">
        <v>0</v>
      </c>
      <c r="L590">
        <v>2050</v>
      </c>
      <c r="M590">
        <v>2050</v>
      </c>
      <c r="N590">
        <v>0</v>
      </c>
    </row>
    <row r="591" spans="1:14" x14ac:dyDescent="0.25">
      <c r="A591">
        <v>230.64416900000001</v>
      </c>
      <c r="B591" s="1">
        <f>DATE(2010,12,17) + TIME(15,27,36)</f>
        <v>40529.644166666665</v>
      </c>
      <c r="C591">
        <v>80</v>
      </c>
      <c r="D591">
        <v>70.035255432</v>
      </c>
      <c r="E591">
        <v>50</v>
      </c>
      <c r="F591">
        <v>49.938728333</v>
      </c>
      <c r="G591">
        <v>1301.5793457</v>
      </c>
      <c r="H591">
        <v>1290.4844971</v>
      </c>
      <c r="I591">
        <v>1388.5917969</v>
      </c>
      <c r="J591">
        <v>1371.7326660000001</v>
      </c>
      <c r="K591">
        <v>0</v>
      </c>
      <c r="L591">
        <v>2050</v>
      </c>
      <c r="M591">
        <v>2050</v>
      </c>
      <c r="N591">
        <v>0</v>
      </c>
    </row>
    <row r="592" spans="1:14" x14ac:dyDescent="0.25">
      <c r="A592">
        <v>232.46501900000001</v>
      </c>
      <c r="B592" s="1">
        <f>DATE(2010,12,19) + TIME(11,9,37)</f>
        <v>40531.465011574073</v>
      </c>
      <c r="C592">
        <v>80</v>
      </c>
      <c r="D592">
        <v>69.874473571999999</v>
      </c>
      <c r="E592">
        <v>50</v>
      </c>
      <c r="F592">
        <v>49.938899994000003</v>
      </c>
      <c r="G592">
        <v>1301.4383545000001</v>
      </c>
      <c r="H592">
        <v>1290.3037108999999</v>
      </c>
      <c r="I592">
        <v>1388.5247803</v>
      </c>
      <c r="J592">
        <v>1371.6702881000001</v>
      </c>
      <c r="K592">
        <v>0</v>
      </c>
      <c r="L592">
        <v>2050</v>
      </c>
      <c r="M592">
        <v>2050</v>
      </c>
      <c r="N592">
        <v>0</v>
      </c>
    </row>
    <row r="593" spans="1:14" x14ac:dyDescent="0.25">
      <c r="A593">
        <v>234.328079</v>
      </c>
      <c r="B593" s="1">
        <f>DATE(2010,12,21) + TIME(7,52,25)</f>
        <v>40533.328067129631</v>
      </c>
      <c r="C593">
        <v>80</v>
      </c>
      <c r="D593">
        <v>69.710838318</v>
      </c>
      <c r="E593">
        <v>50</v>
      </c>
      <c r="F593">
        <v>49.939075469999999</v>
      </c>
      <c r="G593">
        <v>1301.2912598</v>
      </c>
      <c r="H593">
        <v>1290.1145019999999</v>
      </c>
      <c r="I593">
        <v>1388.4582519999999</v>
      </c>
      <c r="J593">
        <v>1371.6083983999999</v>
      </c>
      <c r="K593">
        <v>0</v>
      </c>
      <c r="L593">
        <v>2050</v>
      </c>
      <c r="M593">
        <v>2050</v>
      </c>
      <c r="N593">
        <v>0</v>
      </c>
    </row>
    <row r="594" spans="1:14" x14ac:dyDescent="0.25">
      <c r="A594">
        <v>236.24080599999999</v>
      </c>
      <c r="B594" s="1">
        <f>DATE(2010,12,23) + TIME(5,46,45)</f>
        <v>40535.240798611114</v>
      </c>
      <c r="C594">
        <v>80</v>
      </c>
      <c r="D594">
        <v>69.543640136999997</v>
      </c>
      <c r="E594">
        <v>50</v>
      </c>
      <c r="F594">
        <v>49.939258574999997</v>
      </c>
      <c r="G594">
        <v>1301.1374512</v>
      </c>
      <c r="H594">
        <v>1289.9161377</v>
      </c>
      <c r="I594">
        <v>1388.3920897999999</v>
      </c>
      <c r="J594">
        <v>1371.5467529</v>
      </c>
      <c r="K594">
        <v>0</v>
      </c>
      <c r="L594">
        <v>2050</v>
      </c>
      <c r="M594">
        <v>2050</v>
      </c>
      <c r="N594">
        <v>0</v>
      </c>
    </row>
    <row r="595" spans="1:14" x14ac:dyDescent="0.25">
      <c r="A595">
        <v>238.17381499999999</v>
      </c>
      <c r="B595" s="1">
        <f>DATE(2010,12,25) + TIME(4,10,17)</f>
        <v>40537.173807870371</v>
      </c>
      <c r="C595">
        <v>80</v>
      </c>
      <c r="D595">
        <v>69.373184203999998</v>
      </c>
      <c r="E595">
        <v>50</v>
      </c>
      <c r="F595">
        <v>49.939437865999999</v>
      </c>
      <c r="G595">
        <v>1300.9763184000001</v>
      </c>
      <c r="H595">
        <v>1289.7073975000001</v>
      </c>
      <c r="I595">
        <v>1388.3258057</v>
      </c>
      <c r="J595">
        <v>1371.4852295000001</v>
      </c>
      <c r="K595">
        <v>0</v>
      </c>
      <c r="L595">
        <v>2050</v>
      </c>
      <c r="M595">
        <v>2050</v>
      </c>
      <c r="N595">
        <v>0</v>
      </c>
    </row>
    <row r="596" spans="1:14" x14ac:dyDescent="0.25">
      <c r="A596">
        <v>240.12394599999999</v>
      </c>
      <c r="B596" s="1">
        <f>DATE(2010,12,27) + TIME(2,58,28)</f>
        <v>40539.123935185184</v>
      </c>
      <c r="C596">
        <v>80</v>
      </c>
      <c r="D596">
        <v>69.200302124000004</v>
      </c>
      <c r="E596">
        <v>50</v>
      </c>
      <c r="F596">
        <v>49.939620972</v>
      </c>
      <c r="G596">
        <v>1300.8098144999999</v>
      </c>
      <c r="H596">
        <v>1289.4907227000001</v>
      </c>
      <c r="I596">
        <v>1388.2607422000001</v>
      </c>
      <c r="J596">
        <v>1371.4245605000001</v>
      </c>
      <c r="K596">
        <v>0</v>
      </c>
      <c r="L596">
        <v>2050</v>
      </c>
      <c r="M596">
        <v>2050</v>
      </c>
      <c r="N596">
        <v>0</v>
      </c>
    </row>
    <row r="597" spans="1:14" x14ac:dyDescent="0.25">
      <c r="A597">
        <v>242.09492900000001</v>
      </c>
      <c r="B597" s="1">
        <f>DATE(2010,12,29) + TIME(2,16,41)</f>
        <v>40541.094918981478</v>
      </c>
      <c r="C597">
        <v>80</v>
      </c>
      <c r="D597">
        <v>69.025062560999999</v>
      </c>
      <c r="E597">
        <v>50</v>
      </c>
      <c r="F597">
        <v>49.939804076999998</v>
      </c>
      <c r="G597">
        <v>1300.6379394999999</v>
      </c>
      <c r="H597">
        <v>1289.2661132999999</v>
      </c>
      <c r="I597">
        <v>1388.1967772999999</v>
      </c>
      <c r="J597">
        <v>1371.3651123</v>
      </c>
      <c r="K597">
        <v>0</v>
      </c>
      <c r="L597">
        <v>2050</v>
      </c>
      <c r="M597">
        <v>2050</v>
      </c>
      <c r="N597">
        <v>0</v>
      </c>
    </row>
    <row r="598" spans="1:14" x14ac:dyDescent="0.25">
      <c r="A598">
        <v>244.09548599999999</v>
      </c>
      <c r="B598" s="1">
        <f>DATE(2010,12,31) + TIME(2,17,29)</f>
        <v>40543.09547453704</v>
      </c>
      <c r="C598">
        <v>80</v>
      </c>
      <c r="D598">
        <v>68.846961974999999</v>
      </c>
      <c r="E598">
        <v>50</v>
      </c>
      <c r="F598">
        <v>49.939987183</v>
      </c>
      <c r="G598">
        <v>1300.4605713000001</v>
      </c>
      <c r="H598">
        <v>1289.0334473</v>
      </c>
      <c r="I598">
        <v>1388.1337891000001</v>
      </c>
      <c r="J598">
        <v>1371.3065185999999</v>
      </c>
      <c r="K598">
        <v>0</v>
      </c>
      <c r="L598">
        <v>2050</v>
      </c>
      <c r="M598">
        <v>2050</v>
      </c>
      <c r="N598">
        <v>0</v>
      </c>
    </row>
    <row r="599" spans="1:14" x14ac:dyDescent="0.25">
      <c r="A599">
        <v>245</v>
      </c>
      <c r="B599" s="1">
        <f>DATE(2011,1,1) + TIME(0,0,0)</f>
        <v>40544</v>
      </c>
      <c r="C599">
        <v>80</v>
      </c>
      <c r="D599">
        <v>68.719367981000005</v>
      </c>
      <c r="E599">
        <v>50</v>
      </c>
      <c r="F599">
        <v>49.940067290999998</v>
      </c>
      <c r="G599">
        <v>1300.2810059000001</v>
      </c>
      <c r="H599">
        <v>1288.8066406</v>
      </c>
      <c r="I599">
        <v>1388.0705565999999</v>
      </c>
      <c r="J599">
        <v>1371.2476807</v>
      </c>
      <c r="K599">
        <v>0</v>
      </c>
      <c r="L599">
        <v>2050</v>
      </c>
      <c r="M599">
        <v>2050</v>
      </c>
      <c r="N599">
        <v>0</v>
      </c>
    </row>
    <row r="600" spans="1:14" x14ac:dyDescent="0.25">
      <c r="A600">
        <v>247.03679299999999</v>
      </c>
      <c r="B600" s="1">
        <f>DATE(2011,1,3) + TIME(0,52,58)</f>
        <v>40546.036782407406</v>
      </c>
      <c r="C600">
        <v>80</v>
      </c>
      <c r="D600">
        <v>68.566947936999995</v>
      </c>
      <c r="E600">
        <v>50</v>
      </c>
      <c r="F600">
        <v>49.940258026000002</v>
      </c>
      <c r="G600">
        <v>1300.1848144999999</v>
      </c>
      <c r="H600">
        <v>1288.6650391000001</v>
      </c>
      <c r="I600">
        <v>1388.0437012</v>
      </c>
      <c r="J600">
        <v>1371.2229004000001</v>
      </c>
      <c r="K600">
        <v>0</v>
      </c>
      <c r="L600">
        <v>2050</v>
      </c>
      <c r="M600">
        <v>2050</v>
      </c>
      <c r="N600">
        <v>0</v>
      </c>
    </row>
    <row r="601" spans="1:14" x14ac:dyDescent="0.25">
      <c r="A601">
        <v>249.13762800000001</v>
      </c>
      <c r="B601" s="1">
        <f>DATE(2011,1,5) + TIME(3,18,11)</f>
        <v>40548.137627314813</v>
      </c>
      <c r="C601">
        <v>80</v>
      </c>
      <c r="D601">
        <v>68.389419556000007</v>
      </c>
      <c r="E601">
        <v>50</v>
      </c>
      <c r="F601">
        <v>49.940452575999998</v>
      </c>
      <c r="G601">
        <v>1299.9970702999999</v>
      </c>
      <c r="H601">
        <v>1288.4194336</v>
      </c>
      <c r="I601">
        <v>1387.9826660000001</v>
      </c>
      <c r="J601">
        <v>1371.1661377</v>
      </c>
      <c r="K601">
        <v>0</v>
      </c>
      <c r="L601">
        <v>2050</v>
      </c>
      <c r="M601">
        <v>2050</v>
      </c>
      <c r="N601">
        <v>0</v>
      </c>
    </row>
    <row r="602" spans="1:14" x14ac:dyDescent="0.25">
      <c r="A602">
        <v>251.29193100000001</v>
      </c>
      <c r="B602" s="1">
        <f>DATE(2011,1,7) + TIME(7,0,22)</f>
        <v>40550.291921296295</v>
      </c>
      <c r="C602">
        <v>80</v>
      </c>
      <c r="D602">
        <v>68.198326111</v>
      </c>
      <c r="E602">
        <v>50</v>
      </c>
      <c r="F602">
        <v>49.940647124999998</v>
      </c>
      <c r="G602">
        <v>1299.7960204999999</v>
      </c>
      <c r="H602">
        <v>1288.1531981999999</v>
      </c>
      <c r="I602">
        <v>1387.9211425999999</v>
      </c>
      <c r="J602">
        <v>1371.1090088000001</v>
      </c>
      <c r="K602">
        <v>0</v>
      </c>
      <c r="L602">
        <v>2050</v>
      </c>
      <c r="M602">
        <v>2050</v>
      </c>
      <c r="N602">
        <v>0</v>
      </c>
    </row>
    <row r="603" spans="1:14" x14ac:dyDescent="0.25">
      <c r="A603">
        <v>253.475705</v>
      </c>
      <c r="B603" s="1">
        <f>DATE(2011,1,9) + TIME(11,25,0)</f>
        <v>40552.475694444445</v>
      </c>
      <c r="C603">
        <v>80</v>
      </c>
      <c r="D603">
        <v>67.998413085999999</v>
      </c>
      <c r="E603">
        <v>50</v>
      </c>
      <c r="F603">
        <v>49.940845490000001</v>
      </c>
      <c r="G603">
        <v>1299.5845947</v>
      </c>
      <c r="H603">
        <v>1287.8714600000001</v>
      </c>
      <c r="I603">
        <v>1387.8596190999999</v>
      </c>
      <c r="J603">
        <v>1371.0518798999999</v>
      </c>
      <c r="K603">
        <v>0</v>
      </c>
      <c r="L603">
        <v>2050</v>
      </c>
      <c r="M603">
        <v>2050</v>
      </c>
      <c r="N603">
        <v>0</v>
      </c>
    </row>
    <row r="604" spans="1:14" x14ac:dyDescent="0.25">
      <c r="A604">
        <v>255.67114599999999</v>
      </c>
      <c r="B604" s="1">
        <f>DATE(2011,1,11) + TIME(16,6,27)</f>
        <v>40554.67114583333</v>
      </c>
      <c r="C604">
        <v>80</v>
      </c>
      <c r="D604">
        <v>67.792289733999993</v>
      </c>
      <c r="E604">
        <v>50</v>
      </c>
      <c r="F604">
        <v>49.941040039000001</v>
      </c>
      <c r="G604">
        <v>1299.3653564000001</v>
      </c>
      <c r="H604">
        <v>1287.5780029</v>
      </c>
      <c r="I604">
        <v>1387.7988281</v>
      </c>
      <c r="J604">
        <v>1370.9953613</v>
      </c>
      <c r="K604">
        <v>0</v>
      </c>
      <c r="L604">
        <v>2050</v>
      </c>
      <c r="M604">
        <v>2050</v>
      </c>
      <c r="N604">
        <v>0</v>
      </c>
    </row>
    <row r="605" spans="1:14" x14ac:dyDescent="0.25">
      <c r="A605">
        <v>257.88366400000001</v>
      </c>
      <c r="B605" s="1">
        <f>DATE(2011,1,13) + TIME(21,12,28)</f>
        <v>40556.883657407408</v>
      </c>
      <c r="C605">
        <v>80</v>
      </c>
      <c r="D605">
        <v>67.580986022999994</v>
      </c>
      <c r="E605">
        <v>50</v>
      </c>
      <c r="F605">
        <v>49.941238403</v>
      </c>
      <c r="G605">
        <v>1299.1400146000001</v>
      </c>
      <c r="H605">
        <v>1287.2749022999999</v>
      </c>
      <c r="I605">
        <v>1387.7392577999999</v>
      </c>
      <c r="J605">
        <v>1370.9400635</v>
      </c>
      <c r="K605">
        <v>0</v>
      </c>
      <c r="L605">
        <v>2050</v>
      </c>
      <c r="M605">
        <v>2050</v>
      </c>
      <c r="N605">
        <v>0</v>
      </c>
    </row>
    <row r="606" spans="1:14" x14ac:dyDescent="0.25">
      <c r="A606">
        <v>260.12544200000002</v>
      </c>
      <c r="B606" s="1">
        <f>DATE(2011,1,16) + TIME(3,0,38)</f>
        <v>40559.125439814816</v>
      </c>
      <c r="C606">
        <v>80</v>
      </c>
      <c r="D606">
        <v>67.363945006999998</v>
      </c>
      <c r="E606">
        <v>50</v>
      </c>
      <c r="F606">
        <v>49.941436768000003</v>
      </c>
      <c r="G606">
        <v>1298.9085693</v>
      </c>
      <c r="H606">
        <v>1286.9622803</v>
      </c>
      <c r="I606">
        <v>1387.6806641000001</v>
      </c>
      <c r="J606">
        <v>1370.8856201000001</v>
      </c>
      <c r="K606">
        <v>0</v>
      </c>
      <c r="L606">
        <v>2050</v>
      </c>
      <c r="M606">
        <v>2050</v>
      </c>
      <c r="N606">
        <v>0</v>
      </c>
    </row>
    <row r="607" spans="1:14" x14ac:dyDescent="0.25">
      <c r="A607">
        <v>262.40771799999999</v>
      </c>
      <c r="B607" s="1">
        <f>DATE(2011,1,18) + TIME(9,47,6)</f>
        <v>40561.407708333332</v>
      </c>
      <c r="C607">
        <v>80</v>
      </c>
      <c r="D607">
        <v>67.139854431000003</v>
      </c>
      <c r="E607">
        <v>50</v>
      </c>
      <c r="F607">
        <v>49.941638947000001</v>
      </c>
      <c r="G607">
        <v>1298.6695557</v>
      </c>
      <c r="H607">
        <v>1286.6381836</v>
      </c>
      <c r="I607">
        <v>1387.6225586</v>
      </c>
      <c r="J607">
        <v>1370.8317870999999</v>
      </c>
      <c r="K607">
        <v>0</v>
      </c>
      <c r="L607">
        <v>2050</v>
      </c>
      <c r="M607">
        <v>2050</v>
      </c>
      <c r="N607">
        <v>0</v>
      </c>
    </row>
    <row r="608" spans="1:14" x14ac:dyDescent="0.25">
      <c r="A608">
        <v>264.73428799999999</v>
      </c>
      <c r="B608" s="1">
        <f>DATE(2011,1,20) + TIME(17,37,22)</f>
        <v>40563.734282407408</v>
      </c>
      <c r="C608">
        <v>80</v>
      </c>
      <c r="D608">
        <v>66.907356261999993</v>
      </c>
      <c r="E608">
        <v>50</v>
      </c>
      <c r="F608">
        <v>49.941841125000003</v>
      </c>
      <c r="G608">
        <v>1298.4219971</v>
      </c>
      <c r="H608">
        <v>1286.3012695</v>
      </c>
      <c r="I608">
        <v>1387.5649414</v>
      </c>
      <c r="J608">
        <v>1370.7781981999999</v>
      </c>
      <c r="K608">
        <v>0</v>
      </c>
      <c r="L608">
        <v>2050</v>
      </c>
      <c r="M608">
        <v>2050</v>
      </c>
      <c r="N608">
        <v>0</v>
      </c>
    </row>
    <row r="609" spans="1:14" x14ac:dyDescent="0.25">
      <c r="A609">
        <v>267.11459300000001</v>
      </c>
      <c r="B609" s="1">
        <f>DATE(2011,1,23) + TIME(2,45,0)</f>
        <v>40566.114583333336</v>
      </c>
      <c r="C609">
        <v>80</v>
      </c>
      <c r="D609">
        <v>66.665077209000003</v>
      </c>
      <c r="E609">
        <v>50</v>
      </c>
      <c r="F609">
        <v>49.942047119000001</v>
      </c>
      <c r="G609">
        <v>1298.1650391000001</v>
      </c>
      <c r="H609">
        <v>1285.9501952999999</v>
      </c>
      <c r="I609">
        <v>1387.5074463000001</v>
      </c>
      <c r="J609">
        <v>1370.7249756000001</v>
      </c>
      <c r="K609">
        <v>0</v>
      </c>
      <c r="L609">
        <v>2050</v>
      </c>
      <c r="M609">
        <v>2050</v>
      </c>
      <c r="N609">
        <v>0</v>
      </c>
    </row>
    <row r="610" spans="1:14" x14ac:dyDescent="0.25">
      <c r="A610">
        <v>269.537533</v>
      </c>
      <c r="B610" s="1">
        <f>DATE(2011,1,25) + TIME(12,54,2)</f>
        <v>40568.537523148145</v>
      </c>
      <c r="C610">
        <v>80</v>
      </c>
      <c r="D610">
        <v>66.412010193</v>
      </c>
      <c r="E610">
        <v>50</v>
      </c>
      <c r="F610">
        <v>49.942256927000003</v>
      </c>
      <c r="G610">
        <v>1297.8975829999999</v>
      </c>
      <c r="H610">
        <v>1285.5836182</v>
      </c>
      <c r="I610">
        <v>1387.4500731999999</v>
      </c>
      <c r="J610">
        <v>1370.6716309000001</v>
      </c>
      <c r="K610">
        <v>0</v>
      </c>
      <c r="L610">
        <v>2050</v>
      </c>
      <c r="M610">
        <v>2050</v>
      </c>
      <c r="N610">
        <v>0</v>
      </c>
    </row>
    <row r="611" spans="1:14" x14ac:dyDescent="0.25">
      <c r="A611">
        <v>271.96763199999998</v>
      </c>
      <c r="B611" s="1">
        <f>DATE(2011,1,27) + TIME(23,13,23)</f>
        <v>40570.967627314814</v>
      </c>
      <c r="C611">
        <v>80</v>
      </c>
      <c r="D611">
        <v>66.148872374999996</v>
      </c>
      <c r="E611">
        <v>50</v>
      </c>
      <c r="F611">
        <v>49.942466736</v>
      </c>
      <c r="G611">
        <v>1297.6206055</v>
      </c>
      <c r="H611">
        <v>1285.2027588000001</v>
      </c>
      <c r="I611">
        <v>1387.3928223</v>
      </c>
      <c r="J611">
        <v>1370.6186522999999</v>
      </c>
      <c r="K611">
        <v>0</v>
      </c>
      <c r="L611">
        <v>2050</v>
      </c>
      <c r="M611">
        <v>2050</v>
      </c>
      <c r="N611">
        <v>0</v>
      </c>
    </row>
    <row r="612" spans="1:14" x14ac:dyDescent="0.25">
      <c r="A612">
        <v>274.41852599999999</v>
      </c>
      <c r="B612" s="1">
        <f>DATE(2011,1,30) + TIME(10,2,40)</f>
        <v>40573.41851851852</v>
      </c>
      <c r="C612">
        <v>80</v>
      </c>
      <c r="D612">
        <v>65.876617432000003</v>
      </c>
      <c r="E612">
        <v>50</v>
      </c>
      <c r="F612">
        <v>49.942672729000002</v>
      </c>
      <c r="G612">
        <v>1297.3375243999999</v>
      </c>
      <c r="H612">
        <v>1284.8115233999999</v>
      </c>
      <c r="I612">
        <v>1387.3367920000001</v>
      </c>
      <c r="J612">
        <v>1370.5666504000001</v>
      </c>
      <c r="K612">
        <v>0</v>
      </c>
      <c r="L612">
        <v>2050</v>
      </c>
      <c r="M612">
        <v>2050</v>
      </c>
      <c r="N612">
        <v>0</v>
      </c>
    </row>
    <row r="613" spans="1:14" x14ac:dyDescent="0.25">
      <c r="A613">
        <v>276</v>
      </c>
      <c r="B613" s="1">
        <f>DATE(2011,2,1) + TIME(0,0,0)</f>
        <v>40575</v>
      </c>
      <c r="C613">
        <v>80</v>
      </c>
      <c r="D613">
        <v>65.633697510000005</v>
      </c>
      <c r="E613">
        <v>50</v>
      </c>
      <c r="F613">
        <v>49.942802428999997</v>
      </c>
      <c r="G613">
        <v>1297.0515137</v>
      </c>
      <c r="H613">
        <v>1284.4233397999999</v>
      </c>
      <c r="I613">
        <v>1387.2808838000001</v>
      </c>
      <c r="J613">
        <v>1370.5146483999999</v>
      </c>
      <c r="K613">
        <v>0</v>
      </c>
      <c r="L613">
        <v>2050</v>
      </c>
      <c r="M613">
        <v>2050</v>
      </c>
      <c r="N613">
        <v>0</v>
      </c>
    </row>
    <row r="614" spans="1:14" x14ac:dyDescent="0.25">
      <c r="A614">
        <v>278.48529600000001</v>
      </c>
      <c r="B614" s="1">
        <f>DATE(2011,2,3) + TIME(11,38,49)</f>
        <v>40577.485289351855</v>
      </c>
      <c r="C614">
        <v>80</v>
      </c>
      <c r="D614">
        <v>65.389251709000007</v>
      </c>
      <c r="E614">
        <v>50</v>
      </c>
      <c r="F614">
        <v>49.943016051999997</v>
      </c>
      <c r="G614">
        <v>1296.8470459</v>
      </c>
      <c r="H614">
        <v>1284.1236572</v>
      </c>
      <c r="I614">
        <v>1387.2463379000001</v>
      </c>
      <c r="J614">
        <v>1370.4826660000001</v>
      </c>
      <c r="K614">
        <v>0</v>
      </c>
      <c r="L614">
        <v>2050</v>
      </c>
      <c r="M614">
        <v>2050</v>
      </c>
      <c r="N614">
        <v>0</v>
      </c>
    </row>
    <row r="615" spans="1:14" x14ac:dyDescent="0.25">
      <c r="A615">
        <v>281.042348</v>
      </c>
      <c r="B615" s="1">
        <f>DATE(2011,2,6) + TIME(1,0,58)</f>
        <v>40580.042337962965</v>
      </c>
      <c r="C615">
        <v>80</v>
      </c>
      <c r="D615">
        <v>65.100479125999996</v>
      </c>
      <c r="E615">
        <v>50</v>
      </c>
      <c r="F615">
        <v>49.943229674999998</v>
      </c>
      <c r="G615">
        <v>1296.5531006000001</v>
      </c>
      <c r="H615">
        <v>1283.7174072</v>
      </c>
      <c r="I615">
        <v>1387.1921387</v>
      </c>
      <c r="J615">
        <v>1370.4323730000001</v>
      </c>
      <c r="K615">
        <v>0</v>
      </c>
      <c r="L615">
        <v>2050</v>
      </c>
      <c r="M615">
        <v>2050</v>
      </c>
      <c r="N615">
        <v>0</v>
      </c>
    </row>
    <row r="616" spans="1:14" x14ac:dyDescent="0.25">
      <c r="A616">
        <v>283.65383300000002</v>
      </c>
      <c r="B616" s="1">
        <f>DATE(2011,2,8) + TIME(15,41,31)</f>
        <v>40582.653831018521</v>
      </c>
      <c r="C616">
        <v>80</v>
      </c>
      <c r="D616">
        <v>64.786392211999996</v>
      </c>
      <c r="E616">
        <v>50</v>
      </c>
      <c r="F616">
        <v>49.943447112999998</v>
      </c>
      <c r="G616">
        <v>1296.2410889</v>
      </c>
      <c r="H616">
        <v>1283.2814940999999</v>
      </c>
      <c r="I616">
        <v>1387.1374512</v>
      </c>
      <c r="J616">
        <v>1370.3815918</v>
      </c>
      <c r="K616">
        <v>0</v>
      </c>
      <c r="L616">
        <v>2050</v>
      </c>
      <c r="M616">
        <v>2050</v>
      </c>
      <c r="N616">
        <v>0</v>
      </c>
    </row>
    <row r="617" spans="1:14" x14ac:dyDescent="0.25">
      <c r="A617">
        <v>286.32756999999998</v>
      </c>
      <c r="B617" s="1">
        <f>DATE(2011,2,11) + TIME(7,51,42)</f>
        <v>40585.327569444446</v>
      </c>
      <c r="C617">
        <v>80</v>
      </c>
      <c r="D617">
        <v>64.452560425000001</v>
      </c>
      <c r="E617">
        <v>50</v>
      </c>
      <c r="F617">
        <v>49.943664550999998</v>
      </c>
      <c r="G617">
        <v>1295.9162598</v>
      </c>
      <c r="H617">
        <v>1282.8245850000001</v>
      </c>
      <c r="I617">
        <v>1387.0826416</v>
      </c>
      <c r="J617">
        <v>1370.3309326000001</v>
      </c>
      <c r="K617">
        <v>0</v>
      </c>
      <c r="L617">
        <v>2050</v>
      </c>
      <c r="M617">
        <v>2050</v>
      </c>
      <c r="N617">
        <v>0</v>
      </c>
    </row>
    <row r="618" spans="1:14" x14ac:dyDescent="0.25">
      <c r="A618">
        <v>289.01055400000001</v>
      </c>
      <c r="B618" s="1">
        <f>DATE(2011,2,14) + TIME(0,15,11)</f>
        <v>40588.01054398148</v>
      </c>
      <c r="C618">
        <v>80</v>
      </c>
      <c r="D618">
        <v>64.101104735999996</v>
      </c>
      <c r="E618">
        <v>50</v>
      </c>
      <c r="F618">
        <v>49.943885803000001</v>
      </c>
      <c r="G618">
        <v>1295.5788574000001</v>
      </c>
      <c r="H618">
        <v>1282.3485106999999</v>
      </c>
      <c r="I618">
        <v>1387.0277100000001</v>
      </c>
      <c r="J618">
        <v>1370.2799072</v>
      </c>
      <c r="K618">
        <v>0</v>
      </c>
      <c r="L618">
        <v>2050</v>
      </c>
      <c r="M618">
        <v>2050</v>
      </c>
      <c r="N618">
        <v>0</v>
      </c>
    </row>
    <row r="619" spans="1:14" x14ac:dyDescent="0.25">
      <c r="A619">
        <v>291.71550999999999</v>
      </c>
      <c r="B619" s="1">
        <f>DATE(2011,2,16) + TIME(17,10,20)</f>
        <v>40590.715509259258</v>
      </c>
      <c r="C619">
        <v>80</v>
      </c>
      <c r="D619">
        <v>63.73500061</v>
      </c>
      <c r="E619">
        <v>50</v>
      </c>
      <c r="F619">
        <v>49.944103241000001</v>
      </c>
      <c r="G619">
        <v>1295.2349853999999</v>
      </c>
      <c r="H619">
        <v>1281.8605957</v>
      </c>
      <c r="I619">
        <v>1386.9735106999999</v>
      </c>
      <c r="J619">
        <v>1370.2297363</v>
      </c>
      <c r="K619">
        <v>0</v>
      </c>
      <c r="L619">
        <v>2050</v>
      </c>
      <c r="M619">
        <v>2050</v>
      </c>
      <c r="N619">
        <v>0</v>
      </c>
    </row>
    <row r="620" spans="1:14" x14ac:dyDescent="0.25">
      <c r="A620">
        <v>294.457247</v>
      </c>
      <c r="B620" s="1">
        <f>DATE(2011,2,19) + TIME(10,58,26)</f>
        <v>40593.457245370373</v>
      </c>
      <c r="C620">
        <v>80</v>
      </c>
      <c r="D620">
        <v>63.353321074999997</v>
      </c>
      <c r="E620">
        <v>50</v>
      </c>
      <c r="F620">
        <v>49.944324493000003</v>
      </c>
      <c r="G620">
        <v>1294.8840332</v>
      </c>
      <c r="H620">
        <v>1281.3604736</v>
      </c>
      <c r="I620">
        <v>1386.9199219</v>
      </c>
      <c r="J620">
        <v>1370.1800536999999</v>
      </c>
      <c r="K620">
        <v>0</v>
      </c>
      <c r="L620">
        <v>2050</v>
      </c>
      <c r="M620">
        <v>2050</v>
      </c>
      <c r="N620">
        <v>0</v>
      </c>
    </row>
    <row r="621" spans="1:14" x14ac:dyDescent="0.25">
      <c r="A621">
        <v>297.23643800000002</v>
      </c>
      <c r="B621" s="1">
        <f>DATE(2011,2,22) + TIME(5,40,28)</f>
        <v>40596.236435185187</v>
      </c>
      <c r="C621">
        <v>80</v>
      </c>
      <c r="D621">
        <v>62.954311371000003</v>
      </c>
      <c r="E621">
        <v>50</v>
      </c>
      <c r="F621">
        <v>49.944541931000003</v>
      </c>
      <c r="G621">
        <v>1294.5244141000001</v>
      </c>
      <c r="H621">
        <v>1280.8459473</v>
      </c>
      <c r="I621">
        <v>1386.8665771000001</v>
      </c>
      <c r="J621">
        <v>1370.1304932</v>
      </c>
      <c r="K621">
        <v>0</v>
      </c>
      <c r="L621">
        <v>2050</v>
      </c>
      <c r="M621">
        <v>2050</v>
      </c>
      <c r="N621">
        <v>0</v>
      </c>
    </row>
    <row r="622" spans="1:14" x14ac:dyDescent="0.25">
      <c r="A622">
        <v>300.04302000000001</v>
      </c>
      <c r="B622" s="1">
        <f>DATE(2011,2,25) + TIME(1,1,56)</f>
        <v>40599.043009259258</v>
      </c>
      <c r="C622">
        <v>80</v>
      </c>
      <c r="D622">
        <v>62.537330627000003</v>
      </c>
      <c r="E622">
        <v>50</v>
      </c>
      <c r="F622">
        <v>49.944763184000003</v>
      </c>
      <c r="G622">
        <v>1294.1561279</v>
      </c>
      <c r="H622">
        <v>1280.3168945</v>
      </c>
      <c r="I622">
        <v>1386.8134766000001</v>
      </c>
      <c r="J622">
        <v>1370.0811768000001</v>
      </c>
      <c r="K622">
        <v>0</v>
      </c>
      <c r="L622">
        <v>2050</v>
      </c>
      <c r="M622">
        <v>2050</v>
      </c>
      <c r="N622">
        <v>0</v>
      </c>
    </row>
    <row r="623" spans="1:14" x14ac:dyDescent="0.25">
      <c r="A623">
        <v>302.86689200000001</v>
      </c>
      <c r="B623" s="1">
        <f>DATE(2011,2,27) + TIME(20,48,19)</f>
        <v>40601.866886574076</v>
      </c>
      <c r="C623">
        <v>80</v>
      </c>
      <c r="D623">
        <v>62.102947235000002</v>
      </c>
      <c r="E623">
        <v>50</v>
      </c>
      <c r="F623">
        <v>49.944984435999999</v>
      </c>
      <c r="G623">
        <v>1293.7803954999999</v>
      </c>
      <c r="H623">
        <v>1279.7749022999999</v>
      </c>
      <c r="I623">
        <v>1386.7606201000001</v>
      </c>
      <c r="J623">
        <v>1370.0321045000001</v>
      </c>
      <c r="K623">
        <v>0</v>
      </c>
      <c r="L623">
        <v>2050</v>
      </c>
      <c r="M623">
        <v>2050</v>
      </c>
      <c r="N623">
        <v>0</v>
      </c>
    </row>
    <row r="624" spans="1:14" x14ac:dyDescent="0.25">
      <c r="A624">
        <v>304</v>
      </c>
      <c r="B624" s="1">
        <f>DATE(2011,3,1) + TIME(0,0,0)</f>
        <v>40603</v>
      </c>
      <c r="C624">
        <v>80</v>
      </c>
      <c r="D624">
        <v>61.774654388000002</v>
      </c>
      <c r="E624">
        <v>50</v>
      </c>
      <c r="F624">
        <v>49.945068358999997</v>
      </c>
      <c r="G624">
        <v>1293.4093018000001</v>
      </c>
      <c r="H624">
        <v>1279.2666016000001</v>
      </c>
      <c r="I624">
        <v>1386.7072754000001</v>
      </c>
      <c r="J624">
        <v>1369.9826660000001</v>
      </c>
      <c r="K624">
        <v>0</v>
      </c>
      <c r="L624">
        <v>2050</v>
      </c>
      <c r="M624">
        <v>2050</v>
      </c>
      <c r="N624">
        <v>0</v>
      </c>
    </row>
    <row r="625" spans="1:14" x14ac:dyDescent="0.25">
      <c r="A625">
        <v>306.84651300000002</v>
      </c>
      <c r="B625" s="1">
        <f>DATE(2011,3,3) + TIME(20,18,58)</f>
        <v>40605.846504629626</v>
      </c>
      <c r="C625">
        <v>80</v>
      </c>
      <c r="D625">
        <v>61.428417205999999</v>
      </c>
      <c r="E625">
        <v>50</v>
      </c>
      <c r="F625">
        <v>49.945293427000003</v>
      </c>
      <c r="G625">
        <v>1293.2255858999999</v>
      </c>
      <c r="H625">
        <v>1278.9571533000001</v>
      </c>
      <c r="I625">
        <v>1386.6875</v>
      </c>
      <c r="J625">
        <v>1369.9642334</v>
      </c>
      <c r="K625">
        <v>0</v>
      </c>
      <c r="L625">
        <v>2050</v>
      </c>
      <c r="M625">
        <v>2050</v>
      </c>
      <c r="N625">
        <v>0</v>
      </c>
    </row>
    <row r="626" spans="1:14" x14ac:dyDescent="0.25">
      <c r="A626">
        <v>309.71310199999999</v>
      </c>
      <c r="B626" s="1">
        <f>DATE(2011,3,6) + TIME(17,6,51)</f>
        <v>40608.713090277779</v>
      </c>
      <c r="C626">
        <v>80</v>
      </c>
      <c r="D626">
        <v>60.981861115000001</v>
      </c>
      <c r="E626">
        <v>50</v>
      </c>
      <c r="F626">
        <v>49.945514678999999</v>
      </c>
      <c r="G626">
        <v>1292.8513184000001</v>
      </c>
      <c r="H626">
        <v>1278.4206543</v>
      </c>
      <c r="I626">
        <v>1386.6357422000001</v>
      </c>
      <c r="J626">
        <v>1369.9162598</v>
      </c>
      <c r="K626">
        <v>0</v>
      </c>
      <c r="L626">
        <v>2050</v>
      </c>
      <c r="M626">
        <v>2050</v>
      </c>
      <c r="N626">
        <v>0</v>
      </c>
    </row>
    <row r="627" spans="1:14" x14ac:dyDescent="0.25">
      <c r="A627">
        <v>312.60060700000002</v>
      </c>
      <c r="B627" s="1">
        <f>DATE(2011,3,9) + TIME(14,24,52)</f>
        <v>40611.600601851853</v>
      </c>
      <c r="C627">
        <v>80</v>
      </c>
      <c r="D627">
        <v>60.497554778999998</v>
      </c>
      <c r="E627">
        <v>50</v>
      </c>
      <c r="F627">
        <v>49.945732116999999</v>
      </c>
      <c r="G627">
        <v>1292.4605713000001</v>
      </c>
      <c r="H627">
        <v>1277.8507079999999</v>
      </c>
      <c r="I627">
        <v>1386.5843506000001</v>
      </c>
      <c r="J627">
        <v>1369.8685303</v>
      </c>
      <c r="K627">
        <v>0</v>
      </c>
      <c r="L627">
        <v>2050</v>
      </c>
      <c r="M627">
        <v>2050</v>
      </c>
      <c r="N627">
        <v>0</v>
      </c>
    </row>
    <row r="628" spans="1:14" x14ac:dyDescent="0.25">
      <c r="A628">
        <v>315.513957</v>
      </c>
      <c r="B628" s="1">
        <f>DATE(2011,3,12) + TIME(12,20,5)</f>
        <v>40614.51394675926</v>
      </c>
      <c r="C628">
        <v>80</v>
      </c>
      <c r="D628">
        <v>59.990577698000003</v>
      </c>
      <c r="E628">
        <v>50</v>
      </c>
      <c r="F628">
        <v>49.945949554000002</v>
      </c>
      <c r="G628">
        <v>1292.0620117000001</v>
      </c>
      <c r="H628">
        <v>1277.2646483999999</v>
      </c>
      <c r="I628">
        <v>1386.5333252</v>
      </c>
      <c r="J628">
        <v>1369.8210449000001</v>
      </c>
      <c r="K628">
        <v>0</v>
      </c>
      <c r="L628">
        <v>2050</v>
      </c>
      <c r="M628">
        <v>2050</v>
      </c>
      <c r="N628">
        <v>0</v>
      </c>
    </row>
    <row r="629" spans="1:14" x14ac:dyDescent="0.25">
      <c r="A629">
        <v>318.44277</v>
      </c>
      <c r="B629" s="1">
        <f>DATE(2011,3,15) + TIME(10,37,35)</f>
        <v>40617.442766203705</v>
      </c>
      <c r="C629">
        <v>80</v>
      </c>
      <c r="D629">
        <v>59.464195251</v>
      </c>
      <c r="E629">
        <v>50</v>
      </c>
      <c r="F629">
        <v>49.946170807000001</v>
      </c>
      <c r="G629">
        <v>1291.6574707</v>
      </c>
      <c r="H629">
        <v>1276.6667480000001</v>
      </c>
      <c r="I629">
        <v>1386.4824219</v>
      </c>
      <c r="J629">
        <v>1369.7736815999999</v>
      </c>
      <c r="K629">
        <v>0</v>
      </c>
      <c r="L629">
        <v>2050</v>
      </c>
      <c r="M629">
        <v>2050</v>
      </c>
      <c r="N629">
        <v>0</v>
      </c>
    </row>
    <row r="630" spans="1:14" x14ac:dyDescent="0.25">
      <c r="A630">
        <v>321.394541</v>
      </c>
      <c r="B630" s="1">
        <f>DATE(2011,3,18) + TIME(9,28,8)</f>
        <v>40620.394537037035</v>
      </c>
      <c r="C630">
        <v>80</v>
      </c>
      <c r="D630">
        <v>58.920574188000003</v>
      </c>
      <c r="E630">
        <v>50</v>
      </c>
      <c r="F630">
        <v>49.946388245000001</v>
      </c>
      <c r="G630">
        <v>1291.2487793</v>
      </c>
      <c r="H630">
        <v>1276.0596923999999</v>
      </c>
      <c r="I630">
        <v>1386.4317627</v>
      </c>
      <c r="J630">
        <v>1369.7266846</v>
      </c>
      <c r="K630">
        <v>0</v>
      </c>
      <c r="L630">
        <v>2050</v>
      </c>
      <c r="M630">
        <v>2050</v>
      </c>
      <c r="N630">
        <v>0</v>
      </c>
    </row>
    <row r="631" spans="1:14" x14ac:dyDescent="0.25">
      <c r="A631">
        <v>324.36705799999999</v>
      </c>
      <c r="B631" s="1">
        <f>DATE(2011,3,21) + TIME(8,48,33)</f>
        <v>40623.367048611108</v>
      </c>
      <c r="C631">
        <v>80</v>
      </c>
      <c r="D631">
        <v>58.359996795999997</v>
      </c>
      <c r="E631">
        <v>50</v>
      </c>
      <c r="F631">
        <v>49.946605681999998</v>
      </c>
      <c r="G631">
        <v>1290.8356934000001</v>
      </c>
      <c r="H631">
        <v>1275.4432373</v>
      </c>
      <c r="I631">
        <v>1386.3813477000001</v>
      </c>
      <c r="J631">
        <v>1369.6798096</v>
      </c>
      <c r="K631">
        <v>0</v>
      </c>
      <c r="L631">
        <v>2050</v>
      </c>
      <c r="M631">
        <v>2050</v>
      </c>
      <c r="N631">
        <v>0</v>
      </c>
    </row>
    <row r="632" spans="1:14" x14ac:dyDescent="0.25">
      <c r="A632">
        <v>327.36288400000001</v>
      </c>
      <c r="B632" s="1">
        <f>DATE(2011,3,24) + TIME(8,42,33)</f>
        <v>40626.362881944442</v>
      </c>
      <c r="C632">
        <v>80</v>
      </c>
      <c r="D632">
        <v>57.782646178999997</v>
      </c>
      <c r="E632">
        <v>50</v>
      </c>
      <c r="F632">
        <v>49.946823119999998</v>
      </c>
      <c r="G632">
        <v>1290.4189452999999</v>
      </c>
      <c r="H632">
        <v>1274.8183594</v>
      </c>
      <c r="I632">
        <v>1386.3310547000001</v>
      </c>
      <c r="J632">
        <v>1369.6329346</v>
      </c>
      <c r="K632">
        <v>0</v>
      </c>
      <c r="L632">
        <v>2050</v>
      </c>
      <c r="M632">
        <v>2050</v>
      </c>
      <c r="N632">
        <v>0</v>
      </c>
    </row>
    <row r="633" spans="1:14" x14ac:dyDescent="0.25">
      <c r="A633">
        <v>330.38716299999999</v>
      </c>
      <c r="B633" s="1">
        <f>DATE(2011,3,27) + TIME(9,17,30)</f>
        <v>40629.387152777781</v>
      </c>
      <c r="C633">
        <v>80</v>
      </c>
      <c r="D633">
        <v>57.188518524000003</v>
      </c>
      <c r="E633">
        <v>50</v>
      </c>
      <c r="F633">
        <v>49.947040557999998</v>
      </c>
      <c r="G633">
        <v>1289.9986572</v>
      </c>
      <c r="H633">
        <v>1274.1850586</v>
      </c>
      <c r="I633">
        <v>1386.2808838000001</v>
      </c>
      <c r="J633">
        <v>1369.5861815999999</v>
      </c>
      <c r="K633">
        <v>0</v>
      </c>
      <c r="L633">
        <v>2050</v>
      </c>
      <c r="M633">
        <v>2050</v>
      </c>
      <c r="N633">
        <v>0</v>
      </c>
    </row>
    <row r="634" spans="1:14" x14ac:dyDescent="0.25">
      <c r="A634">
        <v>333.43440099999998</v>
      </c>
      <c r="B634" s="1">
        <f>DATE(2011,3,30) + TIME(10,25,32)</f>
        <v>40632.434398148151</v>
      </c>
      <c r="C634">
        <v>80</v>
      </c>
      <c r="D634">
        <v>56.577770233000003</v>
      </c>
      <c r="E634">
        <v>50</v>
      </c>
      <c r="F634">
        <v>49.947257995999998</v>
      </c>
      <c r="G634">
        <v>1289.5745850000001</v>
      </c>
      <c r="H634">
        <v>1273.5430908000001</v>
      </c>
      <c r="I634">
        <v>1386.2305908000001</v>
      </c>
      <c r="J634">
        <v>1369.5393065999999</v>
      </c>
      <c r="K634">
        <v>0</v>
      </c>
      <c r="L634">
        <v>2050</v>
      </c>
      <c r="M634">
        <v>2050</v>
      </c>
      <c r="N634">
        <v>0</v>
      </c>
    </row>
    <row r="635" spans="1:14" x14ac:dyDescent="0.25">
      <c r="A635">
        <v>335</v>
      </c>
      <c r="B635" s="1">
        <f>DATE(2011,4,1) + TIME(0,0,0)</f>
        <v>40634</v>
      </c>
      <c r="C635">
        <v>80</v>
      </c>
      <c r="D635">
        <v>56.063217162999997</v>
      </c>
      <c r="E635">
        <v>50</v>
      </c>
      <c r="F635">
        <v>49.947364807</v>
      </c>
      <c r="G635">
        <v>1289.1538086</v>
      </c>
      <c r="H635">
        <v>1272.9334716999999</v>
      </c>
      <c r="I635">
        <v>1386.1798096</v>
      </c>
      <c r="J635">
        <v>1369.4919434000001</v>
      </c>
      <c r="K635">
        <v>0</v>
      </c>
      <c r="L635">
        <v>2050</v>
      </c>
      <c r="M635">
        <v>2050</v>
      </c>
      <c r="N635">
        <v>0</v>
      </c>
    </row>
    <row r="636" spans="1:14" x14ac:dyDescent="0.25">
      <c r="A636">
        <v>338.07256999999998</v>
      </c>
      <c r="B636" s="1">
        <f>DATE(2011,4,4) + TIME(1,44,30)</f>
        <v>40637.072569444441</v>
      </c>
      <c r="C636">
        <v>80</v>
      </c>
      <c r="D636">
        <v>55.580818176000001</v>
      </c>
      <c r="E636">
        <v>50</v>
      </c>
      <c r="F636">
        <v>49.947586059999999</v>
      </c>
      <c r="G636">
        <v>1288.9125977000001</v>
      </c>
      <c r="H636">
        <v>1272.5195312000001</v>
      </c>
      <c r="I636">
        <v>1386.1546631000001</v>
      </c>
      <c r="J636">
        <v>1369.4685059000001</v>
      </c>
      <c r="K636">
        <v>0</v>
      </c>
      <c r="L636">
        <v>2050</v>
      </c>
      <c r="M636">
        <v>2050</v>
      </c>
      <c r="N636">
        <v>0</v>
      </c>
    </row>
    <row r="637" spans="1:14" x14ac:dyDescent="0.25">
      <c r="A637">
        <v>341.19734699999998</v>
      </c>
      <c r="B637" s="1">
        <f>DATE(2011,4,7) + TIME(4,44,10)</f>
        <v>40640.197337962964</v>
      </c>
      <c r="C637">
        <v>80</v>
      </c>
      <c r="D637">
        <v>54.967605591000002</v>
      </c>
      <c r="E637">
        <v>50</v>
      </c>
      <c r="F637">
        <v>49.947803497000002</v>
      </c>
      <c r="G637">
        <v>1288.4973144999999</v>
      </c>
      <c r="H637">
        <v>1271.8935547000001</v>
      </c>
      <c r="I637">
        <v>1386.1046143000001</v>
      </c>
      <c r="J637">
        <v>1369.4217529</v>
      </c>
      <c r="K637">
        <v>0</v>
      </c>
      <c r="L637">
        <v>2050</v>
      </c>
      <c r="M637">
        <v>2050</v>
      </c>
      <c r="N637">
        <v>0</v>
      </c>
    </row>
    <row r="638" spans="1:14" x14ac:dyDescent="0.25">
      <c r="A638">
        <v>344.36130200000002</v>
      </c>
      <c r="B638" s="1">
        <f>DATE(2011,4,10) + TIME(8,40,16)</f>
        <v>40643.361296296294</v>
      </c>
      <c r="C638">
        <v>80</v>
      </c>
      <c r="D638">
        <v>54.310638427999997</v>
      </c>
      <c r="E638">
        <v>50</v>
      </c>
      <c r="F638">
        <v>49.948020935000002</v>
      </c>
      <c r="G638">
        <v>1288.0672606999999</v>
      </c>
      <c r="H638">
        <v>1271.2332764</v>
      </c>
      <c r="I638">
        <v>1386.0539550999999</v>
      </c>
      <c r="J638">
        <v>1369.3743896000001</v>
      </c>
      <c r="K638">
        <v>0</v>
      </c>
      <c r="L638">
        <v>2050</v>
      </c>
      <c r="M638">
        <v>2050</v>
      </c>
      <c r="N638">
        <v>0</v>
      </c>
    </row>
    <row r="639" spans="1:14" x14ac:dyDescent="0.25">
      <c r="A639">
        <v>347.56121300000001</v>
      </c>
      <c r="B639" s="1">
        <f>DATE(2011,4,13) + TIME(13,28,8)</f>
        <v>40646.561203703706</v>
      </c>
      <c r="C639">
        <v>80</v>
      </c>
      <c r="D639">
        <v>53.632419585999997</v>
      </c>
      <c r="E639">
        <v>50</v>
      </c>
      <c r="F639">
        <v>49.948238373000002</v>
      </c>
      <c r="G639">
        <v>1287.6318358999999</v>
      </c>
      <c r="H639">
        <v>1270.5592041</v>
      </c>
      <c r="I639">
        <v>1386.0030518000001</v>
      </c>
      <c r="J639">
        <v>1369.3267822</v>
      </c>
      <c r="K639">
        <v>0</v>
      </c>
      <c r="L639">
        <v>2050</v>
      </c>
      <c r="M639">
        <v>2050</v>
      </c>
      <c r="N639">
        <v>0</v>
      </c>
    </row>
    <row r="640" spans="1:14" x14ac:dyDescent="0.25">
      <c r="A640">
        <v>350.80461400000002</v>
      </c>
      <c r="B640" s="1">
        <f>DATE(2011,4,16) + TIME(19,18,38)</f>
        <v>40649.804606481484</v>
      </c>
      <c r="C640">
        <v>80</v>
      </c>
      <c r="D640">
        <v>52.938941956000001</v>
      </c>
      <c r="E640">
        <v>50</v>
      </c>
      <c r="F640">
        <v>49.948459624999998</v>
      </c>
      <c r="G640">
        <v>1287.1940918</v>
      </c>
      <c r="H640">
        <v>1269.8774414</v>
      </c>
      <c r="I640">
        <v>1385.9517822</v>
      </c>
      <c r="J640">
        <v>1369.2788086</v>
      </c>
      <c r="K640">
        <v>0</v>
      </c>
      <c r="L640">
        <v>2050</v>
      </c>
      <c r="M640">
        <v>2050</v>
      </c>
      <c r="N640">
        <v>0</v>
      </c>
    </row>
    <row r="641" spans="1:14" x14ac:dyDescent="0.25">
      <c r="A641">
        <v>354.097983</v>
      </c>
      <c r="B641" s="1">
        <f>DATE(2011,4,20) + TIME(2,21,5)</f>
        <v>40653.097974537035</v>
      </c>
      <c r="C641">
        <v>80</v>
      </c>
      <c r="D641">
        <v>52.231449126999998</v>
      </c>
      <c r="E641">
        <v>50</v>
      </c>
      <c r="F641">
        <v>49.948680877999998</v>
      </c>
      <c r="G641">
        <v>1286.7543945</v>
      </c>
      <c r="H641">
        <v>1269.1884766000001</v>
      </c>
      <c r="I641">
        <v>1385.9001464999999</v>
      </c>
      <c r="J641">
        <v>1369.2304687999999</v>
      </c>
      <c r="K641">
        <v>0</v>
      </c>
      <c r="L641">
        <v>2050</v>
      </c>
      <c r="M641">
        <v>2050</v>
      </c>
      <c r="N641">
        <v>0</v>
      </c>
    </row>
    <row r="642" spans="1:14" x14ac:dyDescent="0.25">
      <c r="A642">
        <v>357.42988400000002</v>
      </c>
      <c r="B642" s="1">
        <f>DATE(2011,4,23) + TIME(10,19,1)</f>
        <v>40656.429872685185</v>
      </c>
      <c r="C642">
        <v>80</v>
      </c>
      <c r="D642">
        <v>51.511116028000004</v>
      </c>
      <c r="E642">
        <v>50</v>
      </c>
      <c r="F642">
        <v>49.94890213</v>
      </c>
      <c r="G642">
        <v>1286.3125</v>
      </c>
      <c r="H642">
        <v>1268.4929199000001</v>
      </c>
      <c r="I642">
        <v>1385.8479004000001</v>
      </c>
      <c r="J642">
        <v>1369.1815185999999</v>
      </c>
      <c r="K642">
        <v>0</v>
      </c>
      <c r="L642">
        <v>2050</v>
      </c>
      <c r="M642">
        <v>2050</v>
      </c>
      <c r="N642">
        <v>0</v>
      </c>
    </row>
    <row r="643" spans="1:14" x14ac:dyDescent="0.25">
      <c r="A643">
        <v>360.81039500000003</v>
      </c>
      <c r="B643" s="1">
        <f>DATE(2011,4,26) + TIME(19,26,58)</f>
        <v>40659.810393518521</v>
      </c>
      <c r="C643">
        <v>80</v>
      </c>
      <c r="D643">
        <v>50.780174254999999</v>
      </c>
      <c r="E643">
        <v>50</v>
      </c>
      <c r="F643">
        <v>49.949123383</v>
      </c>
      <c r="G643">
        <v>1285.8709716999999</v>
      </c>
      <c r="H643">
        <v>1267.7933350000001</v>
      </c>
      <c r="I643">
        <v>1385.7952881000001</v>
      </c>
      <c r="J643">
        <v>1369.1320800999999</v>
      </c>
      <c r="K643">
        <v>0</v>
      </c>
      <c r="L643">
        <v>2050</v>
      </c>
      <c r="M643">
        <v>2050</v>
      </c>
      <c r="N643">
        <v>0</v>
      </c>
    </row>
    <row r="644" spans="1:14" x14ac:dyDescent="0.25">
      <c r="A644">
        <v>364.238966</v>
      </c>
      <c r="B644" s="1">
        <f>DATE(2011,4,30) + TIME(5,44,6)</f>
        <v>40663.238958333335</v>
      </c>
      <c r="C644">
        <v>80</v>
      </c>
      <c r="D644">
        <v>50.039279938</v>
      </c>
      <c r="E644">
        <v>50</v>
      </c>
      <c r="F644">
        <v>49.949344635000003</v>
      </c>
      <c r="G644">
        <v>1285.4293213000001</v>
      </c>
      <c r="H644">
        <v>1267.0898437999999</v>
      </c>
      <c r="I644">
        <v>1385.7420654</v>
      </c>
      <c r="J644">
        <v>1369.0821533000001</v>
      </c>
      <c r="K644">
        <v>0</v>
      </c>
      <c r="L644">
        <v>2050</v>
      </c>
      <c r="M644">
        <v>2050</v>
      </c>
      <c r="N644">
        <v>0</v>
      </c>
    </row>
    <row r="645" spans="1:14" x14ac:dyDescent="0.25">
      <c r="A645">
        <v>365</v>
      </c>
      <c r="B645" s="1">
        <f>DATE(2011,5,1) + TIME(0,0,0)</f>
        <v>40664</v>
      </c>
      <c r="C645">
        <v>80</v>
      </c>
      <c r="D645">
        <v>49.602466583000002</v>
      </c>
      <c r="E645">
        <v>50</v>
      </c>
      <c r="F645">
        <v>49.949390411000003</v>
      </c>
      <c r="G645">
        <v>1284.9953613</v>
      </c>
      <c r="H645">
        <v>1266.4948730000001</v>
      </c>
      <c r="I645">
        <v>1385.6877440999999</v>
      </c>
      <c r="J645">
        <v>1369.0310059000001</v>
      </c>
      <c r="K645">
        <v>0</v>
      </c>
      <c r="L645">
        <v>2050</v>
      </c>
      <c r="M645">
        <v>2050</v>
      </c>
      <c r="N645">
        <v>0</v>
      </c>
    </row>
    <row r="646" spans="1:14" x14ac:dyDescent="0.25">
      <c r="A646">
        <v>365.000001</v>
      </c>
      <c r="B646" s="1">
        <f>DATE(2011,5,1) + TIME(0,0,0)</f>
        <v>40664</v>
      </c>
      <c r="C646">
        <v>80</v>
      </c>
      <c r="D646">
        <v>49.602645873999997</v>
      </c>
      <c r="E646">
        <v>50</v>
      </c>
      <c r="F646">
        <v>49.949275970000002</v>
      </c>
      <c r="G646">
        <v>1312.8826904</v>
      </c>
      <c r="H646">
        <v>1286.0269774999999</v>
      </c>
      <c r="I646">
        <v>1368.1341553</v>
      </c>
      <c r="J646">
        <v>1345.4479980000001</v>
      </c>
      <c r="K646">
        <v>2875</v>
      </c>
      <c r="L646">
        <v>0</v>
      </c>
      <c r="M646">
        <v>0</v>
      </c>
      <c r="N646">
        <v>2875</v>
      </c>
    </row>
    <row r="647" spans="1:14" x14ac:dyDescent="0.25">
      <c r="A647">
        <v>365.00000399999999</v>
      </c>
      <c r="B647" s="1">
        <f>DATE(2011,5,1) + TIME(0,0,0)</f>
        <v>40664</v>
      </c>
      <c r="C647">
        <v>80</v>
      </c>
      <c r="D647">
        <v>49.603137969999999</v>
      </c>
      <c r="E647">
        <v>50</v>
      </c>
      <c r="F647">
        <v>49.948974608999997</v>
      </c>
      <c r="G647">
        <v>1315.3580322</v>
      </c>
      <c r="H647">
        <v>1288.7675781</v>
      </c>
      <c r="I647">
        <v>1365.7414550999999</v>
      </c>
      <c r="J647">
        <v>1343.0539550999999</v>
      </c>
      <c r="K647">
        <v>2875</v>
      </c>
      <c r="L647">
        <v>0</v>
      </c>
      <c r="M647">
        <v>0</v>
      </c>
      <c r="N647">
        <v>2875</v>
      </c>
    </row>
    <row r="648" spans="1:14" x14ac:dyDescent="0.25">
      <c r="A648">
        <v>365.00001300000002</v>
      </c>
      <c r="B648" s="1">
        <f>DATE(2011,5,1) + TIME(0,0,1)</f>
        <v>40664.000011574077</v>
      </c>
      <c r="C648">
        <v>80</v>
      </c>
      <c r="D648">
        <v>49.604351043999998</v>
      </c>
      <c r="E648">
        <v>50</v>
      </c>
      <c r="F648">
        <v>49.948299407999997</v>
      </c>
      <c r="G648">
        <v>1321.0650635</v>
      </c>
      <c r="H648">
        <v>1294.8774414</v>
      </c>
      <c r="I648">
        <v>1360.3735352000001</v>
      </c>
      <c r="J648">
        <v>1337.6842041</v>
      </c>
      <c r="K648">
        <v>2875</v>
      </c>
      <c r="L648">
        <v>0</v>
      </c>
      <c r="M648">
        <v>0</v>
      </c>
      <c r="N648">
        <v>2875</v>
      </c>
    </row>
    <row r="649" spans="1:14" x14ac:dyDescent="0.25">
      <c r="A649">
        <v>365.00004000000001</v>
      </c>
      <c r="B649" s="1">
        <f>DATE(2011,5,1) + TIME(0,0,3)</f>
        <v>40664.000034722223</v>
      </c>
      <c r="C649">
        <v>80</v>
      </c>
      <c r="D649">
        <v>49.606952667000002</v>
      </c>
      <c r="E649">
        <v>50</v>
      </c>
      <c r="F649">
        <v>49.947162628000001</v>
      </c>
      <c r="G649">
        <v>1331.0032959</v>
      </c>
      <c r="H649">
        <v>1305.0509033000001</v>
      </c>
      <c r="I649">
        <v>1351.3981934000001</v>
      </c>
      <c r="J649">
        <v>1328.7120361</v>
      </c>
      <c r="K649">
        <v>2875</v>
      </c>
      <c r="L649">
        <v>0</v>
      </c>
      <c r="M649">
        <v>0</v>
      </c>
      <c r="N649">
        <v>2875</v>
      </c>
    </row>
    <row r="650" spans="1:14" x14ac:dyDescent="0.25">
      <c r="A650">
        <v>365.00012099999998</v>
      </c>
      <c r="B650" s="1">
        <f>DATE(2011,5,1) + TIME(0,0,10)</f>
        <v>40664.000115740739</v>
      </c>
      <c r="C650">
        <v>80</v>
      </c>
      <c r="D650">
        <v>49.612506865999997</v>
      </c>
      <c r="E650">
        <v>50</v>
      </c>
      <c r="F650">
        <v>49.945766448999997</v>
      </c>
      <c r="G650">
        <v>1343.6264647999999</v>
      </c>
      <c r="H650">
        <v>1317.5944824000001</v>
      </c>
      <c r="I650">
        <v>1340.4361572</v>
      </c>
      <c r="J650">
        <v>1317.7613524999999</v>
      </c>
      <c r="K650">
        <v>2875</v>
      </c>
      <c r="L650">
        <v>0</v>
      </c>
      <c r="M650">
        <v>0</v>
      </c>
      <c r="N650">
        <v>2875</v>
      </c>
    </row>
    <row r="651" spans="1:14" x14ac:dyDescent="0.25">
      <c r="A651">
        <v>365.00036399999999</v>
      </c>
      <c r="B651" s="1">
        <f>DATE(2011,5,1) + TIME(0,0,31)</f>
        <v>40664.000358796293</v>
      </c>
      <c r="C651">
        <v>80</v>
      </c>
      <c r="D651">
        <v>49.626163482999999</v>
      </c>
      <c r="E651">
        <v>50</v>
      </c>
      <c r="F651">
        <v>49.944282532000003</v>
      </c>
      <c r="G651">
        <v>1356.9672852000001</v>
      </c>
      <c r="H651">
        <v>1330.7866211</v>
      </c>
      <c r="I651">
        <v>1329.1417236</v>
      </c>
      <c r="J651">
        <v>1306.4870605000001</v>
      </c>
      <c r="K651">
        <v>2875</v>
      </c>
      <c r="L651">
        <v>0</v>
      </c>
      <c r="M651">
        <v>0</v>
      </c>
      <c r="N651">
        <v>2875</v>
      </c>
    </row>
    <row r="652" spans="1:14" x14ac:dyDescent="0.25">
      <c r="A652">
        <v>365.00109300000003</v>
      </c>
      <c r="B652" s="1">
        <f>DATE(2011,5,1) + TIME(0,1,34)</f>
        <v>40664.001087962963</v>
      </c>
      <c r="C652">
        <v>80</v>
      </c>
      <c r="D652">
        <v>49.664020538000003</v>
      </c>
      <c r="E652">
        <v>50</v>
      </c>
      <c r="F652">
        <v>49.942672729000002</v>
      </c>
      <c r="G652">
        <v>1370.7371826000001</v>
      </c>
      <c r="H652">
        <v>1344.4318848</v>
      </c>
      <c r="I652">
        <v>1317.8216553</v>
      </c>
      <c r="J652">
        <v>1295.1925048999999</v>
      </c>
      <c r="K652">
        <v>2875</v>
      </c>
      <c r="L652">
        <v>0</v>
      </c>
      <c r="M652">
        <v>0</v>
      </c>
      <c r="N652">
        <v>2875</v>
      </c>
    </row>
    <row r="653" spans="1:14" x14ac:dyDescent="0.25">
      <c r="A653">
        <v>365.00328000000002</v>
      </c>
      <c r="B653" s="1">
        <f>DATE(2011,5,1) + TIME(0,4,43)</f>
        <v>40664.003275462965</v>
      </c>
      <c r="C653">
        <v>80</v>
      </c>
      <c r="D653">
        <v>49.774436950999998</v>
      </c>
      <c r="E653">
        <v>50</v>
      </c>
      <c r="F653">
        <v>49.940647124999998</v>
      </c>
      <c r="G653">
        <v>1385.3640137</v>
      </c>
      <c r="H653">
        <v>1358.9709473</v>
      </c>
      <c r="I653">
        <v>1306.1842041</v>
      </c>
      <c r="J653">
        <v>1283.5544434000001</v>
      </c>
      <c r="K653">
        <v>2875</v>
      </c>
      <c r="L653">
        <v>0</v>
      </c>
      <c r="M653">
        <v>0</v>
      </c>
      <c r="N653">
        <v>2875</v>
      </c>
    </row>
    <row r="654" spans="1:14" x14ac:dyDescent="0.25">
      <c r="A654">
        <v>365.00984099999999</v>
      </c>
      <c r="B654" s="1">
        <f>DATE(2011,5,1) + TIME(0,14,10)</f>
        <v>40664.009837962964</v>
      </c>
      <c r="C654">
        <v>80</v>
      </c>
      <c r="D654">
        <v>50.100017547999997</v>
      </c>
      <c r="E654">
        <v>50</v>
      </c>
      <c r="F654">
        <v>49.937450409</v>
      </c>
      <c r="G654">
        <v>1400.1987305</v>
      </c>
      <c r="H654">
        <v>1373.8275146000001</v>
      </c>
      <c r="I654">
        <v>1294.1158447</v>
      </c>
      <c r="J654">
        <v>1271.4472656</v>
      </c>
      <c r="K654">
        <v>2875</v>
      </c>
      <c r="L654">
        <v>0</v>
      </c>
      <c r="M654">
        <v>0</v>
      </c>
      <c r="N654">
        <v>2875</v>
      </c>
    </row>
    <row r="655" spans="1:14" x14ac:dyDescent="0.25">
      <c r="A655">
        <v>365.02768600000002</v>
      </c>
      <c r="B655" s="1">
        <f>DATE(2011,5,1) + TIME(0,39,52)</f>
        <v>40664.027685185189</v>
      </c>
      <c r="C655">
        <v>80</v>
      </c>
      <c r="D655">
        <v>50.958930969000001</v>
      </c>
      <c r="E655">
        <v>50</v>
      </c>
      <c r="F655">
        <v>49.931720734000002</v>
      </c>
      <c r="G655">
        <v>1411.5308838000001</v>
      </c>
      <c r="H655">
        <v>1385.4581298999999</v>
      </c>
      <c r="I655">
        <v>1284.2801514</v>
      </c>
      <c r="J655">
        <v>1261.5770264</v>
      </c>
      <c r="K655">
        <v>2875</v>
      </c>
      <c r="L655">
        <v>0</v>
      </c>
      <c r="M655">
        <v>0</v>
      </c>
      <c r="N655">
        <v>2875</v>
      </c>
    </row>
    <row r="656" spans="1:14" x14ac:dyDescent="0.25">
      <c r="A656">
        <v>365.04599899999999</v>
      </c>
      <c r="B656" s="1">
        <f>DATE(2011,5,1) + TIME(1,6,14)</f>
        <v>40664.045995370368</v>
      </c>
      <c r="C656">
        <v>80</v>
      </c>
      <c r="D656">
        <v>51.815143585000001</v>
      </c>
      <c r="E656">
        <v>50</v>
      </c>
      <c r="F656">
        <v>49.926654816000003</v>
      </c>
      <c r="G656">
        <v>1415.7071533000001</v>
      </c>
      <c r="H656">
        <v>1389.9598389</v>
      </c>
      <c r="I656">
        <v>1280.5239257999999</v>
      </c>
      <c r="J656">
        <v>1257.8095702999999</v>
      </c>
      <c r="K656">
        <v>2875</v>
      </c>
      <c r="L656">
        <v>0</v>
      </c>
      <c r="M656">
        <v>0</v>
      </c>
      <c r="N656">
        <v>2875</v>
      </c>
    </row>
    <row r="657" spans="1:14" x14ac:dyDescent="0.25">
      <c r="A657">
        <v>365.06470400000001</v>
      </c>
      <c r="B657" s="1">
        <f>DATE(2011,5,1) + TIME(1,33,10)</f>
        <v>40664.064699074072</v>
      </c>
      <c r="C657">
        <v>80</v>
      </c>
      <c r="D657">
        <v>52.664161682</v>
      </c>
      <c r="E657">
        <v>50</v>
      </c>
      <c r="F657">
        <v>49.921806334999999</v>
      </c>
      <c r="G657">
        <v>1417.3322754000001</v>
      </c>
      <c r="H657">
        <v>1391.9160156</v>
      </c>
      <c r="I657">
        <v>1279.0018310999999</v>
      </c>
      <c r="J657">
        <v>1256.2828368999999</v>
      </c>
      <c r="K657">
        <v>2875</v>
      </c>
      <c r="L657">
        <v>0</v>
      </c>
      <c r="M657">
        <v>0</v>
      </c>
      <c r="N657">
        <v>2875</v>
      </c>
    </row>
    <row r="658" spans="1:14" x14ac:dyDescent="0.25">
      <c r="A658">
        <v>365.08379200000002</v>
      </c>
      <c r="B658" s="1">
        <f>DATE(2011,5,1) + TIME(2,0,39)</f>
        <v>40664.083784722221</v>
      </c>
      <c r="C658">
        <v>80</v>
      </c>
      <c r="D658">
        <v>53.504722594999997</v>
      </c>
      <c r="E658">
        <v>50</v>
      </c>
      <c r="F658">
        <v>49.917015075999998</v>
      </c>
      <c r="G658">
        <v>1417.8863524999999</v>
      </c>
      <c r="H658">
        <v>1392.7949219</v>
      </c>
      <c r="I658">
        <v>1278.3966064000001</v>
      </c>
      <c r="J658">
        <v>1255.6755370999999</v>
      </c>
      <c r="K658">
        <v>2875</v>
      </c>
      <c r="L658">
        <v>0</v>
      </c>
      <c r="M658">
        <v>0</v>
      </c>
      <c r="N658">
        <v>2875</v>
      </c>
    </row>
    <row r="659" spans="1:14" x14ac:dyDescent="0.25">
      <c r="A659">
        <v>365.10323799999998</v>
      </c>
      <c r="B659" s="1">
        <f>DATE(2011,5,1) + TIME(2,28,39)</f>
        <v>40664.103229166663</v>
      </c>
      <c r="C659">
        <v>80</v>
      </c>
      <c r="D659">
        <v>54.335018157999997</v>
      </c>
      <c r="E659">
        <v>50</v>
      </c>
      <c r="F659">
        <v>49.912231445000003</v>
      </c>
      <c r="G659">
        <v>1417.9465332</v>
      </c>
      <c r="H659">
        <v>1393.1702881000001</v>
      </c>
      <c r="I659">
        <v>1278.1788329999999</v>
      </c>
      <c r="J659">
        <v>1255.456543</v>
      </c>
      <c r="K659">
        <v>2875</v>
      </c>
      <c r="L659">
        <v>0</v>
      </c>
      <c r="M659">
        <v>0</v>
      </c>
      <c r="N659">
        <v>2875</v>
      </c>
    </row>
    <row r="660" spans="1:14" x14ac:dyDescent="0.25">
      <c r="A660">
        <v>365.12305400000002</v>
      </c>
      <c r="B660" s="1">
        <f>DATE(2011,5,1) + TIME(2,57,11)</f>
        <v>40664.123043981483</v>
      </c>
      <c r="C660">
        <v>80</v>
      </c>
      <c r="D660">
        <v>55.154899596999996</v>
      </c>
      <c r="E660">
        <v>50</v>
      </c>
      <c r="F660">
        <v>49.907417297000002</v>
      </c>
      <c r="G660">
        <v>1417.7686768000001</v>
      </c>
      <c r="H660">
        <v>1393.2966309000001</v>
      </c>
      <c r="I660">
        <v>1278.1203613</v>
      </c>
      <c r="J660">
        <v>1255.3970947</v>
      </c>
      <c r="K660">
        <v>2875</v>
      </c>
      <c r="L660">
        <v>0</v>
      </c>
      <c r="M660">
        <v>0</v>
      </c>
      <c r="N660">
        <v>2875</v>
      </c>
    </row>
    <row r="661" spans="1:14" x14ac:dyDescent="0.25">
      <c r="A661">
        <v>365.14325700000001</v>
      </c>
      <c r="B661" s="1">
        <f>DATE(2011,5,1) + TIME(3,26,17)</f>
        <v>40664.143252314818</v>
      </c>
      <c r="C661">
        <v>80</v>
      </c>
      <c r="D661">
        <v>55.964328766000001</v>
      </c>
      <c r="E661">
        <v>50</v>
      </c>
      <c r="F661">
        <v>49.902561188</v>
      </c>
      <c r="G661">
        <v>1417.4741211</v>
      </c>
      <c r="H661">
        <v>1393.2955322</v>
      </c>
      <c r="I661">
        <v>1278.1219481999999</v>
      </c>
      <c r="J661">
        <v>1255.3979492000001</v>
      </c>
      <c r="K661">
        <v>2875</v>
      </c>
      <c r="L661">
        <v>0</v>
      </c>
      <c r="M661">
        <v>0</v>
      </c>
      <c r="N661">
        <v>2875</v>
      </c>
    </row>
    <row r="662" spans="1:14" x14ac:dyDescent="0.25">
      <c r="A662">
        <v>365.16386299999999</v>
      </c>
      <c r="B662" s="1">
        <f>DATE(2011,5,1) + TIME(3,55,57)</f>
        <v>40664.163854166669</v>
      </c>
      <c r="C662">
        <v>80</v>
      </c>
      <c r="D662">
        <v>56.763301849000001</v>
      </c>
      <c r="E662">
        <v>50</v>
      </c>
      <c r="F662">
        <v>49.897655487000002</v>
      </c>
      <c r="G662">
        <v>1417.1234131000001</v>
      </c>
      <c r="H662">
        <v>1393.2279053</v>
      </c>
      <c r="I662">
        <v>1278.1419678</v>
      </c>
      <c r="J662">
        <v>1255.4173584</v>
      </c>
      <c r="K662">
        <v>2875</v>
      </c>
      <c r="L662">
        <v>0</v>
      </c>
      <c r="M662">
        <v>0</v>
      </c>
      <c r="N662">
        <v>2875</v>
      </c>
    </row>
    <row r="663" spans="1:14" x14ac:dyDescent="0.25">
      <c r="A663">
        <v>365.18489399999999</v>
      </c>
      <c r="B663" s="1">
        <f>DATE(2011,5,1) + TIME(4,26,14)</f>
        <v>40664.184884259259</v>
      </c>
      <c r="C663">
        <v>80</v>
      </c>
      <c r="D663">
        <v>57.551834106000001</v>
      </c>
      <c r="E663">
        <v>50</v>
      </c>
      <c r="F663">
        <v>49.892696381</v>
      </c>
      <c r="G663">
        <v>1416.7478027</v>
      </c>
      <c r="H663">
        <v>1393.1251221</v>
      </c>
      <c r="I663">
        <v>1278.1639404</v>
      </c>
      <c r="J663">
        <v>1255.4387207</v>
      </c>
      <c r="K663">
        <v>2875</v>
      </c>
      <c r="L663">
        <v>0</v>
      </c>
      <c r="M663">
        <v>0</v>
      </c>
      <c r="N663">
        <v>2875</v>
      </c>
    </row>
    <row r="664" spans="1:14" x14ac:dyDescent="0.25">
      <c r="A664">
        <v>365.20636999999999</v>
      </c>
      <c r="B664" s="1">
        <f>DATE(2011,5,1) + TIME(4,57,10)</f>
        <v>40664.206365740742</v>
      </c>
      <c r="C664">
        <v>80</v>
      </c>
      <c r="D664">
        <v>58.329936981000003</v>
      </c>
      <c r="E664">
        <v>50</v>
      </c>
      <c r="F664">
        <v>49.887680054</v>
      </c>
      <c r="G664">
        <v>1416.3636475000001</v>
      </c>
      <c r="H664">
        <v>1393.0039062000001</v>
      </c>
      <c r="I664">
        <v>1278.1823730000001</v>
      </c>
      <c r="J664">
        <v>1255.456543</v>
      </c>
      <c r="K664">
        <v>2875</v>
      </c>
      <c r="L664">
        <v>0</v>
      </c>
      <c r="M664">
        <v>0</v>
      </c>
      <c r="N664">
        <v>2875</v>
      </c>
    </row>
    <row r="665" spans="1:14" x14ac:dyDescent="0.25">
      <c r="A665">
        <v>365.22831300000001</v>
      </c>
      <c r="B665" s="1">
        <f>DATE(2011,5,1) + TIME(5,28,46)</f>
        <v>40664.228310185186</v>
      </c>
      <c r="C665">
        <v>80</v>
      </c>
      <c r="D665">
        <v>59.097610474</v>
      </c>
      <c r="E665">
        <v>50</v>
      </c>
      <c r="F665">
        <v>49.882598877</v>
      </c>
      <c r="G665">
        <v>1415.9797363</v>
      </c>
      <c r="H665">
        <v>1392.8736572</v>
      </c>
      <c r="I665">
        <v>1278.1961670000001</v>
      </c>
      <c r="J665">
        <v>1255.4698486</v>
      </c>
      <c r="K665">
        <v>2875</v>
      </c>
      <c r="L665">
        <v>0</v>
      </c>
      <c r="M665">
        <v>0</v>
      </c>
      <c r="N665">
        <v>2875</v>
      </c>
    </row>
    <row r="666" spans="1:14" x14ac:dyDescent="0.25">
      <c r="A666">
        <v>365.25074899999998</v>
      </c>
      <c r="B666" s="1">
        <f>DATE(2011,5,1) + TIME(6,1,4)</f>
        <v>40664.250740740739</v>
      </c>
      <c r="C666">
        <v>80</v>
      </c>
      <c r="D666">
        <v>59.854850769000002</v>
      </c>
      <c r="E666">
        <v>50</v>
      </c>
      <c r="F666">
        <v>49.877449036000002</v>
      </c>
      <c r="G666">
        <v>1415.6009521000001</v>
      </c>
      <c r="H666">
        <v>1392.7395019999999</v>
      </c>
      <c r="I666">
        <v>1278.2060547000001</v>
      </c>
      <c r="J666">
        <v>1255.4790039</v>
      </c>
      <c r="K666">
        <v>2875</v>
      </c>
      <c r="L666">
        <v>0</v>
      </c>
      <c r="M666">
        <v>0</v>
      </c>
      <c r="N666">
        <v>2875</v>
      </c>
    </row>
    <row r="667" spans="1:14" x14ac:dyDescent="0.25">
      <c r="A667">
        <v>365.27369900000002</v>
      </c>
      <c r="B667" s="1">
        <f>DATE(2011,5,1) + TIME(6,34,7)</f>
        <v>40664.273692129631</v>
      </c>
      <c r="C667">
        <v>80</v>
      </c>
      <c r="D667">
        <v>60.601047516000001</v>
      </c>
      <c r="E667">
        <v>50</v>
      </c>
      <c r="F667">
        <v>49.872234343999999</v>
      </c>
      <c r="G667">
        <v>1415.2298584</v>
      </c>
      <c r="H667">
        <v>1392.6043701000001</v>
      </c>
      <c r="I667">
        <v>1278.2126464999999</v>
      </c>
      <c r="J667">
        <v>1255.4849853999999</v>
      </c>
      <c r="K667">
        <v>2875</v>
      </c>
      <c r="L667">
        <v>0</v>
      </c>
      <c r="M667">
        <v>0</v>
      </c>
      <c r="N667">
        <v>2875</v>
      </c>
    </row>
    <row r="668" spans="1:14" x14ac:dyDescent="0.25">
      <c r="A668">
        <v>365.29719499999999</v>
      </c>
      <c r="B668" s="1">
        <f>DATE(2011,5,1) + TIME(7,7,57)</f>
        <v>40664.2971875</v>
      </c>
      <c r="C668">
        <v>80</v>
      </c>
      <c r="D668">
        <v>61.336654662999997</v>
      </c>
      <c r="E668">
        <v>50</v>
      </c>
      <c r="F668">
        <v>49.866943358999997</v>
      </c>
      <c r="G668">
        <v>1414.8677978999999</v>
      </c>
      <c r="H668">
        <v>1392.4698486</v>
      </c>
      <c r="I668">
        <v>1278.2170410000001</v>
      </c>
      <c r="J668">
        <v>1255.4887695</v>
      </c>
      <c r="K668">
        <v>2875</v>
      </c>
      <c r="L668">
        <v>0</v>
      </c>
      <c r="M668">
        <v>0</v>
      </c>
      <c r="N668">
        <v>2875</v>
      </c>
    </row>
    <row r="669" spans="1:14" x14ac:dyDescent="0.25">
      <c r="A669">
        <v>365.32126799999998</v>
      </c>
      <c r="B669" s="1">
        <f>DATE(2011,5,1) + TIME(7,42,37)</f>
        <v>40664.321261574078</v>
      </c>
      <c r="C669">
        <v>80</v>
      </c>
      <c r="D669">
        <v>62.061737061000002</v>
      </c>
      <c r="E669">
        <v>50</v>
      </c>
      <c r="F669">
        <v>49.861576079999999</v>
      </c>
      <c r="G669">
        <v>1414.5152588000001</v>
      </c>
      <c r="H669">
        <v>1392.3370361</v>
      </c>
      <c r="I669">
        <v>1278.2198486</v>
      </c>
      <c r="J669">
        <v>1255.4908447</v>
      </c>
      <c r="K669">
        <v>2875</v>
      </c>
      <c r="L669">
        <v>0</v>
      </c>
      <c r="M669">
        <v>0</v>
      </c>
      <c r="N669">
        <v>2875</v>
      </c>
    </row>
    <row r="670" spans="1:14" x14ac:dyDescent="0.25">
      <c r="A670">
        <v>365.34595000000002</v>
      </c>
      <c r="B670" s="1">
        <f>DATE(2011,5,1) + TIME(8,18,10)</f>
        <v>40664.345949074072</v>
      </c>
      <c r="C670">
        <v>80</v>
      </c>
      <c r="D670">
        <v>62.776248932000001</v>
      </c>
      <c r="E670">
        <v>50</v>
      </c>
      <c r="F670">
        <v>49.856121063000003</v>
      </c>
      <c r="G670">
        <v>1414.1724853999999</v>
      </c>
      <c r="H670">
        <v>1392.2062988</v>
      </c>
      <c r="I670">
        <v>1278.2215576000001</v>
      </c>
      <c r="J670">
        <v>1255.4919434000001</v>
      </c>
      <c r="K670">
        <v>2875</v>
      </c>
      <c r="L670">
        <v>0</v>
      </c>
      <c r="M670">
        <v>0</v>
      </c>
      <c r="N670">
        <v>2875</v>
      </c>
    </row>
    <row r="671" spans="1:14" x14ac:dyDescent="0.25">
      <c r="A671">
        <v>365.37127800000002</v>
      </c>
      <c r="B671" s="1">
        <f>DATE(2011,5,1) + TIME(8,54,38)</f>
        <v>40664.37127314815</v>
      </c>
      <c r="C671">
        <v>80</v>
      </c>
      <c r="D671">
        <v>63.480125426999997</v>
      </c>
      <c r="E671">
        <v>50</v>
      </c>
      <c r="F671">
        <v>49.850578308000003</v>
      </c>
      <c r="G671">
        <v>1413.8394774999999</v>
      </c>
      <c r="H671">
        <v>1392.0780029</v>
      </c>
      <c r="I671">
        <v>1278.2225341999999</v>
      </c>
      <c r="J671">
        <v>1255.4921875</v>
      </c>
      <c r="K671">
        <v>2875</v>
      </c>
      <c r="L671">
        <v>0</v>
      </c>
      <c r="M671">
        <v>0</v>
      </c>
      <c r="N671">
        <v>2875</v>
      </c>
    </row>
    <row r="672" spans="1:14" x14ac:dyDescent="0.25">
      <c r="A672">
        <v>365.397288</v>
      </c>
      <c r="B672" s="1">
        <f>DATE(2011,5,1) + TIME(9,32,5)</f>
        <v>40664.397280092591</v>
      </c>
      <c r="C672">
        <v>80</v>
      </c>
      <c r="D672">
        <v>64.173301696999999</v>
      </c>
      <c r="E672">
        <v>50</v>
      </c>
      <c r="F672">
        <v>49.844940186000002</v>
      </c>
      <c r="G672">
        <v>1413.5158690999999</v>
      </c>
      <c r="H672">
        <v>1391.9522704999999</v>
      </c>
      <c r="I672">
        <v>1278.2229004000001</v>
      </c>
      <c r="J672">
        <v>1255.4919434000001</v>
      </c>
      <c r="K672">
        <v>2875</v>
      </c>
      <c r="L672">
        <v>0</v>
      </c>
      <c r="M672">
        <v>0</v>
      </c>
      <c r="N672">
        <v>2875</v>
      </c>
    </row>
    <row r="673" spans="1:14" x14ac:dyDescent="0.25">
      <c r="A673">
        <v>365.42402299999998</v>
      </c>
      <c r="B673" s="1">
        <f>DATE(2011,5,1) + TIME(10,10,35)</f>
        <v>40664.424016203702</v>
      </c>
      <c r="C673">
        <v>80</v>
      </c>
      <c r="D673">
        <v>64.855682372999993</v>
      </c>
      <c r="E673">
        <v>50</v>
      </c>
      <c r="F673">
        <v>49.839202880999999</v>
      </c>
      <c r="G673">
        <v>1413.2014160000001</v>
      </c>
      <c r="H673">
        <v>1391.8288574000001</v>
      </c>
      <c r="I673">
        <v>1278.2230225000001</v>
      </c>
      <c r="J673">
        <v>1255.4914550999999</v>
      </c>
      <c r="K673">
        <v>2875</v>
      </c>
      <c r="L673">
        <v>0</v>
      </c>
      <c r="M673">
        <v>0</v>
      </c>
      <c r="N673">
        <v>2875</v>
      </c>
    </row>
    <row r="674" spans="1:14" x14ac:dyDescent="0.25">
      <c r="A674">
        <v>365.451528</v>
      </c>
      <c r="B674" s="1">
        <f>DATE(2011,5,1) + TIME(10,50,11)</f>
        <v>40664.451516203706</v>
      </c>
      <c r="C674">
        <v>80</v>
      </c>
      <c r="D674">
        <v>65.527313231999997</v>
      </c>
      <c r="E674">
        <v>50</v>
      </c>
      <c r="F674">
        <v>49.83335495</v>
      </c>
      <c r="G674">
        <v>1412.895874</v>
      </c>
      <c r="H674">
        <v>1391.7077637</v>
      </c>
      <c r="I674">
        <v>1278.2229004000001</v>
      </c>
      <c r="J674">
        <v>1255.4906006000001</v>
      </c>
      <c r="K674">
        <v>2875</v>
      </c>
      <c r="L674">
        <v>0</v>
      </c>
      <c r="M674">
        <v>0</v>
      </c>
      <c r="N674">
        <v>2875</v>
      </c>
    </row>
    <row r="675" spans="1:14" x14ac:dyDescent="0.25">
      <c r="A675">
        <v>365.479851</v>
      </c>
      <c r="B675" s="1">
        <f>DATE(2011,5,1) + TIME(11,30,59)</f>
        <v>40664.479849537034</v>
      </c>
      <c r="C675">
        <v>80</v>
      </c>
      <c r="D675">
        <v>66.187980651999993</v>
      </c>
      <c r="E675">
        <v>50</v>
      </c>
      <c r="F675">
        <v>49.827392578000001</v>
      </c>
      <c r="G675">
        <v>1412.5988769999999</v>
      </c>
      <c r="H675">
        <v>1391.5888672000001</v>
      </c>
      <c r="I675">
        <v>1278.2225341999999</v>
      </c>
      <c r="J675">
        <v>1255.4895019999999</v>
      </c>
      <c r="K675">
        <v>2875</v>
      </c>
      <c r="L675">
        <v>0</v>
      </c>
      <c r="M675">
        <v>0</v>
      </c>
      <c r="N675">
        <v>2875</v>
      </c>
    </row>
    <row r="676" spans="1:14" x14ac:dyDescent="0.25">
      <c r="A676">
        <v>365.50904600000001</v>
      </c>
      <c r="B676" s="1">
        <f>DATE(2011,5,1) + TIME(12,13,1)</f>
        <v>40664.509039351855</v>
      </c>
      <c r="C676">
        <v>80</v>
      </c>
      <c r="D676">
        <v>66.837532042999996</v>
      </c>
      <c r="E676">
        <v>50</v>
      </c>
      <c r="F676">
        <v>49.821311950999998</v>
      </c>
      <c r="G676">
        <v>1412.3098144999999</v>
      </c>
      <c r="H676">
        <v>1391.4720459</v>
      </c>
      <c r="I676">
        <v>1278.2220459</v>
      </c>
      <c r="J676">
        <v>1255.4884033000001</v>
      </c>
      <c r="K676">
        <v>2875</v>
      </c>
      <c r="L676">
        <v>0</v>
      </c>
      <c r="M676">
        <v>0</v>
      </c>
      <c r="N676">
        <v>2875</v>
      </c>
    </row>
    <row r="677" spans="1:14" x14ac:dyDescent="0.25">
      <c r="A677">
        <v>365.53918299999998</v>
      </c>
      <c r="B677" s="1">
        <f>DATE(2011,5,1) + TIME(12,56,25)</f>
        <v>40664.539178240739</v>
      </c>
      <c r="C677">
        <v>80</v>
      </c>
      <c r="D677">
        <v>67.476051330999994</v>
      </c>
      <c r="E677">
        <v>50</v>
      </c>
      <c r="F677">
        <v>49.815093994000001</v>
      </c>
      <c r="G677">
        <v>1412.0284423999999</v>
      </c>
      <c r="H677">
        <v>1391.3570557</v>
      </c>
      <c r="I677">
        <v>1278.2215576000001</v>
      </c>
      <c r="J677">
        <v>1255.4870605000001</v>
      </c>
      <c r="K677">
        <v>2875</v>
      </c>
      <c r="L677">
        <v>0</v>
      </c>
      <c r="M677">
        <v>0</v>
      </c>
      <c r="N677">
        <v>2875</v>
      </c>
    </row>
    <row r="678" spans="1:14" x14ac:dyDescent="0.25">
      <c r="A678">
        <v>365.57031999999998</v>
      </c>
      <c r="B678" s="1">
        <f>DATE(2011,5,1) + TIME(13,41,15)</f>
        <v>40664.5703125</v>
      </c>
      <c r="C678">
        <v>80</v>
      </c>
      <c r="D678">
        <v>68.103240967000005</v>
      </c>
      <c r="E678">
        <v>50</v>
      </c>
      <c r="F678">
        <v>49.808731078999998</v>
      </c>
      <c r="G678">
        <v>1411.7543945</v>
      </c>
      <c r="H678">
        <v>1391.2436522999999</v>
      </c>
      <c r="I678">
        <v>1278.2208252</v>
      </c>
      <c r="J678">
        <v>1255.4855957</v>
      </c>
      <c r="K678">
        <v>2875</v>
      </c>
      <c r="L678">
        <v>0</v>
      </c>
      <c r="M678">
        <v>0</v>
      </c>
      <c r="N678">
        <v>2875</v>
      </c>
    </row>
    <row r="679" spans="1:14" x14ac:dyDescent="0.25">
      <c r="A679">
        <v>365.60252500000001</v>
      </c>
      <c r="B679" s="1">
        <f>DATE(2011,5,1) + TIME(14,27,38)</f>
        <v>40664.602523148147</v>
      </c>
      <c r="C679">
        <v>80</v>
      </c>
      <c r="D679">
        <v>68.718856811999999</v>
      </c>
      <c r="E679">
        <v>50</v>
      </c>
      <c r="F679">
        <v>49.802219391000001</v>
      </c>
      <c r="G679">
        <v>1411.4871826000001</v>
      </c>
      <c r="H679">
        <v>1391.1317139</v>
      </c>
      <c r="I679">
        <v>1278.2200928</v>
      </c>
      <c r="J679">
        <v>1255.4841309000001</v>
      </c>
      <c r="K679">
        <v>2875</v>
      </c>
      <c r="L679">
        <v>0</v>
      </c>
      <c r="M679">
        <v>0</v>
      </c>
      <c r="N679">
        <v>2875</v>
      </c>
    </row>
    <row r="680" spans="1:14" x14ac:dyDescent="0.25">
      <c r="A680">
        <v>365.63587699999999</v>
      </c>
      <c r="B680" s="1">
        <f>DATE(2011,5,1) + TIME(15,15,39)</f>
        <v>40664.635868055557</v>
      </c>
      <c r="C680">
        <v>80</v>
      </c>
      <c r="D680">
        <v>69.322715759000005</v>
      </c>
      <c r="E680">
        <v>50</v>
      </c>
      <c r="F680">
        <v>49.795547485</v>
      </c>
      <c r="G680">
        <v>1411.2265625</v>
      </c>
      <c r="H680">
        <v>1391.0211182</v>
      </c>
      <c r="I680">
        <v>1278.2192382999999</v>
      </c>
      <c r="J680">
        <v>1255.4825439000001</v>
      </c>
      <c r="K680">
        <v>2875</v>
      </c>
      <c r="L680">
        <v>0</v>
      </c>
      <c r="M680">
        <v>0</v>
      </c>
      <c r="N680">
        <v>2875</v>
      </c>
    </row>
    <row r="681" spans="1:14" x14ac:dyDescent="0.25">
      <c r="A681">
        <v>365.67046299999998</v>
      </c>
      <c r="B681" s="1">
        <f>DATE(2011,5,1) + TIME(16,5,28)</f>
        <v>40664.67046296296</v>
      </c>
      <c r="C681">
        <v>80</v>
      </c>
      <c r="D681">
        <v>69.914619446000003</v>
      </c>
      <c r="E681">
        <v>50</v>
      </c>
      <c r="F681">
        <v>49.788696289000001</v>
      </c>
      <c r="G681">
        <v>1410.9722899999999</v>
      </c>
      <c r="H681">
        <v>1390.9116211</v>
      </c>
      <c r="I681">
        <v>1278.2183838000001</v>
      </c>
      <c r="J681">
        <v>1255.4808350000001</v>
      </c>
      <c r="K681">
        <v>2875</v>
      </c>
      <c r="L681">
        <v>0</v>
      </c>
      <c r="M681">
        <v>0</v>
      </c>
      <c r="N681">
        <v>2875</v>
      </c>
    </row>
    <row r="682" spans="1:14" x14ac:dyDescent="0.25">
      <c r="A682">
        <v>365.70638100000002</v>
      </c>
      <c r="B682" s="1">
        <f>DATE(2011,5,1) + TIME(16,57,11)</f>
        <v>40664.706377314818</v>
      </c>
      <c r="C682">
        <v>80</v>
      </c>
      <c r="D682">
        <v>70.493980407999999</v>
      </c>
      <c r="E682">
        <v>50</v>
      </c>
      <c r="F682">
        <v>49.781658172999997</v>
      </c>
      <c r="G682">
        <v>1410.7237548999999</v>
      </c>
      <c r="H682">
        <v>1390.8028564000001</v>
      </c>
      <c r="I682">
        <v>1278.2172852000001</v>
      </c>
      <c r="J682">
        <v>1255.4790039</v>
      </c>
      <c r="K682">
        <v>2875</v>
      </c>
      <c r="L682">
        <v>0</v>
      </c>
      <c r="M682">
        <v>0</v>
      </c>
      <c r="N682">
        <v>2875</v>
      </c>
    </row>
    <row r="683" spans="1:14" x14ac:dyDescent="0.25">
      <c r="A683">
        <v>365.74373900000001</v>
      </c>
      <c r="B683" s="1">
        <f>DATE(2011,5,1) + TIME(17,50,59)</f>
        <v>40664.743738425925</v>
      </c>
      <c r="C683">
        <v>80</v>
      </c>
      <c r="D683">
        <v>71.060859679999993</v>
      </c>
      <c r="E683">
        <v>50</v>
      </c>
      <c r="F683">
        <v>49.774414061999998</v>
      </c>
      <c r="G683">
        <v>1410.4807129000001</v>
      </c>
      <c r="H683">
        <v>1390.6948242000001</v>
      </c>
      <c r="I683">
        <v>1278.2163086</v>
      </c>
      <c r="J683">
        <v>1255.4770507999999</v>
      </c>
      <c r="K683">
        <v>2875</v>
      </c>
      <c r="L683">
        <v>0</v>
      </c>
      <c r="M683">
        <v>0</v>
      </c>
      <c r="N683">
        <v>2875</v>
      </c>
    </row>
    <row r="684" spans="1:14" x14ac:dyDescent="0.25">
      <c r="A684">
        <v>365.78266000000002</v>
      </c>
      <c r="B684" s="1">
        <f>DATE(2011,5,1) + TIME(18,47,1)</f>
        <v>40664.782650462963</v>
      </c>
      <c r="C684">
        <v>80</v>
      </c>
      <c r="D684">
        <v>71.615058899000005</v>
      </c>
      <c r="E684">
        <v>50</v>
      </c>
      <c r="F684">
        <v>49.766944885000001</v>
      </c>
      <c r="G684">
        <v>1410.2427978999999</v>
      </c>
      <c r="H684">
        <v>1390.5872803</v>
      </c>
      <c r="I684">
        <v>1278.2150879000001</v>
      </c>
      <c r="J684">
        <v>1255.4750977000001</v>
      </c>
      <c r="K684">
        <v>2875</v>
      </c>
      <c r="L684">
        <v>0</v>
      </c>
      <c r="M684">
        <v>0</v>
      </c>
      <c r="N684">
        <v>2875</v>
      </c>
    </row>
    <row r="685" spans="1:14" x14ac:dyDescent="0.25">
      <c r="A685">
        <v>365.82328100000001</v>
      </c>
      <c r="B685" s="1">
        <f>DATE(2011,5,1) + TIME(19,45,31)</f>
        <v>40664.823275462964</v>
      </c>
      <c r="C685">
        <v>80</v>
      </c>
      <c r="D685">
        <v>72.156303406000006</v>
      </c>
      <c r="E685">
        <v>50</v>
      </c>
      <c r="F685">
        <v>49.759235382</v>
      </c>
      <c r="G685">
        <v>1410.0096435999999</v>
      </c>
      <c r="H685">
        <v>1390.4798584</v>
      </c>
      <c r="I685">
        <v>1278.2139893000001</v>
      </c>
      <c r="J685">
        <v>1255.4730225000001</v>
      </c>
      <c r="K685">
        <v>2875</v>
      </c>
      <c r="L685">
        <v>0</v>
      </c>
      <c r="M685">
        <v>0</v>
      </c>
      <c r="N685">
        <v>2875</v>
      </c>
    </row>
    <row r="686" spans="1:14" x14ac:dyDescent="0.25">
      <c r="A686">
        <v>365.86575900000003</v>
      </c>
      <c r="B686" s="1">
        <f>DATE(2011,5,1) + TIME(20,46,41)</f>
        <v>40664.865752314814</v>
      </c>
      <c r="C686">
        <v>80</v>
      </c>
      <c r="D686">
        <v>72.684310913000004</v>
      </c>
      <c r="E686">
        <v>50</v>
      </c>
      <c r="F686">
        <v>49.751262664999999</v>
      </c>
      <c r="G686">
        <v>1409.7810059000001</v>
      </c>
      <c r="H686">
        <v>1390.3725586</v>
      </c>
      <c r="I686">
        <v>1278.2126464999999</v>
      </c>
      <c r="J686">
        <v>1255.4708252</v>
      </c>
      <c r="K686">
        <v>2875</v>
      </c>
      <c r="L686">
        <v>0</v>
      </c>
      <c r="M686">
        <v>0</v>
      </c>
      <c r="N686">
        <v>2875</v>
      </c>
    </row>
    <row r="687" spans="1:14" x14ac:dyDescent="0.25">
      <c r="A687">
        <v>365.91028399999999</v>
      </c>
      <c r="B687" s="1">
        <f>DATE(2011,5,1) + TIME(21,50,48)</f>
        <v>40664.910277777781</v>
      </c>
      <c r="C687">
        <v>80</v>
      </c>
      <c r="D687">
        <v>73.198883057000003</v>
      </c>
      <c r="E687">
        <v>50</v>
      </c>
      <c r="F687">
        <v>49.743000031000001</v>
      </c>
      <c r="G687">
        <v>1409.5563964999999</v>
      </c>
      <c r="H687">
        <v>1390.2648925999999</v>
      </c>
      <c r="I687">
        <v>1278.2113036999999</v>
      </c>
      <c r="J687">
        <v>1255.4685059000001</v>
      </c>
      <c r="K687">
        <v>2875</v>
      </c>
      <c r="L687">
        <v>0</v>
      </c>
      <c r="M687">
        <v>0</v>
      </c>
      <c r="N687">
        <v>2875</v>
      </c>
    </row>
    <row r="688" spans="1:14" x14ac:dyDescent="0.25">
      <c r="A688">
        <v>365.95707099999998</v>
      </c>
      <c r="B688" s="1">
        <f>DATE(2011,5,1) + TIME(22,58,10)</f>
        <v>40664.957060185188</v>
      </c>
      <c r="C688">
        <v>80</v>
      </c>
      <c r="D688">
        <v>73.699775696000003</v>
      </c>
      <c r="E688">
        <v>50</v>
      </c>
      <c r="F688">
        <v>49.734416961999997</v>
      </c>
      <c r="G688">
        <v>1409.3353271000001</v>
      </c>
      <c r="H688">
        <v>1390.1567382999999</v>
      </c>
      <c r="I688">
        <v>1278.2098389</v>
      </c>
      <c r="J688">
        <v>1255.4660644999999</v>
      </c>
      <c r="K688">
        <v>2875</v>
      </c>
      <c r="L688">
        <v>0</v>
      </c>
      <c r="M688">
        <v>0</v>
      </c>
      <c r="N688">
        <v>2875</v>
      </c>
    </row>
    <row r="689" spans="1:14" x14ac:dyDescent="0.25">
      <c r="A689">
        <v>366.00633900000003</v>
      </c>
      <c r="B689" s="1">
        <f>DATE(2011,5,2) + TIME(0,9,7)</f>
        <v>40665.006331018521</v>
      </c>
      <c r="C689">
        <v>80</v>
      </c>
      <c r="D689">
        <v>74.186393738000007</v>
      </c>
      <c r="E689">
        <v>50</v>
      </c>
      <c r="F689">
        <v>49.725479126000003</v>
      </c>
      <c r="G689">
        <v>1409.1176757999999</v>
      </c>
      <c r="H689">
        <v>1390.0478516000001</v>
      </c>
      <c r="I689">
        <v>1278.2082519999999</v>
      </c>
      <c r="J689">
        <v>1255.4636230000001</v>
      </c>
      <c r="K689">
        <v>2875</v>
      </c>
      <c r="L689">
        <v>0</v>
      </c>
      <c r="M689">
        <v>0</v>
      </c>
      <c r="N689">
        <v>2875</v>
      </c>
    </row>
    <row r="690" spans="1:14" x14ac:dyDescent="0.25">
      <c r="A690">
        <v>366.05836199999999</v>
      </c>
      <c r="B690" s="1">
        <f>DATE(2011,5,2) + TIME(1,24,2)</f>
        <v>40665.058356481481</v>
      </c>
      <c r="C690">
        <v>80</v>
      </c>
      <c r="D690">
        <v>74.658355713000006</v>
      </c>
      <c r="E690">
        <v>50</v>
      </c>
      <c r="F690">
        <v>49.716156005999999</v>
      </c>
      <c r="G690">
        <v>1408.9029541</v>
      </c>
      <c r="H690">
        <v>1389.9378661999999</v>
      </c>
      <c r="I690">
        <v>1278.2066649999999</v>
      </c>
      <c r="J690">
        <v>1255.4609375</v>
      </c>
      <c r="K690">
        <v>2875</v>
      </c>
      <c r="L690">
        <v>0</v>
      </c>
      <c r="M690">
        <v>0</v>
      </c>
      <c r="N690">
        <v>2875</v>
      </c>
    </row>
    <row r="691" spans="1:14" x14ac:dyDescent="0.25">
      <c r="A691">
        <v>366.11346300000002</v>
      </c>
      <c r="B691" s="1">
        <f>DATE(2011,5,2) + TIME(2,43,23)</f>
        <v>40665.11346064815</v>
      </c>
      <c r="C691">
        <v>80</v>
      </c>
      <c r="D691">
        <v>75.115142821999996</v>
      </c>
      <c r="E691">
        <v>50</v>
      </c>
      <c r="F691">
        <v>49.706398010000001</v>
      </c>
      <c r="G691">
        <v>1408.6907959</v>
      </c>
      <c r="H691">
        <v>1389.8264160000001</v>
      </c>
      <c r="I691">
        <v>1278.2048339999999</v>
      </c>
      <c r="J691">
        <v>1255.4581298999999</v>
      </c>
      <c r="K691">
        <v>2875</v>
      </c>
      <c r="L691">
        <v>0</v>
      </c>
      <c r="M691">
        <v>0</v>
      </c>
      <c r="N691">
        <v>2875</v>
      </c>
    </row>
    <row r="692" spans="1:14" x14ac:dyDescent="0.25">
      <c r="A692">
        <v>366.17201999999997</v>
      </c>
      <c r="B692" s="1">
        <f>DATE(2011,5,2) + TIME(4,7,42)</f>
        <v>40665.172013888892</v>
      </c>
      <c r="C692">
        <v>80</v>
      </c>
      <c r="D692">
        <v>75.556114196999999</v>
      </c>
      <c r="E692">
        <v>50</v>
      </c>
      <c r="F692">
        <v>49.696159363</v>
      </c>
      <c r="G692">
        <v>1408.4807129000001</v>
      </c>
      <c r="H692">
        <v>1389.7132568</v>
      </c>
      <c r="I692">
        <v>1278.2030029</v>
      </c>
      <c r="J692">
        <v>1255.4552002</v>
      </c>
      <c r="K692">
        <v>2875</v>
      </c>
      <c r="L692">
        <v>0</v>
      </c>
      <c r="M692">
        <v>0</v>
      </c>
      <c r="N692">
        <v>2875</v>
      </c>
    </row>
    <row r="693" spans="1:14" x14ac:dyDescent="0.25">
      <c r="A693">
        <v>366.23447399999998</v>
      </c>
      <c r="B693" s="1">
        <f>DATE(2011,5,2) + TIME(5,37,38)</f>
        <v>40665.234467592592</v>
      </c>
      <c r="C693">
        <v>80</v>
      </c>
      <c r="D693">
        <v>75.980926514000004</v>
      </c>
      <c r="E693">
        <v>50</v>
      </c>
      <c r="F693">
        <v>49.685375213999997</v>
      </c>
      <c r="G693">
        <v>1408.2723389</v>
      </c>
      <c r="H693">
        <v>1389.5980225000001</v>
      </c>
      <c r="I693">
        <v>1278.2010498</v>
      </c>
      <c r="J693">
        <v>1255.4520264</v>
      </c>
      <c r="K693">
        <v>2875</v>
      </c>
      <c r="L693">
        <v>0</v>
      </c>
      <c r="M693">
        <v>0</v>
      </c>
      <c r="N693">
        <v>2875</v>
      </c>
    </row>
    <row r="694" spans="1:14" x14ac:dyDescent="0.25">
      <c r="A694">
        <v>366.30137999999999</v>
      </c>
      <c r="B694" s="1">
        <f>DATE(2011,5,2) + TIME(7,13,59)</f>
        <v>40665.301377314812</v>
      </c>
      <c r="C694">
        <v>80</v>
      </c>
      <c r="D694">
        <v>76.389144896999994</v>
      </c>
      <c r="E694">
        <v>50</v>
      </c>
      <c r="F694">
        <v>49.673976897999999</v>
      </c>
      <c r="G694">
        <v>1408.0650635</v>
      </c>
      <c r="H694">
        <v>1389.4801024999999</v>
      </c>
      <c r="I694">
        <v>1278.1989745999999</v>
      </c>
      <c r="J694">
        <v>1255.4487305</v>
      </c>
      <c r="K694">
        <v>2875</v>
      </c>
      <c r="L694">
        <v>0</v>
      </c>
      <c r="M694">
        <v>0</v>
      </c>
      <c r="N694">
        <v>2875</v>
      </c>
    </row>
    <row r="695" spans="1:14" x14ac:dyDescent="0.25">
      <c r="A695">
        <v>366.373402</v>
      </c>
      <c r="B695" s="1">
        <f>DATE(2011,5,2) + TIME(8,57,41)</f>
        <v>40665.373391203706</v>
      </c>
      <c r="C695">
        <v>80</v>
      </c>
      <c r="D695">
        <v>76.780174255000006</v>
      </c>
      <c r="E695">
        <v>50</v>
      </c>
      <c r="F695">
        <v>49.661872864000003</v>
      </c>
      <c r="G695">
        <v>1407.8582764</v>
      </c>
      <c r="H695">
        <v>1389.3591309000001</v>
      </c>
      <c r="I695">
        <v>1278.1966553</v>
      </c>
      <c r="J695">
        <v>1255.4451904</v>
      </c>
      <c r="K695">
        <v>2875</v>
      </c>
      <c r="L695">
        <v>0</v>
      </c>
      <c r="M695">
        <v>0</v>
      </c>
      <c r="N695">
        <v>2875</v>
      </c>
    </row>
    <row r="696" spans="1:14" x14ac:dyDescent="0.25">
      <c r="A696">
        <v>366.45136200000002</v>
      </c>
      <c r="B696" s="1">
        <f>DATE(2011,5,2) + TIME(10,49,57)</f>
        <v>40665.451354166667</v>
      </c>
      <c r="C696">
        <v>80</v>
      </c>
      <c r="D696">
        <v>77.153373717999997</v>
      </c>
      <c r="E696">
        <v>50</v>
      </c>
      <c r="F696">
        <v>49.648956298999998</v>
      </c>
      <c r="G696">
        <v>1407.6514893000001</v>
      </c>
      <c r="H696">
        <v>1389.2346190999999</v>
      </c>
      <c r="I696">
        <v>1278.1942139</v>
      </c>
      <c r="J696">
        <v>1255.4412841999999</v>
      </c>
      <c r="K696">
        <v>2875</v>
      </c>
      <c r="L696">
        <v>0</v>
      </c>
      <c r="M696">
        <v>0</v>
      </c>
      <c r="N696">
        <v>2875</v>
      </c>
    </row>
    <row r="697" spans="1:14" x14ac:dyDescent="0.25">
      <c r="A697">
        <v>366.53174100000001</v>
      </c>
      <c r="B697" s="1">
        <f>DATE(2011,5,2) + TIME(12,45,42)</f>
        <v>40665.531736111108</v>
      </c>
      <c r="C697">
        <v>80</v>
      </c>
      <c r="D697">
        <v>77.491386414000004</v>
      </c>
      <c r="E697">
        <v>50</v>
      </c>
      <c r="F697">
        <v>49.635761260999999</v>
      </c>
      <c r="G697">
        <v>1407.4519043</v>
      </c>
      <c r="H697">
        <v>1389.1092529</v>
      </c>
      <c r="I697">
        <v>1278.1914062000001</v>
      </c>
      <c r="J697">
        <v>1255.4372559000001</v>
      </c>
      <c r="K697">
        <v>2875</v>
      </c>
      <c r="L697">
        <v>0</v>
      </c>
      <c r="M697">
        <v>0</v>
      </c>
      <c r="N697">
        <v>2875</v>
      </c>
    </row>
    <row r="698" spans="1:14" x14ac:dyDescent="0.25">
      <c r="A698">
        <v>366.61253599999998</v>
      </c>
      <c r="B698" s="1">
        <f>DATE(2011,5,2) + TIME(14,42,3)</f>
        <v>40665.612534722219</v>
      </c>
      <c r="C698">
        <v>80</v>
      </c>
      <c r="D698">
        <v>77.789642334000007</v>
      </c>
      <c r="E698">
        <v>50</v>
      </c>
      <c r="F698">
        <v>49.622585297000001</v>
      </c>
      <c r="G698">
        <v>1407.2637939000001</v>
      </c>
      <c r="H698">
        <v>1388.9870605000001</v>
      </c>
      <c r="I698">
        <v>1278.1884766000001</v>
      </c>
      <c r="J698">
        <v>1255.4331055</v>
      </c>
      <c r="K698">
        <v>2875</v>
      </c>
      <c r="L698">
        <v>0</v>
      </c>
      <c r="M698">
        <v>0</v>
      </c>
      <c r="N698">
        <v>2875</v>
      </c>
    </row>
    <row r="699" spans="1:14" x14ac:dyDescent="0.25">
      <c r="A699">
        <v>366.693783</v>
      </c>
      <c r="B699" s="1">
        <f>DATE(2011,5,2) + TIME(16,39,2)</f>
        <v>40665.693773148145</v>
      </c>
      <c r="C699">
        <v>80</v>
      </c>
      <c r="D699">
        <v>78.052726746000005</v>
      </c>
      <c r="E699">
        <v>50</v>
      </c>
      <c r="F699">
        <v>49.609416961999997</v>
      </c>
      <c r="G699">
        <v>1407.0865478999999</v>
      </c>
      <c r="H699">
        <v>1388.8687743999999</v>
      </c>
      <c r="I699">
        <v>1278.1855469</v>
      </c>
      <c r="J699">
        <v>1255.4289550999999</v>
      </c>
      <c r="K699">
        <v>2875</v>
      </c>
      <c r="L699">
        <v>0</v>
      </c>
      <c r="M699">
        <v>0</v>
      </c>
      <c r="N699">
        <v>2875</v>
      </c>
    </row>
    <row r="700" spans="1:14" x14ac:dyDescent="0.25">
      <c r="A700">
        <v>366.77566999999999</v>
      </c>
      <c r="B700" s="1">
        <f>DATE(2011,5,2) + TIME(18,36,57)</f>
        <v>40665.775659722225</v>
      </c>
      <c r="C700">
        <v>80</v>
      </c>
      <c r="D700">
        <v>78.285095214999998</v>
      </c>
      <c r="E700">
        <v>50</v>
      </c>
      <c r="F700">
        <v>49.596225738999998</v>
      </c>
      <c r="G700">
        <v>1406.9189452999999</v>
      </c>
      <c r="H700">
        <v>1388.7542725000001</v>
      </c>
      <c r="I700">
        <v>1278.1826172000001</v>
      </c>
      <c r="J700">
        <v>1255.4246826000001</v>
      </c>
      <c r="K700">
        <v>2875</v>
      </c>
      <c r="L700">
        <v>0</v>
      </c>
      <c r="M700">
        <v>0</v>
      </c>
      <c r="N700">
        <v>2875</v>
      </c>
    </row>
    <row r="701" spans="1:14" x14ac:dyDescent="0.25">
      <c r="A701">
        <v>366.85837199999997</v>
      </c>
      <c r="B701" s="1">
        <f>DATE(2011,5,2) + TIME(20,36,3)</f>
        <v>40665.858368055553</v>
      </c>
      <c r="C701">
        <v>80</v>
      </c>
      <c r="D701">
        <v>78.490478515999996</v>
      </c>
      <c r="E701">
        <v>50</v>
      </c>
      <c r="F701">
        <v>49.582984924000002</v>
      </c>
      <c r="G701">
        <v>1406.7596435999999</v>
      </c>
      <c r="H701">
        <v>1388.6428223</v>
      </c>
      <c r="I701">
        <v>1278.1796875</v>
      </c>
      <c r="J701">
        <v>1255.4204102000001</v>
      </c>
      <c r="K701">
        <v>2875</v>
      </c>
      <c r="L701">
        <v>0</v>
      </c>
      <c r="M701">
        <v>0</v>
      </c>
      <c r="N701">
        <v>2875</v>
      </c>
    </row>
    <row r="702" spans="1:14" x14ac:dyDescent="0.25">
      <c r="A702">
        <v>366.94205899999997</v>
      </c>
      <c r="B702" s="1">
        <f>DATE(2011,5,2) + TIME(22,36,33)</f>
        <v>40665.942048611112</v>
      </c>
      <c r="C702">
        <v>80</v>
      </c>
      <c r="D702">
        <v>78.672103882000002</v>
      </c>
      <c r="E702">
        <v>50</v>
      </c>
      <c r="F702">
        <v>49.569671630999999</v>
      </c>
      <c r="G702">
        <v>1406.6075439000001</v>
      </c>
      <c r="H702">
        <v>1388.5341797000001</v>
      </c>
      <c r="I702">
        <v>1278.1766356999999</v>
      </c>
      <c r="J702">
        <v>1255.4161377</v>
      </c>
      <c r="K702">
        <v>2875</v>
      </c>
      <c r="L702">
        <v>0</v>
      </c>
      <c r="M702">
        <v>0</v>
      </c>
      <c r="N702">
        <v>2875</v>
      </c>
    </row>
    <row r="703" spans="1:14" x14ac:dyDescent="0.25">
      <c r="A703">
        <v>367.02689800000002</v>
      </c>
      <c r="B703" s="1">
        <f>DATE(2011,5,3) + TIME(0,38,43)</f>
        <v>40666.026886574073</v>
      </c>
      <c r="C703">
        <v>80</v>
      </c>
      <c r="D703">
        <v>78.832740783999995</v>
      </c>
      <c r="E703">
        <v>50</v>
      </c>
      <c r="F703">
        <v>49.556259154999999</v>
      </c>
      <c r="G703">
        <v>1406.4619141000001</v>
      </c>
      <c r="H703">
        <v>1388.4278564000001</v>
      </c>
      <c r="I703">
        <v>1278.1735839999999</v>
      </c>
      <c r="J703">
        <v>1255.4117432</v>
      </c>
      <c r="K703">
        <v>2875</v>
      </c>
      <c r="L703">
        <v>0</v>
      </c>
      <c r="M703">
        <v>0</v>
      </c>
      <c r="N703">
        <v>2875</v>
      </c>
    </row>
    <row r="704" spans="1:14" x14ac:dyDescent="0.25">
      <c r="A704">
        <v>367.11305800000002</v>
      </c>
      <c r="B704" s="1">
        <f>DATE(2011,5,3) + TIME(2,42,48)</f>
        <v>40666.113055555557</v>
      </c>
      <c r="C704">
        <v>80</v>
      </c>
      <c r="D704">
        <v>78.974792480000005</v>
      </c>
      <c r="E704">
        <v>50</v>
      </c>
      <c r="F704">
        <v>49.542720795000001</v>
      </c>
      <c r="G704">
        <v>1406.3217772999999</v>
      </c>
      <c r="H704">
        <v>1388.3237305</v>
      </c>
      <c r="I704">
        <v>1278.1704102000001</v>
      </c>
      <c r="J704">
        <v>1255.4073486</v>
      </c>
      <c r="K704">
        <v>2875</v>
      </c>
      <c r="L704">
        <v>0</v>
      </c>
      <c r="M704">
        <v>0</v>
      </c>
      <c r="N704">
        <v>2875</v>
      </c>
    </row>
    <row r="705" spans="1:14" x14ac:dyDescent="0.25">
      <c r="A705">
        <v>367.200714</v>
      </c>
      <c r="B705" s="1">
        <f>DATE(2011,5,3) + TIME(4,49,1)</f>
        <v>40666.200706018521</v>
      </c>
      <c r="C705">
        <v>80</v>
      </c>
      <c r="D705">
        <v>79.100357056000007</v>
      </c>
      <c r="E705">
        <v>50</v>
      </c>
      <c r="F705">
        <v>49.529033661</v>
      </c>
      <c r="G705">
        <v>1406.1865233999999</v>
      </c>
      <c r="H705">
        <v>1388.2213135</v>
      </c>
      <c r="I705">
        <v>1278.1672363</v>
      </c>
      <c r="J705">
        <v>1255.402832</v>
      </c>
      <c r="K705">
        <v>2875</v>
      </c>
      <c r="L705">
        <v>0</v>
      </c>
      <c r="M705">
        <v>0</v>
      </c>
      <c r="N705">
        <v>2875</v>
      </c>
    </row>
    <row r="706" spans="1:14" x14ac:dyDescent="0.25">
      <c r="A706">
        <v>367.29004300000003</v>
      </c>
      <c r="B706" s="1">
        <f>DATE(2011,5,3) + TIME(6,57,39)</f>
        <v>40666.290034722224</v>
      </c>
      <c r="C706">
        <v>80</v>
      </c>
      <c r="D706">
        <v>79.211273192999997</v>
      </c>
      <c r="E706">
        <v>50</v>
      </c>
      <c r="F706">
        <v>49.515171051000003</v>
      </c>
      <c r="G706">
        <v>1406.0554199000001</v>
      </c>
      <c r="H706">
        <v>1388.1204834</v>
      </c>
      <c r="I706">
        <v>1278.1639404</v>
      </c>
      <c r="J706">
        <v>1255.3983154</v>
      </c>
      <c r="K706">
        <v>2875</v>
      </c>
      <c r="L706">
        <v>0</v>
      </c>
      <c r="M706">
        <v>0</v>
      </c>
      <c r="N706">
        <v>2875</v>
      </c>
    </row>
    <row r="707" spans="1:14" x14ac:dyDescent="0.25">
      <c r="A707">
        <v>367.38127500000002</v>
      </c>
      <c r="B707" s="1">
        <f>DATE(2011,5,3) + TIME(9,9,2)</f>
        <v>40666.381273148145</v>
      </c>
      <c r="C707">
        <v>80</v>
      </c>
      <c r="D707">
        <v>79.309188843000001</v>
      </c>
      <c r="E707">
        <v>50</v>
      </c>
      <c r="F707">
        <v>49.501102447999997</v>
      </c>
      <c r="G707">
        <v>1405.9281006000001</v>
      </c>
      <c r="H707">
        <v>1388.0211182</v>
      </c>
      <c r="I707">
        <v>1278.1606445</v>
      </c>
      <c r="J707">
        <v>1255.3936768000001</v>
      </c>
      <c r="K707">
        <v>2875</v>
      </c>
      <c r="L707">
        <v>0</v>
      </c>
      <c r="M707">
        <v>0</v>
      </c>
      <c r="N707">
        <v>2875</v>
      </c>
    </row>
    <row r="708" spans="1:14" x14ac:dyDescent="0.25">
      <c r="A708">
        <v>367.47456799999998</v>
      </c>
      <c r="B708" s="1">
        <f>DATE(2011,5,3) + TIME(11,23,22)</f>
        <v>40666.474560185183</v>
      </c>
      <c r="C708">
        <v>80</v>
      </c>
      <c r="D708">
        <v>79.395492554</v>
      </c>
      <c r="E708">
        <v>50</v>
      </c>
      <c r="F708">
        <v>49.486808777</v>
      </c>
      <c r="G708">
        <v>1405.8039550999999</v>
      </c>
      <c r="H708">
        <v>1387.9227295000001</v>
      </c>
      <c r="I708">
        <v>1278.1572266000001</v>
      </c>
      <c r="J708">
        <v>1255.3889160000001</v>
      </c>
      <c r="K708">
        <v>2875</v>
      </c>
      <c r="L708">
        <v>0</v>
      </c>
      <c r="M708">
        <v>0</v>
      </c>
      <c r="N708">
        <v>2875</v>
      </c>
    </row>
    <row r="709" spans="1:14" x14ac:dyDescent="0.25">
      <c r="A709">
        <v>367.57013499999999</v>
      </c>
      <c r="B709" s="1">
        <f>DATE(2011,5,3) + TIME(13,40,59)</f>
        <v>40666.570127314815</v>
      </c>
      <c r="C709">
        <v>80</v>
      </c>
      <c r="D709">
        <v>79.471450806000007</v>
      </c>
      <c r="E709">
        <v>50</v>
      </c>
      <c r="F709">
        <v>49.472255707000002</v>
      </c>
      <c r="G709">
        <v>1405.6826172000001</v>
      </c>
      <c r="H709">
        <v>1387.8251952999999</v>
      </c>
      <c r="I709">
        <v>1278.1536865</v>
      </c>
      <c r="J709">
        <v>1255.3840332</v>
      </c>
      <c r="K709">
        <v>2875</v>
      </c>
      <c r="L709">
        <v>0</v>
      </c>
      <c r="M709">
        <v>0</v>
      </c>
      <c r="N709">
        <v>2875</v>
      </c>
    </row>
    <row r="710" spans="1:14" x14ac:dyDescent="0.25">
      <c r="A710">
        <v>367.668205</v>
      </c>
      <c r="B710" s="1">
        <f>DATE(2011,5,3) + TIME(16,2,12)</f>
        <v>40666.668194444443</v>
      </c>
      <c r="C710">
        <v>80</v>
      </c>
      <c r="D710">
        <v>79.538192749000004</v>
      </c>
      <c r="E710">
        <v>50</v>
      </c>
      <c r="F710">
        <v>49.457412720000001</v>
      </c>
      <c r="G710">
        <v>1405.5635986</v>
      </c>
      <c r="H710">
        <v>1387.7285156</v>
      </c>
      <c r="I710">
        <v>1278.1500243999999</v>
      </c>
      <c r="J710">
        <v>1255.3790283000001</v>
      </c>
      <c r="K710">
        <v>2875</v>
      </c>
      <c r="L710">
        <v>0</v>
      </c>
      <c r="M710">
        <v>0</v>
      </c>
      <c r="N710">
        <v>2875</v>
      </c>
    </row>
    <row r="711" spans="1:14" x14ac:dyDescent="0.25">
      <c r="A711">
        <v>367.769026</v>
      </c>
      <c r="B711" s="1">
        <f>DATE(2011,5,3) + TIME(18,27,23)</f>
        <v>40666.769016203703</v>
      </c>
      <c r="C711">
        <v>80</v>
      </c>
      <c r="D711">
        <v>79.596710204999994</v>
      </c>
      <c r="E711">
        <v>50</v>
      </c>
      <c r="F711">
        <v>49.442253113</v>
      </c>
      <c r="G711">
        <v>1405.4465332</v>
      </c>
      <c r="H711">
        <v>1387.6323242000001</v>
      </c>
      <c r="I711">
        <v>1278.1463623</v>
      </c>
      <c r="J711">
        <v>1255.3739014</v>
      </c>
      <c r="K711">
        <v>2875</v>
      </c>
      <c r="L711">
        <v>0</v>
      </c>
      <c r="M711">
        <v>0</v>
      </c>
      <c r="N711">
        <v>2875</v>
      </c>
    </row>
    <row r="712" spans="1:14" x14ac:dyDescent="0.25">
      <c r="A712">
        <v>367.87286799999998</v>
      </c>
      <c r="B712" s="1">
        <f>DATE(2011,5,3) + TIME(20,56,55)</f>
        <v>40666.872858796298</v>
      </c>
      <c r="C712">
        <v>80</v>
      </c>
      <c r="D712">
        <v>79.647911071999999</v>
      </c>
      <c r="E712">
        <v>50</v>
      </c>
      <c r="F712">
        <v>49.426742554</v>
      </c>
      <c r="G712">
        <v>1405.3310547000001</v>
      </c>
      <c r="H712">
        <v>1387.536499</v>
      </c>
      <c r="I712">
        <v>1278.1424560999999</v>
      </c>
      <c r="J712">
        <v>1255.3685303</v>
      </c>
      <c r="K712">
        <v>2875</v>
      </c>
      <c r="L712">
        <v>0</v>
      </c>
      <c r="M712">
        <v>0</v>
      </c>
      <c r="N712">
        <v>2875</v>
      </c>
    </row>
    <row r="713" spans="1:14" x14ac:dyDescent="0.25">
      <c r="A713">
        <v>367.98003</v>
      </c>
      <c r="B713" s="1">
        <f>DATE(2011,5,3) + TIME(23,31,14)</f>
        <v>40666.980023148149</v>
      </c>
      <c r="C713">
        <v>80</v>
      </c>
      <c r="D713">
        <v>79.692596436000002</v>
      </c>
      <c r="E713">
        <v>50</v>
      </c>
      <c r="F713">
        <v>49.410835265999999</v>
      </c>
      <c r="G713">
        <v>1405.2167969</v>
      </c>
      <c r="H713">
        <v>1387.4407959</v>
      </c>
      <c r="I713">
        <v>1278.1385498</v>
      </c>
      <c r="J713">
        <v>1255.3631591999999</v>
      </c>
      <c r="K713">
        <v>2875</v>
      </c>
      <c r="L713">
        <v>0</v>
      </c>
      <c r="M713">
        <v>0</v>
      </c>
      <c r="N713">
        <v>2875</v>
      </c>
    </row>
    <row r="714" spans="1:14" x14ac:dyDescent="0.25">
      <c r="A714">
        <v>368.09084200000001</v>
      </c>
      <c r="B714" s="1">
        <f>DATE(2011,5,4) + TIME(2,10,48)</f>
        <v>40667.090833333335</v>
      </c>
      <c r="C714">
        <v>80</v>
      </c>
      <c r="D714">
        <v>79.731483459000003</v>
      </c>
      <c r="E714">
        <v>50</v>
      </c>
      <c r="F714">
        <v>49.394496918000002</v>
      </c>
      <c r="G714">
        <v>1405.1035156</v>
      </c>
      <c r="H714">
        <v>1387.3450928</v>
      </c>
      <c r="I714">
        <v>1278.1343993999999</v>
      </c>
      <c r="J714">
        <v>1255.3575439000001</v>
      </c>
      <c r="K714">
        <v>2875</v>
      </c>
      <c r="L714">
        <v>0</v>
      </c>
      <c r="M714">
        <v>0</v>
      </c>
      <c r="N714">
        <v>2875</v>
      </c>
    </row>
    <row r="715" spans="1:14" x14ac:dyDescent="0.25">
      <c r="A715">
        <v>368.20567399999999</v>
      </c>
      <c r="B715" s="1">
        <f>DATE(2011,5,4) + TIME(4,56,10)</f>
        <v>40667.205671296295</v>
      </c>
      <c r="C715">
        <v>80</v>
      </c>
      <c r="D715">
        <v>79.765220642000003</v>
      </c>
      <c r="E715">
        <v>50</v>
      </c>
      <c r="F715">
        <v>49.377677917</v>
      </c>
      <c r="G715">
        <v>1404.9908447</v>
      </c>
      <c r="H715">
        <v>1387.2492675999999</v>
      </c>
      <c r="I715">
        <v>1278.1301269999999</v>
      </c>
      <c r="J715">
        <v>1255.3516846</v>
      </c>
      <c r="K715">
        <v>2875</v>
      </c>
      <c r="L715">
        <v>0</v>
      </c>
      <c r="M715">
        <v>0</v>
      </c>
      <c r="N715">
        <v>2875</v>
      </c>
    </row>
    <row r="716" spans="1:14" x14ac:dyDescent="0.25">
      <c r="A716">
        <v>368.32493899999997</v>
      </c>
      <c r="B716" s="1">
        <f>DATE(2011,5,4) + TIME(7,47,54)</f>
        <v>40667.324930555558</v>
      </c>
      <c r="C716">
        <v>80</v>
      </c>
      <c r="D716">
        <v>79.794380188000005</v>
      </c>
      <c r="E716">
        <v>50</v>
      </c>
      <c r="F716">
        <v>49.360328674000002</v>
      </c>
      <c r="G716">
        <v>1404.878418</v>
      </c>
      <c r="H716">
        <v>1387.1529541</v>
      </c>
      <c r="I716">
        <v>1278.1257324000001</v>
      </c>
      <c r="J716">
        <v>1255.3455810999999</v>
      </c>
      <c r="K716">
        <v>2875</v>
      </c>
      <c r="L716">
        <v>0</v>
      </c>
      <c r="M716">
        <v>0</v>
      </c>
      <c r="N716">
        <v>2875</v>
      </c>
    </row>
    <row r="717" spans="1:14" x14ac:dyDescent="0.25">
      <c r="A717">
        <v>368.44916899999998</v>
      </c>
      <c r="B717" s="1">
        <f>DATE(2011,5,4) + TIME(10,46,48)</f>
        <v>40667.449166666665</v>
      </c>
      <c r="C717">
        <v>80</v>
      </c>
      <c r="D717">
        <v>79.819511414000004</v>
      </c>
      <c r="E717">
        <v>50</v>
      </c>
      <c r="F717">
        <v>49.342388153000002</v>
      </c>
      <c r="G717">
        <v>1404.7659911999999</v>
      </c>
      <c r="H717">
        <v>1387.0560303</v>
      </c>
      <c r="I717">
        <v>1278.1210937999999</v>
      </c>
      <c r="J717">
        <v>1255.3393555</v>
      </c>
      <c r="K717">
        <v>2875</v>
      </c>
      <c r="L717">
        <v>0</v>
      </c>
      <c r="M717">
        <v>0</v>
      </c>
      <c r="N717">
        <v>2875</v>
      </c>
    </row>
    <row r="718" spans="1:14" x14ac:dyDescent="0.25">
      <c r="A718">
        <v>368.57886999999999</v>
      </c>
      <c r="B718" s="1">
        <f>DATE(2011,5,4) + TIME(13,53,34)</f>
        <v>40667.578865740739</v>
      </c>
      <c r="C718">
        <v>80</v>
      </c>
      <c r="D718">
        <v>79.841056824000006</v>
      </c>
      <c r="E718">
        <v>50</v>
      </c>
      <c r="F718">
        <v>49.323787689</v>
      </c>
      <c r="G718">
        <v>1404.6530762</v>
      </c>
      <c r="H718">
        <v>1386.9582519999999</v>
      </c>
      <c r="I718">
        <v>1278.1163329999999</v>
      </c>
      <c r="J718">
        <v>1255.3327637</v>
      </c>
      <c r="K718">
        <v>2875</v>
      </c>
      <c r="L718">
        <v>0</v>
      </c>
      <c r="M718">
        <v>0</v>
      </c>
      <c r="N718">
        <v>2875</v>
      </c>
    </row>
    <row r="719" spans="1:14" x14ac:dyDescent="0.25">
      <c r="A719">
        <v>368.71463599999998</v>
      </c>
      <c r="B719" s="1">
        <f>DATE(2011,5,4) + TIME(17,9,4)</f>
        <v>40667.714629629627</v>
      </c>
      <c r="C719">
        <v>80</v>
      </c>
      <c r="D719">
        <v>79.859451293999996</v>
      </c>
      <c r="E719">
        <v>50</v>
      </c>
      <c r="F719">
        <v>49.304466247999997</v>
      </c>
      <c r="G719">
        <v>1404.5395507999999</v>
      </c>
      <c r="H719">
        <v>1386.8592529</v>
      </c>
      <c r="I719">
        <v>1278.1113281</v>
      </c>
      <c r="J719">
        <v>1255.3259277</v>
      </c>
      <c r="K719">
        <v>2875</v>
      </c>
      <c r="L719">
        <v>0</v>
      </c>
      <c r="M719">
        <v>0</v>
      </c>
      <c r="N719">
        <v>2875</v>
      </c>
    </row>
    <row r="720" spans="1:14" x14ac:dyDescent="0.25">
      <c r="A720">
        <v>368.855366</v>
      </c>
      <c r="B720" s="1">
        <f>DATE(2011,5,4) + TIME(20,31,43)</f>
        <v>40667.855358796296</v>
      </c>
      <c r="C720">
        <v>80</v>
      </c>
      <c r="D720">
        <v>79.874908446999996</v>
      </c>
      <c r="E720">
        <v>50</v>
      </c>
      <c r="F720">
        <v>49.284545897999998</v>
      </c>
      <c r="G720">
        <v>1404.4249268000001</v>
      </c>
      <c r="H720">
        <v>1386.7590332</v>
      </c>
      <c r="I720">
        <v>1278.105957</v>
      </c>
      <c r="J720">
        <v>1255.3187256000001</v>
      </c>
      <c r="K720">
        <v>2875</v>
      </c>
      <c r="L720">
        <v>0</v>
      </c>
      <c r="M720">
        <v>0</v>
      </c>
      <c r="N720">
        <v>2875</v>
      </c>
    </row>
    <row r="721" spans="1:14" x14ac:dyDescent="0.25">
      <c r="A721">
        <v>369.00156399999997</v>
      </c>
      <c r="B721" s="1">
        <f>DATE(2011,5,5) + TIME(0,2,15)</f>
        <v>40668.001562500001</v>
      </c>
      <c r="C721">
        <v>80</v>
      </c>
      <c r="D721">
        <v>79.887847899999997</v>
      </c>
      <c r="E721">
        <v>50</v>
      </c>
      <c r="F721">
        <v>49.263973235999998</v>
      </c>
      <c r="G721">
        <v>1404.3103027</v>
      </c>
      <c r="H721">
        <v>1386.6585693</v>
      </c>
      <c r="I721">
        <v>1278.1004639</v>
      </c>
      <c r="J721">
        <v>1255.3112793</v>
      </c>
      <c r="K721">
        <v>2875</v>
      </c>
      <c r="L721">
        <v>0</v>
      </c>
      <c r="M721">
        <v>0</v>
      </c>
      <c r="N721">
        <v>2875</v>
      </c>
    </row>
    <row r="722" spans="1:14" x14ac:dyDescent="0.25">
      <c r="A722">
        <v>369.15382399999999</v>
      </c>
      <c r="B722" s="1">
        <f>DATE(2011,5,5) + TIME(3,41,30)</f>
        <v>40668.153819444444</v>
      </c>
      <c r="C722">
        <v>80</v>
      </c>
      <c r="D722">
        <v>79.898635863999999</v>
      </c>
      <c r="E722">
        <v>50</v>
      </c>
      <c r="F722">
        <v>49.242683411000002</v>
      </c>
      <c r="G722">
        <v>1404.1951904</v>
      </c>
      <c r="H722">
        <v>1386.5573730000001</v>
      </c>
      <c r="I722">
        <v>1278.0947266000001</v>
      </c>
      <c r="J722">
        <v>1255.3035889</v>
      </c>
      <c r="K722">
        <v>2875</v>
      </c>
      <c r="L722">
        <v>0</v>
      </c>
      <c r="M722">
        <v>0</v>
      </c>
      <c r="N722">
        <v>2875</v>
      </c>
    </row>
    <row r="723" spans="1:14" x14ac:dyDescent="0.25">
      <c r="A723">
        <v>369.31281100000001</v>
      </c>
      <c r="B723" s="1">
        <f>DATE(2011,5,5) + TIME(7,30,26)</f>
        <v>40668.312800925924</v>
      </c>
      <c r="C723">
        <v>80</v>
      </c>
      <c r="D723">
        <v>79.907585143999995</v>
      </c>
      <c r="E723">
        <v>50</v>
      </c>
      <c r="F723">
        <v>49.220596313000001</v>
      </c>
      <c r="G723">
        <v>1404.0794678</v>
      </c>
      <c r="H723">
        <v>1386.4553223</v>
      </c>
      <c r="I723">
        <v>1278.0887451000001</v>
      </c>
      <c r="J723">
        <v>1255.2955322</v>
      </c>
      <c r="K723">
        <v>2875</v>
      </c>
      <c r="L723">
        <v>0</v>
      </c>
      <c r="M723">
        <v>0</v>
      </c>
      <c r="N723">
        <v>2875</v>
      </c>
    </row>
    <row r="724" spans="1:14" x14ac:dyDescent="0.25">
      <c r="A724">
        <v>369.47746999999998</v>
      </c>
      <c r="B724" s="1">
        <f>DATE(2011,5,5) + TIME(11,27,33)</f>
        <v>40668.477465277778</v>
      </c>
      <c r="C724">
        <v>80</v>
      </c>
      <c r="D724">
        <v>79.914924622000001</v>
      </c>
      <c r="E724">
        <v>50</v>
      </c>
      <c r="F724">
        <v>49.197837829999997</v>
      </c>
      <c r="G724">
        <v>1403.9627685999999</v>
      </c>
      <c r="H724">
        <v>1386.3522949000001</v>
      </c>
      <c r="I724">
        <v>1278.0823975000001</v>
      </c>
      <c r="J724">
        <v>1255.2871094</v>
      </c>
      <c r="K724">
        <v>2875</v>
      </c>
      <c r="L724">
        <v>0</v>
      </c>
      <c r="M724">
        <v>0</v>
      </c>
      <c r="N724">
        <v>2875</v>
      </c>
    </row>
    <row r="725" spans="1:14" x14ac:dyDescent="0.25">
      <c r="A725">
        <v>369.64293600000002</v>
      </c>
      <c r="B725" s="1">
        <f>DATE(2011,5,5) + TIME(15,25,49)</f>
        <v>40668.642928240741</v>
      </c>
      <c r="C725">
        <v>80</v>
      </c>
      <c r="D725">
        <v>79.920753478999998</v>
      </c>
      <c r="E725">
        <v>50</v>
      </c>
      <c r="F725">
        <v>49.174945831000002</v>
      </c>
      <c r="G725">
        <v>1403.8460693</v>
      </c>
      <c r="H725">
        <v>1386.2490233999999</v>
      </c>
      <c r="I725">
        <v>1278.0756836</v>
      </c>
      <c r="J725">
        <v>1255.2784423999999</v>
      </c>
      <c r="K725">
        <v>2875</v>
      </c>
      <c r="L725">
        <v>0</v>
      </c>
      <c r="M725">
        <v>0</v>
      </c>
      <c r="N725">
        <v>2875</v>
      </c>
    </row>
    <row r="726" spans="1:14" x14ac:dyDescent="0.25">
      <c r="A726">
        <v>369.80964399999999</v>
      </c>
      <c r="B726" s="1">
        <f>DATE(2011,5,5) + TIME(19,25,53)</f>
        <v>40668.809641203705</v>
      </c>
      <c r="C726">
        <v>80</v>
      </c>
      <c r="D726">
        <v>79.925415039000001</v>
      </c>
      <c r="E726">
        <v>50</v>
      </c>
      <c r="F726">
        <v>49.151901244999998</v>
      </c>
      <c r="G726">
        <v>1403.7324219</v>
      </c>
      <c r="H726">
        <v>1386.1484375</v>
      </c>
      <c r="I726">
        <v>1278.0690918</v>
      </c>
      <c r="J726">
        <v>1255.2696533000001</v>
      </c>
      <c r="K726">
        <v>2875</v>
      </c>
      <c r="L726">
        <v>0</v>
      </c>
      <c r="M726">
        <v>0</v>
      </c>
      <c r="N726">
        <v>2875</v>
      </c>
    </row>
    <row r="727" spans="1:14" x14ac:dyDescent="0.25">
      <c r="A727">
        <v>369.97775899999999</v>
      </c>
      <c r="B727" s="1">
        <f>DATE(2011,5,5) + TIME(23,27,58)</f>
        <v>40668.977754629632</v>
      </c>
      <c r="C727">
        <v>80</v>
      </c>
      <c r="D727">
        <v>79.929145813000005</v>
      </c>
      <c r="E727">
        <v>50</v>
      </c>
      <c r="F727">
        <v>49.128700256000002</v>
      </c>
      <c r="G727">
        <v>1403.6214600000001</v>
      </c>
      <c r="H727">
        <v>1386.0501709</v>
      </c>
      <c r="I727">
        <v>1278.0623779</v>
      </c>
      <c r="J727">
        <v>1255.2608643000001</v>
      </c>
      <c r="K727">
        <v>2875</v>
      </c>
      <c r="L727">
        <v>0</v>
      </c>
      <c r="M727">
        <v>0</v>
      </c>
      <c r="N727">
        <v>2875</v>
      </c>
    </row>
    <row r="728" spans="1:14" x14ac:dyDescent="0.25">
      <c r="A728">
        <v>370.14712400000002</v>
      </c>
      <c r="B728" s="1">
        <f>DATE(2011,5,6) + TIME(3,31,51)</f>
        <v>40669.147118055553</v>
      </c>
      <c r="C728">
        <v>80</v>
      </c>
      <c r="D728">
        <v>79.932128906000003</v>
      </c>
      <c r="E728">
        <v>50</v>
      </c>
      <c r="F728">
        <v>49.105373383</v>
      </c>
      <c r="G728">
        <v>1403.5129394999999</v>
      </c>
      <c r="H728">
        <v>1385.9541016000001</v>
      </c>
      <c r="I728">
        <v>1278.0555420000001</v>
      </c>
      <c r="J728">
        <v>1255.2519531</v>
      </c>
      <c r="K728">
        <v>2875</v>
      </c>
      <c r="L728">
        <v>0</v>
      </c>
      <c r="M728">
        <v>0</v>
      </c>
      <c r="N728">
        <v>2875</v>
      </c>
    </row>
    <row r="729" spans="1:14" x14ac:dyDescent="0.25">
      <c r="A729">
        <v>370.31811099999999</v>
      </c>
      <c r="B729" s="1">
        <f>DATE(2011,5,6) + TIME(7,38,4)</f>
        <v>40669.318101851852</v>
      </c>
      <c r="C729">
        <v>80</v>
      </c>
      <c r="D729">
        <v>79.934524535999998</v>
      </c>
      <c r="E729">
        <v>50</v>
      </c>
      <c r="F729">
        <v>49.081890106000003</v>
      </c>
      <c r="G729">
        <v>1403.4067382999999</v>
      </c>
      <c r="H729">
        <v>1385.8601074000001</v>
      </c>
      <c r="I729">
        <v>1278.0487060999999</v>
      </c>
      <c r="J729">
        <v>1255.2429199000001</v>
      </c>
      <c r="K729">
        <v>2875</v>
      </c>
      <c r="L729">
        <v>0</v>
      </c>
      <c r="M729">
        <v>0</v>
      </c>
      <c r="N729">
        <v>2875</v>
      </c>
    </row>
    <row r="730" spans="1:14" x14ac:dyDescent="0.25">
      <c r="A730">
        <v>370.49108699999999</v>
      </c>
      <c r="B730" s="1">
        <f>DATE(2011,5,6) + TIME(11,47,9)</f>
        <v>40669.491076388891</v>
      </c>
      <c r="C730">
        <v>80</v>
      </c>
      <c r="D730">
        <v>79.936462402000004</v>
      </c>
      <c r="E730">
        <v>50</v>
      </c>
      <c r="F730">
        <v>49.058219909999998</v>
      </c>
      <c r="G730">
        <v>1403.3026123</v>
      </c>
      <c r="H730">
        <v>1385.7678223</v>
      </c>
      <c r="I730">
        <v>1278.0417480000001</v>
      </c>
      <c r="J730">
        <v>1255.2338867000001</v>
      </c>
      <c r="K730">
        <v>2875</v>
      </c>
      <c r="L730">
        <v>0</v>
      </c>
      <c r="M730">
        <v>0</v>
      </c>
      <c r="N730">
        <v>2875</v>
      </c>
    </row>
    <row r="731" spans="1:14" x14ac:dyDescent="0.25">
      <c r="A731">
        <v>370.66648900000001</v>
      </c>
      <c r="B731" s="1">
        <f>DATE(2011,5,6) + TIME(15,59,44)</f>
        <v>40669.666481481479</v>
      </c>
      <c r="C731">
        <v>80</v>
      </c>
      <c r="D731">
        <v>79.938026428000001</v>
      </c>
      <c r="E731">
        <v>50</v>
      </c>
      <c r="F731">
        <v>49.034317016999999</v>
      </c>
      <c r="G731">
        <v>1403.2000731999999</v>
      </c>
      <c r="H731">
        <v>1385.677124</v>
      </c>
      <c r="I731">
        <v>1278.0347899999999</v>
      </c>
      <c r="J731">
        <v>1255.2246094</v>
      </c>
      <c r="K731">
        <v>2875</v>
      </c>
      <c r="L731">
        <v>0</v>
      </c>
      <c r="M731">
        <v>0</v>
      </c>
      <c r="N731">
        <v>2875</v>
      </c>
    </row>
    <row r="732" spans="1:14" x14ac:dyDescent="0.25">
      <c r="A732">
        <v>370.84462300000001</v>
      </c>
      <c r="B732" s="1">
        <f>DATE(2011,5,6) + TIME(20,16,15)</f>
        <v>40669.844618055555</v>
      </c>
      <c r="C732">
        <v>80</v>
      </c>
      <c r="D732">
        <v>79.939300536999994</v>
      </c>
      <c r="E732">
        <v>50</v>
      </c>
      <c r="F732">
        <v>49.010154724000003</v>
      </c>
      <c r="G732">
        <v>1403.0988769999999</v>
      </c>
      <c r="H732">
        <v>1385.5876464999999</v>
      </c>
      <c r="I732">
        <v>1278.0277100000001</v>
      </c>
      <c r="J732">
        <v>1255.215332</v>
      </c>
      <c r="K732">
        <v>2875</v>
      </c>
      <c r="L732">
        <v>0</v>
      </c>
      <c r="M732">
        <v>0</v>
      </c>
      <c r="N732">
        <v>2875</v>
      </c>
    </row>
    <row r="733" spans="1:14" x14ac:dyDescent="0.25">
      <c r="A733">
        <v>371.02587999999997</v>
      </c>
      <c r="B733" s="1">
        <f>DATE(2011,5,7) + TIME(0,37,16)</f>
        <v>40670.025879629633</v>
      </c>
      <c r="C733">
        <v>80</v>
      </c>
      <c r="D733">
        <v>79.940330505000006</v>
      </c>
      <c r="E733">
        <v>50</v>
      </c>
      <c r="F733">
        <v>48.985691070999998</v>
      </c>
      <c r="G733">
        <v>1402.9989014</v>
      </c>
      <c r="H733">
        <v>1385.4991454999999</v>
      </c>
      <c r="I733">
        <v>1278.0203856999999</v>
      </c>
      <c r="J733">
        <v>1255.2058105000001</v>
      </c>
      <c r="K733">
        <v>2875</v>
      </c>
      <c r="L733">
        <v>0</v>
      </c>
      <c r="M733">
        <v>0</v>
      </c>
      <c r="N733">
        <v>2875</v>
      </c>
    </row>
    <row r="734" spans="1:14" x14ac:dyDescent="0.25">
      <c r="A734">
        <v>371.21067199999999</v>
      </c>
      <c r="B734" s="1">
        <f>DATE(2011,5,7) + TIME(5,3,22)</f>
        <v>40670.2106712963</v>
      </c>
      <c r="C734">
        <v>80</v>
      </c>
      <c r="D734">
        <v>79.941184997999997</v>
      </c>
      <c r="E734">
        <v>50</v>
      </c>
      <c r="F734">
        <v>48.960880279999998</v>
      </c>
      <c r="G734">
        <v>1402.8996582</v>
      </c>
      <c r="H734">
        <v>1385.411499</v>
      </c>
      <c r="I734">
        <v>1278.0130615</v>
      </c>
      <c r="J734">
        <v>1255.1960449000001</v>
      </c>
      <c r="K734">
        <v>2875</v>
      </c>
      <c r="L734">
        <v>0</v>
      </c>
      <c r="M734">
        <v>0</v>
      </c>
      <c r="N734">
        <v>2875</v>
      </c>
    </row>
    <row r="735" spans="1:14" x14ac:dyDescent="0.25">
      <c r="A735">
        <v>371.39943499999998</v>
      </c>
      <c r="B735" s="1">
        <f>DATE(2011,5,7) + TIME(9,35,11)</f>
        <v>40670.39943287037</v>
      </c>
      <c r="C735">
        <v>80</v>
      </c>
      <c r="D735">
        <v>79.941879271999994</v>
      </c>
      <c r="E735">
        <v>50</v>
      </c>
      <c r="F735">
        <v>48.935676575000002</v>
      </c>
      <c r="G735">
        <v>1402.8011475000001</v>
      </c>
      <c r="H735">
        <v>1385.3244629000001</v>
      </c>
      <c r="I735">
        <v>1278.0056152</v>
      </c>
      <c r="J735">
        <v>1255.1862793</v>
      </c>
      <c r="K735">
        <v>2875</v>
      </c>
      <c r="L735">
        <v>0</v>
      </c>
      <c r="M735">
        <v>0</v>
      </c>
      <c r="N735">
        <v>2875</v>
      </c>
    </row>
    <row r="736" spans="1:14" x14ac:dyDescent="0.25">
      <c r="A736">
        <v>371.59263900000002</v>
      </c>
      <c r="B736" s="1">
        <f>DATE(2011,5,7) + TIME(14,13,23)</f>
        <v>40670.592627314814</v>
      </c>
      <c r="C736">
        <v>80</v>
      </c>
      <c r="D736">
        <v>79.942451477000006</v>
      </c>
      <c r="E736">
        <v>50</v>
      </c>
      <c r="F736">
        <v>48.910026549999998</v>
      </c>
      <c r="G736">
        <v>1402.7028809000001</v>
      </c>
      <c r="H736">
        <v>1385.237793</v>
      </c>
      <c r="I736">
        <v>1277.9979248</v>
      </c>
      <c r="J736">
        <v>1255.1761475000001</v>
      </c>
      <c r="K736">
        <v>2875</v>
      </c>
      <c r="L736">
        <v>0</v>
      </c>
      <c r="M736">
        <v>0</v>
      </c>
      <c r="N736">
        <v>2875</v>
      </c>
    </row>
    <row r="737" spans="1:14" x14ac:dyDescent="0.25">
      <c r="A737">
        <v>371.79079300000001</v>
      </c>
      <c r="B737" s="1">
        <f>DATE(2011,5,7) + TIME(18,58,44)</f>
        <v>40670.79078703704</v>
      </c>
      <c r="C737">
        <v>80</v>
      </c>
      <c r="D737">
        <v>79.942932128999999</v>
      </c>
      <c r="E737">
        <v>50</v>
      </c>
      <c r="F737">
        <v>48.883880615000002</v>
      </c>
      <c r="G737">
        <v>1402.6049805</v>
      </c>
      <c r="H737">
        <v>1385.1514893000001</v>
      </c>
      <c r="I737">
        <v>1277.9899902</v>
      </c>
      <c r="J737">
        <v>1255.1657714999999</v>
      </c>
      <c r="K737">
        <v>2875</v>
      </c>
      <c r="L737">
        <v>0</v>
      </c>
      <c r="M737">
        <v>0</v>
      </c>
      <c r="N737">
        <v>2875</v>
      </c>
    </row>
    <row r="738" spans="1:14" x14ac:dyDescent="0.25">
      <c r="A738">
        <v>371.99445900000001</v>
      </c>
      <c r="B738" s="1">
        <f>DATE(2011,5,7) + TIME(23,52,1)</f>
        <v>40670.994456018518</v>
      </c>
      <c r="C738">
        <v>80</v>
      </c>
      <c r="D738">
        <v>79.943328856999997</v>
      </c>
      <c r="E738">
        <v>50</v>
      </c>
      <c r="F738">
        <v>48.857173920000001</v>
      </c>
      <c r="G738">
        <v>1402.5069579999999</v>
      </c>
      <c r="H738">
        <v>1385.0650635</v>
      </c>
      <c r="I738">
        <v>1277.9819336</v>
      </c>
      <c r="J738">
        <v>1255.1551514</v>
      </c>
      <c r="K738">
        <v>2875</v>
      </c>
      <c r="L738">
        <v>0</v>
      </c>
      <c r="M738">
        <v>0</v>
      </c>
      <c r="N738">
        <v>2875</v>
      </c>
    </row>
    <row r="739" spans="1:14" x14ac:dyDescent="0.25">
      <c r="A739">
        <v>372.20425399999999</v>
      </c>
      <c r="B739" s="1">
        <f>DATE(2011,5,8) + TIME(4,54,7)</f>
        <v>40671.204247685186</v>
      </c>
      <c r="C739">
        <v>80</v>
      </c>
      <c r="D739">
        <v>79.943656920999999</v>
      </c>
      <c r="E739">
        <v>50</v>
      </c>
      <c r="F739">
        <v>48.829837799000003</v>
      </c>
      <c r="G739">
        <v>1402.4086914</v>
      </c>
      <c r="H739">
        <v>1384.9785156</v>
      </c>
      <c r="I739">
        <v>1277.9735106999999</v>
      </c>
      <c r="J739">
        <v>1255.1442870999999</v>
      </c>
      <c r="K739">
        <v>2875</v>
      </c>
      <c r="L739">
        <v>0</v>
      </c>
      <c r="M739">
        <v>0</v>
      </c>
      <c r="N739">
        <v>2875</v>
      </c>
    </row>
    <row r="740" spans="1:14" x14ac:dyDescent="0.25">
      <c r="A740">
        <v>372.42086899999998</v>
      </c>
      <c r="B740" s="1">
        <f>DATE(2011,5,8) + TIME(10,6,3)</f>
        <v>40671.420868055553</v>
      </c>
      <c r="C740">
        <v>80</v>
      </c>
      <c r="D740">
        <v>79.943931579999997</v>
      </c>
      <c r="E740">
        <v>50</v>
      </c>
      <c r="F740">
        <v>48.801799774000003</v>
      </c>
      <c r="G740">
        <v>1402.3099365</v>
      </c>
      <c r="H740">
        <v>1384.8916016000001</v>
      </c>
      <c r="I740">
        <v>1277.9649658000001</v>
      </c>
      <c r="J740">
        <v>1255.1329346</v>
      </c>
      <c r="K740">
        <v>2875</v>
      </c>
      <c r="L740">
        <v>0</v>
      </c>
      <c r="M740">
        <v>0</v>
      </c>
      <c r="N740">
        <v>2875</v>
      </c>
    </row>
    <row r="741" spans="1:14" x14ac:dyDescent="0.25">
      <c r="A741">
        <v>372.64521300000001</v>
      </c>
      <c r="B741" s="1">
        <f>DATE(2011,5,8) + TIME(15,29,6)</f>
        <v>40671.645208333335</v>
      </c>
      <c r="C741">
        <v>80</v>
      </c>
      <c r="D741">
        <v>79.944160460999996</v>
      </c>
      <c r="E741">
        <v>50</v>
      </c>
      <c r="F741">
        <v>48.772968292000002</v>
      </c>
      <c r="G741">
        <v>1402.2104492000001</v>
      </c>
      <c r="H741">
        <v>1384.8040771000001</v>
      </c>
      <c r="I741">
        <v>1277.9560547000001</v>
      </c>
      <c r="J741">
        <v>1255.1213379000001</v>
      </c>
      <c r="K741">
        <v>2875</v>
      </c>
      <c r="L741">
        <v>0</v>
      </c>
      <c r="M741">
        <v>0</v>
      </c>
      <c r="N741">
        <v>2875</v>
      </c>
    </row>
    <row r="742" spans="1:14" x14ac:dyDescent="0.25">
      <c r="A742">
        <v>372.87808100000001</v>
      </c>
      <c r="B742" s="1">
        <f>DATE(2011,5,8) + TIME(21,4,26)</f>
        <v>40671.878078703703</v>
      </c>
      <c r="C742">
        <v>80</v>
      </c>
      <c r="D742">
        <v>79.944358825999998</v>
      </c>
      <c r="E742">
        <v>50</v>
      </c>
      <c r="F742">
        <v>48.743251801</v>
      </c>
      <c r="G742">
        <v>1402.1098632999999</v>
      </c>
      <c r="H742">
        <v>1384.7158202999999</v>
      </c>
      <c r="I742">
        <v>1277.9468993999999</v>
      </c>
      <c r="J742">
        <v>1255.1092529</v>
      </c>
      <c r="K742">
        <v>2875</v>
      </c>
      <c r="L742">
        <v>0</v>
      </c>
      <c r="M742">
        <v>0</v>
      </c>
      <c r="N742">
        <v>2875</v>
      </c>
    </row>
    <row r="743" spans="1:14" x14ac:dyDescent="0.25">
      <c r="A743">
        <v>373.11740800000001</v>
      </c>
      <c r="B743" s="1">
        <f>DATE(2011,5,9) + TIME(2,49,4)</f>
        <v>40672.117407407408</v>
      </c>
      <c r="C743">
        <v>80</v>
      </c>
      <c r="D743">
        <v>79.944526671999995</v>
      </c>
      <c r="E743">
        <v>50</v>
      </c>
      <c r="F743">
        <v>48.712841034</v>
      </c>
      <c r="G743">
        <v>1402.0080565999999</v>
      </c>
      <c r="H743">
        <v>1384.6263428</v>
      </c>
      <c r="I743">
        <v>1277.9372559000001</v>
      </c>
      <c r="J743">
        <v>1255.0966797000001</v>
      </c>
      <c r="K743">
        <v>2875</v>
      </c>
      <c r="L743">
        <v>0</v>
      </c>
      <c r="M743">
        <v>0</v>
      </c>
      <c r="N743">
        <v>2875</v>
      </c>
    </row>
    <row r="744" spans="1:14" x14ac:dyDescent="0.25">
      <c r="A744">
        <v>373.363877</v>
      </c>
      <c r="B744" s="1">
        <f>DATE(2011,5,9) + TIME(8,43,58)</f>
        <v>40672.363865740743</v>
      </c>
      <c r="C744">
        <v>80</v>
      </c>
      <c r="D744">
        <v>79.944656371999997</v>
      </c>
      <c r="E744">
        <v>50</v>
      </c>
      <c r="F744">
        <v>48.681674956999998</v>
      </c>
      <c r="G744">
        <v>1401.9061279</v>
      </c>
      <c r="H744">
        <v>1384.5368652</v>
      </c>
      <c r="I744">
        <v>1277.9272461</v>
      </c>
      <c r="J744">
        <v>1255.0838623</v>
      </c>
      <c r="K744">
        <v>2875</v>
      </c>
      <c r="L744">
        <v>0</v>
      </c>
      <c r="M744">
        <v>0</v>
      </c>
      <c r="N744">
        <v>2875</v>
      </c>
    </row>
    <row r="745" spans="1:14" x14ac:dyDescent="0.25">
      <c r="A745">
        <v>373.61826100000002</v>
      </c>
      <c r="B745" s="1">
        <f>DATE(2011,5,9) + TIME(14,50,17)</f>
        <v>40672.618252314816</v>
      </c>
      <c r="C745">
        <v>80</v>
      </c>
      <c r="D745">
        <v>79.944770813000005</v>
      </c>
      <c r="E745">
        <v>50</v>
      </c>
      <c r="F745">
        <v>48.649684905999997</v>
      </c>
      <c r="G745">
        <v>1401.8035889</v>
      </c>
      <c r="H745">
        <v>1384.4470214999999</v>
      </c>
      <c r="I745">
        <v>1277.9169922000001</v>
      </c>
      <c r="J745">
        <v>1255.0705565999999</v>
      </c>
      <c r="K745">
        <v>2875</v>
      </c>
      <c r="L745">
        <v>0</v>
      </c>
      <c r="M745">
        <v>0</v>
      </c>
      <c r="N745">
        <v>2875</v>
      </c>
    </row>
    <row r="746" spans="1:14" x14ac:dyDescent="0.25">
      <c r="A746">
        <v>373.87575600000002</v>
      </c>
      <c r="B746" s="1">
        <f>DATE(2011,5,9) + TIME(21,1,5)</f>
        <v>40672.875752314816</v>
      </c>
      <c r="C746">
        <v>80</v>
      </c>
      <c r="D746">
        <v>79.944862365999995</v>
      </c>
      <c r="E746">
        <v>50</v>
      </c>
      <c r="F746">
        <v>48.617313385000003</v>
      </c>
      <c r="G746">
        <v>1401.7004394999999</v>
      </c>
      <c r="H746">
        <v>1384.3565673999999</v>
      </c>
      <c r="I746">
        <v>1277.9063721</v>
      </c>
      <c r="J746">
        <v>1255.0567627</v>
      </c>
      <c r="K746">
        <v>2875</v>
      </c>
      <c r="L746">
        <v>0</v>
      </c>
      <c r="M746">
        <v>0</v>
      </c>
      <c r="N746">
        <v>2875</v>
      </c>
    </row>
    <row r="747" spans="1:14" x14ac:dyDescent="0.25">
      <c r="A747">
        <v>374.13516900000002</v>
      </c>
      <c r="B747" s="1">
        <f>DATE(2011,5,10) + TIME(3,14,38)</f>
        <v>40673.135162037041</v>
      </c>
      <c r="C747">
        <v>80</v>
      </c>
      <c r="D747">
        <v>79.944938660000005</v>
      </c>
      <c r="E747">
        <v>50</v>
      </c>
      <c r="F747">
        <v>48.584712981999999</v>
      </c>
      <c r="G747">
        <v>1401.5985106999999</v>
      </c>
      <c r="H747">
        <v>1384.2673339999999</v>
      </c>
      <c r="I747">
        <v>1277.8955077999999</v>
      </c>
      <c r="J747">
        <v>1255.0428466999999</v>
      </c>
      <c r="K747">
        <v>2875</v>
      </c>
      <c r="L747">
        <v>0</v>
      </c>
      <c r="M747">
        <v>0</v>
      </c>
      <c r="N747">
        <v>2875</v>
      </c>
    </row>
    <row r="748" spans="1:14" x14ac:dyDescent="0.25">
      <c r="A748">
        <v>374.39708300000001</v>
      </c>
      <c r="B748" s="1">
        <f>DATE(2011,5,10) + TIME(9,31,47)</f>
        <v>40673.39707175926</v>
      </c>
      <c r="C748">
        <v>80</v>
      </c>
      <c r="D748">
        <v>79.944999695000007</v>
      </c>
      <c r="E748">
        <v>50</v>
      </c>
      <c r="F748">
        <v>48.551860808999997</v>
      </c>
      <c r="G748">
        <v>1401.4982910000001</v>
      </c>
      <c r="H748">
        <v>1384.1796875</v>
      </c>
      <c r="I748">
        <v>1277.8846435999999</v>
      </c>
      <c r="J748">
        <v>1255.0288086</v>
      </c>
      <c r="K748">
        <v>2875</v>
      </c>
      <c r="L748">
        <v>0</v>
      </c>
      <c r="M748">
        <v>0</v>
      </c>
      <c r="N748">
        <v>2875</v>
      </c>
    </row>
    <row r="749" spans="1:14" x14ac:dyDescent="0.25">
      <c r="A749">
        <v>374.66213699999997</v>
      </c>
      <c r="B749" s="1">
        <f>DATE(2011,5,10) + TIME(15,53,28)</f>
        <v>40673.662129629629</v>
      </c>
      <c r="C749">
        <v>80</v>
      </c>
      <c r="D749">
        <v>79.945053100999999</v>
      </c>
      <c r="E749">
        <v>50</v>
      </c>
      <c r="F749">
        <v>48.518730163999997</v>
      </c>
      <c r="G749">
        <v>1401.3994141000001</v>
      </c>
      <c r="H749">
        <v>1384.0932617000001</v>
      </c>
      <c r="I749">
        <v>1277.8736572</v>
      </c>
      <c r="J749">
        <v>1255.0146483999999</v>
      </c>
      <c r="K749">
        <v>2875</v>
      </c>
      <c r="L749">
        <v>0</v>
      </c>
      <c r="M749">
        <v>0</v>
      </c>
      <c r="N749">
        <v>2875</v>
      </c>
    </row>
    <row r="750" spans="1:14" x14ac:dyDescent="0.25">
      <c r="A750">
        <v>374.92945800000001</v>
      </c>
      <c r="B750" s="1">
        <f>DATE(2011,5,10) + TIME(22,18,25)</f>
        <v>40673.929456018515</v>
      </c>
      <c r="C750">
        <v>80</v>
      </c>
      <c r="D750">
        <v>79.945091247999997</v>
      </c>
      <c r="E750">
        <v>50</v>
      </c>
      <c r="F750">
        <v>48.485408782999997</v>
      </c>
      <c r="G750">
        <v>1401.3017577999999</v>
      </c>
      <c r="H750">
        <v>1384.0079346</v>
      </c>
      <c r="I750">
        <v>1277.8624268000001</v>
      </c>
      <c r="J750">
        <v>1255.0002440999999</v>
      </c>
      <c r="K750">
        <v>2875</v>
      </c>
      <c r="L750">
        <v>0</v>
      </c>
      <c r="M750">
        <v>0</v>
      </c>
      <c r="N750">
        <v>2875</v>
      </c>
    </row>
    <row r="751" spans="1:14" x14ac:dyDescent="0.25">
      <c r="A751">
        <v>375.199702</v>
      </c>
      <c r="B751" s="1">
        <f>DATE(2011,5,11) + TIME(4,47,34)</f>
        <v>40674.199699074074</v>
      </c>
      <c r="C751">
        <v>80</v>
      </c>
      <c r="D751">
        <v>79.945121764999996</v>
      </c>
      <c r="E751">
        <v>50</v>
      </c>
      <c r="F751">
        <v>48.451858520999998</v>
      </c>
      <c r="G751">
        <v>1401.2055664</v>
      </c>
      <c r="H751">
        <v>1383.9238281</v>
      </c>
      <c r="I751">
        <v>1277.8510742000001</v>
      </c>
      <c r="J751">
        <v>1254.9857178</v>
      </c>
      <c r="K751">
        <v>2875</v>
      </c>
      <c r="L751">
        <v>0</v>
      </c>
      <c r="M751">
        <v>0</v>
      </c>
      <c r="N751">
        <v>2875</v>
      </c>
    </row>
    <row r="752" spans="1:14" x14ac:dyDescent="0.25">
      <c r="A752">
        <v>375.47338500000001</v>
      </c>
      <c r="B752" s="1">
        <f>DATE(2011,5,11) + TIME(11,21,40)</f>
        <v>40674.473379629628</v>
      </c>
      <c r="C752">
        <v>80</v>
      </c>
      <c r="D752">
        <v>79.945144653</v>
      </c>
      <c r="E752">
        <v>50</v>
      </c>
      <c r="F752">
        <v>48.418045044000003</v>
      </c>
      <c r="G752">
        <v>1401.1103516000001</v>
      </c>
      <c r="H752">
        <v>1383.8406981999999</v>
      </c>
      <c r="I752">
        <v>1277.8395995999999</v>
      </c>
      <c r="J752">
        <v>1254.9709473</v>
      </c>
      <c r="K752">
        <v>2875</v>
      </c>
      <c r="L752">
        <v>0</v>
      </c>
      <c r="M752">
        <v>0</v>
      </c>
      <c r="N752">
        <v>2875</v>
      </c>
    </row>
    <row r="753" spans="1:14" x14ac:dyDescent="0.25">
      <c r="A753">
        <v>375.751127</v>
      </c>
      <c r="B753" s="1">
        <f>DATE(2011,5,11) + TIME(18,1,37)</f>
        <v>40674.751122685186</v>
      </c>
      <c r="C753">
        <v>80</v>
      </c>
      <c r="D753">
        <v>79.945167541999993</v>
      </c>
      <c r="E753">
        <v>50</v>
      </c>
      <c r="F753">
        <v>48.383907317999999</v>
      </c>
      <c r="G753">
        <v>1401.0161132999999</v>
      </c>
      <c r="H753">
        <v>1383.7585449000001</v>
      </c>
      <c r="I753">
        <v>1277.8280029</v>
      </c>
      <c r="J753">
        <v>1254.9559326000001</v>
      </c>
      <c r="K753">
        <v>2875</v>
      </c>
      <c r="L753">
        <v>0</v>
      </c>
      <c r="M753">
        <v>0</v>
      </c>
      <c r="N753">
        <v>2875</v>
      </c>
    </row>
    <row r="754" spans="1:14" x14ac:dyDescent="0.25">
      <c r="A754">
        <v>376.03357399999999</v>
      </c>
      <c r="B754" s="1">
        <f>DATE(2011,5,12) + TIME(0,48,20)</f>
        <v>40675.033564814818</v>
      </c>
      <c r="C754">
        <v>80</v>
      </c>
      <c r="D754">
        <v>79.945175171000002</v>
      </c>
      <c r="E754">
        <v>50</v>
      </c>
      <c r="F754">
        <v>48.349391937</v>
      </c>
      <c r="G754">
        <v>1400.9224853999999</v>
      </c>
      <c r="H754">
        <v>1383.6768798999999</v>
      </c>
      <c r="I754">
        <v>1277.8162841999999</v>
      </c>
      <c r="J754">
        <v>1254.9406738</v>
      </c>
      <c r="K754">
        <v>2875</v>
      </c>
      <c r="L754">
        <v>0</v>
      </c>
      <c r="M754">
        <v>0</v>
      </c>
      <c r="N754">
        <v>2875</v>
      </c>
    </row>
    <row r="755" spans="1:14" x14ac:dyDescent="0.25">
      <c r="A755">
        <v>376.32141200000001</v>
      </c>
      <c r="B755" s="1">
        <f>DATE(2011,5,12) + TIME(7,42,50)</f>
        <v>40675.321412037039</v>
      </c>
      <c r="C755">
        <v>80</v>
      </c>
      <c r="D755">
        <v>79.945190429999997</v>
      </c>
      <c r="E755">
        <v>50</v>
      </c>
      <c r="F755">
        <v>48.314434052000003</v>
      </c>
      <c r="G755">
        <v>1400.8293457</v>
      </c>
      <c r="H755">
        <v>1383.5957031</v>
      </c>
      <c r="I755">
        <v>1277.8041992000001</v>
      </c>
      <c r="J755">
        <v>1254.9251709</v>
      </c>
      <c r="K755">
        <v>2875</v>
      </c>
      <c r="L755">
        <v>0</v>
      </c>
      <c r="M755">
        <v>0</v>
      </c>
      <c r="N755">
        <v>2875</v>
      </c>
    </row>
    <row r="756" spans="1:14" x14ac:dyDescent="0.25">
      <c r="A756">
        <v>376.61537399999997</v>
      </c>
      <c r="B756" s="1">
        <f>DATE(2011,5,12) + TIME(14,46,8)</f>
        <v>40675.615370370368</v>
      </c>
      <c r="C756">
        <v>80</v>
      </c>
      <c r="D756">
        <v>79.945190429999997</v>
      </c>
      <c r="E756">
        <v>50</v>
      </c>
      <c r="F756">
        <v>48.278957366999997</v>
      </c>
      <c r="G756">
        <v>1400.7364502</v>
      </c>
      <c r="H756">
        <v>1383.5147704999999</v>
      </c>
      <c r="I756">
        <v>1277.7918701000001</v>
      </c>
      <c r="J756">
        <v>1254.9093018000001</v>
      </c>
      <c r="K756">
        <v>2875</v>
      </c>
      <c r="L756">
        <v>0</v>
      </c>
      <c r="M756">
        <v>0</v>
      </c>
      <c r="N756">
        <v>2875</v>
      </c>
    </row>
    <row r="757" spans="1:14" x14ac:dyDescent="0.25">
      <c r="A757">
        <v>376.91624999999999</v>
      </c>
      <c r="B757" s="1">
        <f>DATE(2011,5,12) + TIME(21,59,23)</f>
        <v>40675.916238425925</v>
      </c>
      <c r="C757">
        <v>80</v>
      </c>
      <c r="D757">
        <v>79.945198059000006</v>
      </c>
      <c r="E757">
        <v>50</v>
      </c>
      <c r="F757">
        <v>48.242889404000003</v>
      </c>
      <c r="G757">
        <v>1400.6436768000001</v>
      </c>
      <c r="H757">
        <v>1383.4339600000001</v>
      </c>
      <c r="I757">
        <v>1277.7792969</v>
      </c>
      <c r="J757">
        <v>1254.8931885</v>
      </c>
      <c r="K757">
        <v>2875</v>
      </c>
      <c r="L757">
        <v>0</v>
      </c>
      <c r="M757">
        <v>0</v>
      </c>
      <c r="N757">
        <v>2875</v>
      </c>
    </row>
    <row r="758" spans="1:14" x14ac:dyDescent="0.25">
      <c r="A758">
        <v>377.22491000000002</v>
      </c>
      <c r="B758" s="1">
        <f>DATE(2011,5,13) + TIME(5,23,52)</f>
        <v>40676.224907407406</v>
      </c>
      <c r="C758">
        <v>80</v>
      </c>
      <c r="D758">
        <v>79.945198059000006</v>
      </c>
      <c r="E758">
        <v>50</v>
      </c>
      <c r="F758">
        <v>48.206142426</v>
      </c>
      <c r="G758">
        <v>1400.5505370999999</v>
      </c>
      <c r="H758">
        <v>1383.3529053</v>
      </c>
      <c r="I758">
        <v>1277.7663574000001</v>
      </c>
      <c r="J758">
        <v>1254.8764647999999</v>
      </c>
      <c r="K758">
        <v>2875</v>
      </c>
      <c r="L758">
        <v>0</v>
      </c>
      <c r="M758">
        <v>0</v>
      </c>
      <c r="N758">
        <v>2875</v>
      </c>
    </row>
    <row r="759" spans="1:14" x14ac:dyDescent="0.25">
      <c r="A759">
        <v>377.54230999999999</v>
      </c>
      <c r="B759" s="1">
        <f>DATE(2011,5,13) + TIME(13,0,55)</f>
        <v>40676.542303240742</v>
      </c>
      <c r="C759">
        <v>80</v>
      </c>
      <c r="D759">
        <v>79.945190429999997</v>
      </c>
      <c r="E759">
        <v>50</v>
      </c>
      <c r="F759">
        <v>48.168621063000003</v>
      </c>
      <c r="G759">
        <v>1400.4570312000001</v>
      </c>
      <c r="H759">
        <v>1383.2716064000001</v>
      </c>
      <c r="I759">
        <v>1277.7531738</v>
      </c>
      <c r="J759">
        <v>1254.859375</v>
      </c>
      <c r="K759">
        <v>2875</v>
      </c>
      <c r="L759">
        <v>0</v>
      </c>
      <c r="M759">
        <v>0</v>
      </c>
      <c r="N759">
        <v>2875</v>
      </c>
    </row>
    <row r="760" spans="1:14" x14ac:dyDescent="0.25">
      <c r="A760">
        <v>377.86935499999998</v>
      </c>
      <c r="B760" s="1">
        <f>DATE(2011,5,13) + TIME(20,51,52)</f>
        <v>40676.869351851848</v>
      </c>
      <c r="C760">
        <v>80</v>
      </c>
      <c r="D760">
        <v>79.945190429999997</v>
      </c>
      <c r="E760">
        <v>50</v>
      </c>
      <c r="F760">
        <v>48.130233765</v>
      </c>
      <c r="G760">
        <v>1400.3629149999999</v>
      </c>
      <c r="H760">
        <v>1383.1896973</v>
      </c>
      <c r="I760">
        <v>1277.7393798999999</v>
      </c>
      <c r="J760">
        <v>1254.8417969</v>
      </c>
      <c r="K760">
        <v>2875</v>
      </c>
      <c r="L760">
        <v>0</v>
      </c>
      <c r="M760">
        <v>0</v>
      </c>
      <c r="N760">
        <v>2875</v>
      </c>
    </row>
    <row r="761" spans="1:14" x14ac:dyDescent="0.25">
      <c r="A761">
        <v>378.206343</v>
      </c>
      <c r="B761" s="1">
        <f>DATE(2011,5,14) + TIME(4,57,8)</f>
        <v>40677.206342592595</v>
      </c>
      <c r="C761">
        <v>80</v>
      </c>
      <c r="D761">
        <v>79.945182799999998</v>
      </c>
      <c r="E761">
        <v>50</v>
      </c>
      <c r="F761">
        <v>48.090942382999998</v>
      </c>
      <c r="G761">
        <v>1400.2680664</v>
      </c>
      <c r="H761">
        <v>1383.1071777</v>
      </c>
      <c r="I761">
        <v>1277.7252197</v>
      </c>
      <c r="J761">
        <v>1254.8236084</v>
      </c>
      <c r="K761">
        <v>2875</v>
      </c>
      <c r="L761">
        <v>0</v>
      </c>
      <c r="M761">
        <v>0</v>
      </c>
      <c r="N761">
        <v>2875</v>
      </c>
    </row>
    <row r="762" spans="1:14" x14ac:dyDescent="0.25">
      <c r="A762">
        <v>378.554553</v>
      </c>
      <c r="B762" s="1">
        <f>DATE(2011,5,14) + TIME(13,18,33)</f>
        <v>40677.554548611108</v>
      </c>
      <c r="C762">
        <v>80</v>
      </c>
      <c r="D762">
        <v>79.945175171000002</v>
      </c>
      <c r="E762">
        <v>50</v>
      </c>
      <c r="F762">
        <v>48.050628662000001</v>
      </c>
      <c r="G762">
        <v>1400.1722411999999</v>
      </c>
      <c r="H762">
        <v>1383.0239257999999</v>
      </c>
      <c r="I762">
        <v>1277.7105713000001</v>
      </c>
      <c r="J762">
        <v>1254.8048096</v>
      </c>
      <c r="K762">
        <v>2875</v>
      </c>
      <c r="L762">
        <v>0</v>
      </c>
      <c r="M762">
        <v>0</v>
      </c>
      <c r="N762">
        <v>2875</v>
      </c>
    </row>
    <row r="763" spans="1:14" x14ac:dyDescent="0.25">
      <c r="A763">
        <v>378.903797</v>
      </c>
      <c r="B763" s="1">
        <f>DATE(2011,5,14) + TIME(21,41,28)</f>
        <v>40677.903796296298</v>
      </c>
      <c r="C763">
        <v>80</v>
      </c>
      <c r="D763">
        <v>79.945167541999993</v>
      </c>
      <c r="E763">
        <v>50</v>
      </c>
      <c r="F763">
        <v>48.010070800999998</v>
      </c>
      <c r="G763">
        <v>1400.0753173999999</v>
      </c>
      <c r="H763">
        <v>1382.9396973</v>
      </c>
      <c r="I763">
        <v>1277.6953125</v>
      </c>
      <c r="J763">
        <v>1254.7854004000001</v>
      </c>
      <c r="K763">
        <v>2875</v>
      </c>
      <c r="L763">
        <v>0</v>
      </c>
      <c r="M763">
        <v>0</v>
      </c>
      <c r="N763">
        <v>2875</v>
      </c>
    </row>
    <row r="764" spans="1:14" x14ac:dyDescent="0.25">
      <c r="A764">
        <v>379.254752</v>
      </c>
      <c r="B764" s="1">
        <f>DATE(2011,5,15) + TIME(6,6,50)</f>
        <v>40678.254745370374</v>
      </c>
      <c r="C764">
        <v>80</v>
      </c>
      <c r="D764">
        <v>79.945159911999994</v>
      </c>
      <c r="E764">
        <v>50</v>
      </c>
      <c r="F764">
        <v>47.969318389999998</v>
      </c>
      <c r="G764">
        <v>1399.9801024999999</v>
      </c>
      <c r="H764">
        <v>1382.8570557</v>
      </c>
      <c r="I764">
        <v>1277.6799315999999</v>
      </c>
      <c r="J764">
        <v>1254.7657471</v>
      </c>
      <c r="K764">
        <v>2875</v>
      </c>
      <c r="L764">
        <v>0</v>
      </c>
      <c r="M764">
        <v>0</v>
      </c>
      <c r="N764">
        <v>2875</v>
      </c>
    </row>
    <row r="765" spans="1:14" x14ac:dyDescent="0.25">
      <c r="A765">
        <v>379.608227</v>
      </c>
      <c r="B765" s="1">
        <f>DATE(2011,5,15) + TIME(14,35,50)</f>
        <v>40678.608217592591</v>
      </c>
      <c r="C765">
        <v>80</v>
      </c>
      <c r="D765">
        <v>79.945144653</v>
      </c>
      <c r="E765">
        <v>50</v>
      </c>
      <c r="F765">
        <v>47.928375244000001</v>
      </c>
      <c r="G765">
        <v>1399.8864745999999</v>
      </c>
      <c r="H765">
        <v>1382.7756348</v>
      </c>
      <c r="I765">
        <v>1277.6643065999999</v>
      </c>
      <c r="J765">
        <v>1254.7459716999999</v>
      </c>
      <c r="K765">
        <v>2875</v>
      </c>
      <c r="L765">
        <v>0</v>
      </c>
      <c r="M765">
        <v>0</v>
      </c>
      <c r="N765">
        <v>2875</v>
      </c>
    </row>
    <row r="766" spans="1:14" x14ac:dyDescent="0.25">
      <c r="A766">
        <v>379.964992</v>
      </c>
      <c r="B766" s="1">
        <f>DATE(2011,5,15) + TIME(23,9,35)</f>
        <v>40678.964988425927</v>
      </c>
      <c r="C766">
        <v>80</v>
      </c>
      <c r="D766">
        <v>79.945137024000005</v>
      </c>
      <c r="E766">
        <v>50</v>
      </c>
      <c r="F766">
        <v>47.887222289999997</v>
      </c>
      <c r="G766">
        <v>1399.7940673999999</v>
      </c>
      <c r="H766">
        <v>1382.6954346</v>
      </c>
      <c r="I766">
        <v>1277.6486815999999</v>
      </c>
      <c r="J766">
        <v>1254.7259521000001</v>
      </c>
      <c r="K766">
        <v>2875</v>
      </c>
      <c r="L766">
        <v>0</v>
      </c>
      <c r="M766">
        <v>0</v>
      </c>
      <c r="N766">
        <v>2875</v>
      </c>
    </row>
    <row r="767" spans="1:14" x14ac:dyDescent="0.25">
      <c r="A767">
        <v>380.32588399999997</v>
      </c>
      <c r="B767" s="1">
        <f>DATE(2011,5,16) + TIME(7,49,16)</f>
        <v>40679.325879629629</v>
      </c>
      <c r="C767">
        <v>80</v>
      </c>
      <c r="D767">
        <v>79.945121764999996</v>
      </c>
      <c r="E767">
        <v>50</v>
      </c>
      <c r="F767">
        <v>47.845802307</v>
      </c>
      <c r="G767">
        <v>1399.7025146000001</v>
      </c>
      <c r="H767">
        <v>1382.6159668</v>
      </c>
      <c r="I767">
        <v>1277.6328125</v>
      </c>
      <c r="J767">
        <v>1254.7056885</v>
      </c>
      <c r="K767">
        <v>2875</v>
      </c>
      <c r="L767">
        <v>0</v>
      </c>
      <c r="M767">
        <v>0</v>
      </c>
      <c r="N767">
        <v>2875</v>
      </c>
    </row>
    <row r="768" spans="1:14" x14ac:dyDescent="0.25">
      <c r="A768">
        <v>380.691757</v>
      </c>
      <c r="B768" s="1">
        <f>DATE(2011,5,16) + TIME(16,36,7)</f>
        <v>40679.691747685189</v>
      </c>
      <c r="C768">
        <v>80</v>
      </c>
      <c r="D768">
        <v>79.945114136000001</v>
      </c>
      <c r="E768">
        <v>50</v>
      </c>
      <c r="F768">
        <v>47.804058075</v>
      </c>
      <c r="G768">
        <v>1399.6118164</v>
      </c>
      <c r="H768">
        <v>1382.5373535000001</v>
      </c>
      <c r="I768">
        <v>1277.6166992000001</v>
      </c>
      <c r="J768">
        <v>1254.6851807</v>
      </c>
      <c r="K768">
        <v>2875</v>
      </c>
      <c r="L768">
        <v>0</v>
      </c>
      <c r="M768">
        <v>0</v>
      </c>
      <c r="N768">
        <v>2875</v>
      </c>
    </row>
    <row r="769" spans="1:14" x14ac:dyDescent="0.25">
      <c r="A769">
        <v>381.06349699999998</v>
      </c>
      <c r="B769" s="1">
        <f>DATE(2011,5,17) + TIME(1,31,26)</f>
        <v>40680.06349537037</v>
      </c>
      <c r="C769">
        <v>80</v>
      </c>
      <c r="D769">
        <v>79.945106506000002</v>
      </c>
      <c r="E769">
        <v>50</v>
      </c>
      <c r="F769">
        <v>47.761913300000003</v>
      </c>
      <c r="G769">
        <v>1399.5216064000001</v>
      </c>
      <c r="H769">
        <v>1382.4591064000001</v>
      </c>
      <c r="I769">
        <v>1277.6003418</v>
      </c>
      <c r="J769">
        <v>1254.6641846</v>
      </c>
      <c r="K769">
        <v>2875</v>
      </c>
      <c r="L769">
        <v>0</v>
      </c>
      <c r="M769">
        <v>0</v>
      </c>
      <c r="N769">
        <v>2875</v>
      </c>
    </row>
    <row r="770" spans="1:14" x14ac:dyDescent="0.25">
      <c r="A770">
        <v>381.441574</v>
      </c>
      <c r="B770" s="1">
        <f>DATE(2011,5,17) + TIME(10,35,51)</f>
        <v>40680.441562499997</v>
      </c>
      <c r="C770">
        <v>80</v>
      </c>
      <c r="D770">
        <v>79.945091247999997</v>
      </c>
      <c r="E770">
        <v>50</v>
      </c>
      <c r="F770">
        <v>47.719318389999998</v>
      </c>
      <c r="G770">
        <v>1399.4317627</v>
      </c>
      <c r="H770">
        <v>1382.3811035000001</v>
      </c>
      <c r="I770">
        <v>1277.5836182</v>
      </c>
      <c r="J770">
        <v>1254.6428223</v>
      </c>
      <c r="K770">
        <v>2875</v>
      </c>
      <c r="L770">
        <v>0</v>
      </c>
      <c r="M770">
        <v>0</v>
      </c>
      <c r="N770">
        <v>2875</v>
      </c>
    </row>
    <row r="771" spans="1:14" x14ac:dyDescent="0.25">
      <c r="A771">
        <v>381.82457199999999</v>
      </c>
      <c r="B771" s="1">
        <f>DATE(2011,5,17) + TIME(19,47,23)</f>
        <v>40680.824571759258</v>
      </c>
      <c r="C771">
        <v>80</v>
      </c>
      <c r="D771">
        <v>79.945083617999998</v>
      </c>
      <c r="E771">
        <v>50</v>
      </c>
      <c r="F771">
        <v>47.676361084</v>
      </c>
      <c r="G771">
        <v>1399.3421631000001</v>
      </c>
      <c r="H771">
        <v>1382.3033447</v>
      </c>
      <c r="I771">
        <v>1277.5665283000001</v>
      </c>
      <c r="J771">
        <v>1254.6209716999999</v>
      </c>
      <c r="K771">
        <v>2875</v>
      </c>
      <c r="L771">
        <v>0</v>
      </c>
      <c r="M771">
        <v>0</v>
      </c>
      <c r="N771">
        <v>2875</v>
      </c>
    </row>
    <row r="772" spans="1:14" x14ac:dyDescent="0.25">
      <c r="A772">
        <v>382.21338900000001</v>
      </c>
      <c r="B772" s="1">
        <f>DATE(2011,5,18) + TIME(5,7,16)</f>
        <v>40681.213379629633</v>
      </c>
      <c r="C772">
        <v>80</v>
      </c>
      <c r="D772">
        <v>79.945068359000004</v>
      </c>
      <c r="E772">
        <v>50</v>
      </c>
      <c r="F772">
        <v>47.632991791000002</v>
      </c>
      <c r="G772">
        <v>1399.2529297000001</v>
      </c>
      <c r="H772">
        <v>1382.2259521000001</v>
      </c>
      <c r="I772">
        <v>1277.5491943</v>
      </c>
      <c r="J772">
        <v>1254.5988769999999</v>
      </c>
      <c r="K772">
        <v>2875</v>
      </c>
      <c r="L772">
        <v>0</v>
      </c>
      <c r="M772">
        <v>0</v>
      </c>
      <c r="N772">
        <v>2875</v>
      </c>
    </row>
    <row r="773" spans="1:14" x14ac:dyDescent="0.25">
      <c r="A773">
        <v>382.608947</v>
      </c>
      <c r="B773" s="1">
        <f>DATE(2011,5,18) + TIME(14,36,53)</f>
        <v>40681.608946759261</v>
      </c>
      <c r="C773">
        <v>80</v>
      </c>
      <c r="D773">
        <v>79.945060729999994</v>
      </c>
      <c r="E773">
        <v>50</v>
      </c>
      <c r="F773">
        <v>47.589141845999997</v>
      </c>
      <c r="G773">
        <v>1399.1641846</v>
      </c>
      <c r="H773">
        <v>1382.1490478999999</v>
      </c>
      <c r="I773">
        <v>1277.5314940999999</v>
      </c>
      <c r="J773">
        <v>1254.5761719</v>
      </c>
      <c r="K773">
        <v>2875</v>
      </c>
      <c r="L773">
        <v>0</v>
      </c>
      <c r="M773">
        <v>0</v>
      </c>
      <c r="N773">
        <v>2875</v>
      </c>
    </row>
    <row r="774" spans="1:14" x14ac:dyDescent="0.25">
      <c r="A774">
        <v>383.01222200000001</v>
      </c>
      <c r="B774" s="1">
        <f>DATE(2011,5,19) + TIME(0,17,35)</f>
        <v>40682.01221064815</v>
      </c>
      <c r="C774">
        <v>80</v>
      </c>
      <c r="D774">
        <v>79.945045471</v>
      </c>
      <c r="E774">
        <v>50</v>
      </c>
      <c r="F774">
        <v>47.544723511000001</v>
      </c>
      <c r="G774">
        <v>1399.0755615</v>
      </c>
      <c r="H774">
        <v>1382.0721435999999</v>
      </c>
      <c r="I774">
        <v>1277.5133057</v>
      </c>
      <c r="J774">
        <v>1254.5531006000001</v>
      </c>
      <c r="K774">
        <v>2875</v>
      </c>
      <c r="L774">
        <v>0</v>
      </c>
      <c r="M774">
        <v>0</v>
      </c>
      <c r="N774">
        <v>2875</v>
      </c>
    </row>
    <row r="775" spans="1:14" x14ac:dyDescent="0.25">
      <c r="A775">
        <v>383.42427500000002</v>
      </c>
      <c r="B775" s="1">
        <f>DATE(2011,5,19) + TIME(10,10,57)</f>
        <v>40682.424270833333</v>
      </c>
      <c r="C775">
        <v>80</v>
      </c>
      <c r="D775">
        <v>79.945037842000005</v>
      </c>
      <c r="E775">
        <v>50</v>
      </c>
      <c r="F775">
        <v>47.499649048000002</v>
      </c>
      <c r="G775">
        <v>1398.9868164</v>
      </c>
      <c r="H775">
        <v>1381.9952393000001</v>
      </c>
      <c r="I775">
        <v>1277.494751</v>
      </c>
      <c r="J775">
        <v>1254.5294189000001</v>
      </c>
      <c r="K775">
        <v>2875</v>
      </c>
      <c r="L775">
        <v>0</v>
      </c>
      <c r="M775">
        <v>0</v>
      </c>
      <c r="N775">
        <v>2875</v>
      </c>
    </row>
    <row r="776" spans="1:14" x14ac:dyDescent="0.25">
      <c r="A776">
        <v>383.84625499999999</v>
      </c>
      <c r="B776" s="1">
        <f>DATE(2011,5,19) + TIME(20,18,36)</f>
        <v>40682.846250000002</v>
      </c>
      <c r="C776">
        <v>80</v>
      </c>
      <c r="D776">
        <v>79.945030212000006</v>
      </c>
      <c r="E776">
        <v>50</v>
      </c>
      <c r="F776">
        <v>47.453815460000001</v>
      </c>
      <c r="G776">
        <v>1398.8978271000001</v>
      </c>
      <c r="H776">
        <v>1381.9180908000001</v>
      </c>
      <c r="I776">
        <v>1277.4758300999999</v>
      </c>
      <c r="J776">
        <v>1254.5051269999999</v>
      </c>
      <c r="K776">
        <v>2875</v>
      </c>
      <c r="L776">
        <v>0</v>
      </c>
      <c r="M776">
        <v>0</v>
      </c>
      <c r="N776">
        <v>2875</v>
      </c>
    </row>
    <row r="777" spans="1:14" x14ac:dyDescent="0.25">
      <c r="A777">
        <v>384.27943900000002</v>
      </c>
      <c r="B777" s="1">
        <f>DATE(2011,5,20) + TIME(6,42,23)</f>
        <v>40683.279432870368</v>
      </c>
      <c r="C777">
        <v>80</v>
      </c>
      <c r="D777">
        <v>79.945022582999997</v>
      </c>
      <c r="E777">
        <v>50</v>
      </c>
      <c r="F777">
        <v>47.407112122000001</v>
      </c>
      <c r="G777">
        <v>1398.8083495999999</v>
      </c>
      <c r="H777">
        <v>1381.8404541</v>
      </c>
      <c r="I777">
        <v>1277.4561768000001</v>
      </c>
      <c r="J777">
        <v>1254.4799805</v>
      </c>
      <c r="K777">
        <v>2875</v>
      </c>
      <c r="L777">
        <v>0</v>
      </c>
      <c r="M777">
        <v>0</v>
      </c>
      <c r="N777">
        <v>2875</v>
      </c>
    </row>
    <row r="778" spans="1:14" x14ac:dyDescent="0.25">
      <c r="A778">
        <v>384.72494699999999</v>
      </c>
      <c r="B778" s="1">
        <f>DATE(2011,5,20) + TIME(17,23,55)</f>
        <v>40683.724942129629</v>
      </c>
      <c r="C778">
        <v>80</v>
      </c>
      <c r="D778">
        <v>79.945014954000001</v>
      </c>
      <c r="E778">
        <v>50</v>
      </c>
      <c r="F778">
        <v>47.359428405999999</v>
      </c>
      <c r="G778">
        <v>1398.7181396000001</v>
      </c>
      <c r="H778">
        <v>1381.7623291</v>
      </c>
      <c r="I778">
        <v>1277.4359131000001</v>
      </c>
      <c r="J778">
        <v>1254.4541016000001</v>
      </c>
      <c r="K778">
        <v>2875</v>
      </c>
      <c r="L778">
        <v>0</v>
      </c>
      <c r="M778">
        <v>0</v>
      </c>
      <c r="N778">
        <v>2875</v>
      </c>
    </row>
    <row r="779" spans="1:14" x14ac:dyDescent="0.25">
      <c r="A779">
        <v>385.171761</v>
      </c>
      <c r="B779" s="1">
        <f>DATE(2011,5,21) + TIME(4,7,20)</f>
        <v>40684.171759259261</v>
      </c>
      <c r="C779">
        <v>80</v>
      </c>
      <c r="D779">
        <v>79.944999695000007</v>
      </c>
      <c r="E779">
        <v>50</v>
      </c>
      <c r="F779">
        <v>47.311462401999997</v>
      </c>
      <c r="G779">
        <v>1398.6271973</v>
      </c>
      <c r="H779">
        <v>1381.6834716999999</v>
      </c>
      <c r="I779">
        <v>1277.4149170000001</v>
      </c>
      <c r="J779">
        <v>1254.4274902</v>
      </c>
      <c r="K779">
        <v>2875</v>
      </c>
      <c r="L779">
        <v>0</v>
      </c>
      <c r="M779">
        <v>0</v>
      </c>
      <c r="N779">
        <v>2875</v>
      </c>
    </row>
    <row r="780" spans="1:14" x14ac:dyDescent="0.25">
      <c r="A780">
        <v>385.62102299999998</v>
      </c>
      <c r="B780" s="1">
        <f>DATE(2011,5,21) + TIME(14,54,16)</f>
        <v>40684.621018518519</v>
      </c>
      <c r="C780">
        <v>80</v>
      </c>
      <c r="D780">
        <v>79.944992064999994</v>
      </c>
      <c r="E780">
        <v>50</v>
      </c>
      <c r="F780">
        <v>47.263286591000004</v>
      </c>
      <c r="G780">
        <v>1398.5374756000001</v>
      </c>
      <c r="H780">
        <v>1381.6057129000001</v>
      </c>
      <c r="I780">
        <v>1277.3936768000001</v>
      </c>
      <c r="J780">
        <v>1254.4005127</v>
      </c>
      <c r="K780">
        <v>2875</v>
      </c>
      <c r="L780">
        <v>0</v>
      </c>
      <c r="M780">
        <v>0</v>
      </c>
      <c r="N780">
        <v>2875</v>
      </c>
    </row>
    <row r="781" spans="1:14" x14ac:dyDescent="0.25">
      <c r="A781">
        <v>386.07368500000001</v>
      </c>
      <c r="B781" s="1">
        <f>DATE(2011,5,22) + TIME(1,46,6)</f>
        <v>40685.073680555557</v>
      </c>
      <c r="C781">
        <v>80</v>
      </c>
      <c r="D781">
        <v>79.944984435999999</v>
      </c>
      <c r="E781">
        <v>50</v>
      </c>
      <c r="F781">
        <v>47.214908600000001</v>
      </c>
      <c r="G781">
        <v>1398.4489745999999</v>
      </c>
      <c r="H781">
        <v>1381.5290527</v>
      </c>
      <c r="I781">
        <v>1277.3723144999999</v>
      </c>
      <c r="J781">
        <v>1254.3731689000001</v>
      </c>
      <c r="K781">
        <v>2875</v>
      </c>
      <c r="L781">
        <v>0</v>
      </c>
      <c r="M781">
        <v>0</v>
      </c>
      <c r="N781">
        <v>2875</v>
      </c>
    </row>
    <row r="782" spans="1:14" x14ac:dyDescent="0.25">
      <c r="A782">
        <v>386.53080999999997</v>
      </c>
      <c r="B782" s="1">
        <f>DATE(2011,5,22) + TIME(12,44,21)</f>
        <v>40685.530798611115</v>
      </c>
      <c r="C782">
        <v>80</v>
      </c>
      <c r="D782">
        <v>79.944976807000003</v>
      </c>
      <c r="E782">
        <v>50</v>
      </c>
      <c r="F782">
        <v>47.166290283000002</v>
      </c>
      <c r="G782">
        <v>1398.3614502</v>
      </c>
      <c r="H782">
        <v>1381.453125</v>
      </c>
      <c r="I782">
        <v>1277.3505858999999</v>
      </c>
      <c r="J782">
        <v>1254.3454589999999</v>
      </c>
      <c r="K782">
        <v>2875</v>
      </c>
      <c r="L782">
        <v>0</v>
      </c>
      <c r="M782">
        <v>0</v>
      </c>
      <c r="N782">
        <v>2875</v>
      </c>
    </row>
    <row r="783" spans="1:14" x14ac:dyDescent="0.25">
      <c r="A783">
        <v>386.99348199999997</v>
      </c>
      <c r="B783" s="1">
        <f>DATE(2011,5,22) + TIME(23,50,36)</f>
        <v>40685.993472222224</v>
      </c>
      <c r="C783">
        <v>80</v>
      </c>
      <c r="D783">
        <v>79.944976807000003</v>
      </c>
      <c r="E783">
        <v>50</v>
      </c>
      <c r="F783">
        <v>47.117370604999998</v>
      </c>
      <c r="G783">
        <v>1398.2745361</v>
      </c>
      <c r="H783">
        <v>1381.3778076000001</v>
      </c>
      <c r="I783">
        <v>1277.3284911999999</v>
      </c>
      <c r="J783">
        <v>1254.3172606999999</v>
      </c>
      <c r="K783">
        <v>2875</v>
      </c>
      <c r="L783">
        <v>0</v>
      </c>
      <c r="M783">
        <v>0</v>
      </c>
      <c r="N783">
        <v>2875</v>
      </c>
    </row>
    <row r="784" spans="1:14" x14ac:dyDescent="0.25">
      <c r="A784">
        <v>387.46281900000002</v>
      </c>
      <c r="B784" s="1">
        <f>DATE(2011,5,23) + TIME(11,6,27)</f>
        <v>40686.462812500002</v>
      </c>
      <c r="C784">
        <v>80</v>
      </c>
      <c r="D784">
        <v>79.944969177000004</v>
      </c>
      <c r="E784">
        <v>50</v>
      </c>
      <c r="F784">
        <v>47.068061829000001</v>
      </c>
      <c r="G784">
        <v>1398.1881103999999</v>
      </c>
      <c r="H784">
        <v>1381.3028564000001</v>
      </c>
      <c r="I784">
        <v>1277.3060303</v>
      </c>
      <c r="J784">
        <v>1254.2885742000001</v>
      </c>
      <c r="K784">
        <v>2875</v>
      </c>
      <c r="L784">
        <v>0</v>
      </c>
      <c r="M784">
        <v>0</v>
      </c>
      <c r="N784">
        <v>2875</v>
      </c>
    </row>
    <row r="785" spans="1:14" x14ac:dyDescent="0.25">
      <c r="A785">
        <v>387.93999500000001</v>
      </c>
      <c r="B785" s="1">
        <f>DATE(2011,5,23) + TIME(22,33,35)</f>
        <v>40686.939988425926</v>
      </c>
      <c r="C785">
        <v>80</v>
      </c>
      <c r="D785">
        <v>79.944961547999995</v>
      </c>
      <c r="E785">
        <v>50</v>
      </c>
      <c r="F785">
        <v>47.018260955999999</v>
      </c>
      <c r="G785">
        <v>1398.1019286999999</v>
      </c>
      <c r="H785">
        <v>1381.2281493999999</v>
      </c>
      <c r="I785">
        <v>1277.2830810999999</v>
      </c>
      <c r="J785">
        <v>1254.2591553</v>
      </c>
      <c r="K785">
        <v>2875</v>
      </c>
      <c r="L785">
        <v>0</v>
      </c>
      <c r="M785">
        <v>0</v>
      </c>
      <c r="N785">
        <v>2875</v>
      </c>
    </row>
    <row r="786" spans="1:14" x14ac:dyDescent="0.25">
      <c r="A786">
        <v>388.42625800000002</v>
      </c>
      <c r="B786" s="1">
        <f>DATE(2011,5,24) + TIME(10,13,48)</f>
        <v>40687.426249999997</v>
      </c>
      <c r="C786">
        <v>80</v>
      </c>
      <c r="D786">
        <v>79.944953917999996</v>
      </c>
      <c r="E786">
        <v>50</v>
      </c>
      <c r="F786">
        <v>46.967868805000002</v>
      </c>
      <c r="G786">
        <v>1398.0158690999999</v>
      </c>
      <c r="H786">
        <v>1381.1534423999999</v>
      </c>
      <c r="I786">
        <v>1277.2596435999999</v>
      </c>
      <c r="J786">
        <v>1254.229126</v>
      </c>
      <c r="K786">
        <v>2875</v>
      </c>
      <c r="L786">
        <v>0</v>
      </c>
      <c r="M786">
        <v>0</v>
      </c>
      <c r="N786">
        <v>2875</v>
      </c>
    </row>
    <row r="787" spans="1:14" x14ac:dyDescent="0.25">
      <c r="A787">
        <v>388.92292400000002</v>
      </c>
      <c r="B787" s="1">
        <f>DATE(2011,5,24) + TIME(22,9,0)</f>
        <v>40687.92291666667</v>
      </c>
      <c r="C787">
        <v>80</v>
      </c>
      <c r="D787">
        <v>79.944953917999996</v>
      </c>
      <c r="E787">
        <v>50</v>
      </c>
      <c r="F787">
        <v>46.916759491000001</v>
      </c>
      <c r="G787">
        <v>1397.9295654</v>
      </c>
      <c r="H787">
        <v>1381.0786132999999</v>
      </c>
      <c r="I787">
        <v>1277.2355957</v>
      </c>
      <c r="J787">
        <v>1254.1982422000001</v>
      </c>
      <c r="K787">
        <v>2875</v>
      </c>
      <c r="L787">
        <v>0</v>
      </c>
      <c r="M787">
        <v>0</v>
      </c>
      <c r="N787">
        <v>2875</v>
      </c>
    </row>
    <row r="788" spans="1:14" x14ac:dyDescent="0.25">
      <c r="A788">
        <v>389.42669000000001</v>
      </c>
      <c r="B788" s="1">
        <f>DATE(2011,5,25) + TIME(10,14,26)</f>
        <v>40688.426689814813</v>
      </c>
      <c r="C788">
        <v>80</v>
      </c>
      <c r="D788">
        <v>79.944946289000001</v>
      </c>
      <c r="E788">
        <v>50</v>
      </c>
      <c r="F788">
        <v>46.865093231000003</v>
      </c>
      <c r="G788">
        <v>1397.8430175999999</v>
      </c>
      <c r="H788">
        <v>1381.003418</v>
      </c>
      <c r="I788">
        <v>1277.2106934000001</v>
      </c>
      <c r="J788">
        <v>1254.1663818</v>
      </c>
      <c r="K788">
        <v>2875</v>
      </c>
      <c r="L788">
        <v>0</v>
      </c>
      <c r="M788">
        <v>0</v>
      </c>
      <c r="N788">
        <v>2875</v>
      </c>
    </row>
    <row r="789" spans="1:14" x14ac:dyDescent="0.25">
      <c r="A789">
        <v>389.93883</v>
      </c>
      <c r="B789" s="1">
        <f>DATE(2011,5,25) + TIME(22,31,54)</f>
        <v>40688.938819444447</v>
      </c>
      <c r="C789">
        <v>80</v>
      </c>
      <c r="D789">
        <v>79.944946289000001</v>
      </c>
      <c r="E789">
        <v>50</v>
      </c>
      <c r="F789">
        <v>46.812831879000001</v>
      </c>
      <c r="G789">
        <v>1397.7565918</v>
      </c>
      <c r="H789">
        <v>1380.9285889</v>
      </c>
      <c r="I789">
        <v>1277.1853027</v>
      </c>
      <c r="J789">
        <v>1254.1339111</v>
      </c>
      <c r="K789">
        <v>2875</v>
      </c>
      <c r="L789">
        <v>0</v>
      </c>
      <c r="M789">
        <v>0</v>
      </c>
      <c r="N789">
        <v>2875</v>
      </c>
    </row>
    <row r="790" spans="1:14" x14ac:dyDescent="0.25">
      <c r="A790">
        <v>390.460645</v>
      </c>
      <c r="B790" s="1">
        <f>DATE(2011,5,26) + TIME(11,3,19)</f>
        <v>40689.460636574076</v>
      </c>
      <c r="C790">
        <v>80</v>
      </c>
      <c r="D790">
        <v>79.944946289000001</v>
      </c>
      <c r="E790">
        <v>50</v>
      </c>
      <c r="F790">
        <v>46.759887695000003</v>
      </c>
      <c r="G790">
        <v>1397.6702881000001</v>
      </c>
      <c r="H790">
        <v>1380.8536377</v>
      </c>
      <c r="I790">
        <v>1277.1593018000001</v>
      </c>
      <c r="J790">
        <v>1254.1004639</v>
      </c>
      <c r="K790">
        <v>2875</v>
      </c>
      <c r="L790">
        <v>0</v>
      </c>
      <c r="M790">
        <v>0</v>
      </c>
      <c r="N790">
        <v>2875</v>
      </c>
    </row>
    <row r="791" spans="1:14" x14ac:dyDescent="0.25">
      <c r="A791">
        <v>390.99354099999999</v>
      </c>
      <c r="B791" s="1">
        <f>DATE(2011,5,26) + TIME(23,50,41)</f>
        <v>40689.993530092594</v>
      </c>
      <c r="C791">
        <v>80</v>
      </c>
      <c r="D791">
        <v>79.944938660000005</v>
      </c>
      <c r="E791">
        <v>50</v>
      </c>
      <c r="F791">
        <v>46.706161498999997</v>
      </c>
      <c r="G791">
        <v>1397.5837402</v>
      </c>
      <c r="H791">
        <v>1380.7785644999999</v>
      </c>
      <c r="I791">
        <v>1277.1326904</v>
      </c>
      <c r="J791">
        <v>1254.0661620999999</v>
      </c>
      <c r="K791">
        <v>2875</v>
      </c>
      <c r="L791">
        <v>0</v>
      </c>
      <c r="M791">
        <v>0</v>
      </c>
      <c r="N791">
        <v>2875</v>
      </c>
    </row>
    <row r="792" spans="1:14" x14ac:dyDescent="0.25">
      <c r="A792">
        <v>391.53904999999997</v>
      </c>
      <c r="B792" s="1">
        <f>DATE(2011,5,27) + TIME(12,56,13)</f>
        <v>40690.539039351854</v>
      </c>
      <c r="C792">
        <v>80</v>
      </c>
      <c r="D792">
        <v>79.944938660000005</v>
      </c>
      <c r="E792">
        <v>50</v>
      </c>
      <c r="F792">
        <v>46.651531218999999</v>
      </c>
      <c r="G792">
        <v>1397.4969481999999</v>
      </c>
      <c r="H792">
        <v>1380.703125</v>
      </c>
      <c r="I792">
        <v>1277.1051024999999</v>
      </c>
      <c r="J792">
        <v>1254.0306396000001</v>
      </c>
      <c r="K792">
        <v>2875</v>
      </c>
      <c r="L792">
        <v>0</v>
      </c>
      <c r="M792">
        <v>0</v>
      </c>
      <c r="N792">
        <v>2875</v>
      </c>
    </row>
    <row r="793" spans="1:14" x14ac:dyDescent="0.25">
      <c r="A793">
        <v>392.09198199999997</v>
      </c>
      <c r="B793" s="1">
        <f>DATE(2011,5,28) + TIME(2,12,27)</f>
        <v>40691.091979166667</v>
      </c>
      <c r="C793">
        <v>80</v>
      </c>
      <c r="D793">
        <v>79.944938660000005</v>
      </c>
      <c r="E793">
        <v>50</v>
      </c>
      <c r="F793">
        <v>46.596248627000001</v>
      </c>
      <c r="G793">
        <v>1397.4095459</v>
      </c>
      <c r="H793">
        <v>1380.6271973</v>
      </c>
      <c r="I793">
        <v>1277.0766602000001</v>
      </c>
      <c r="J793">
        <v>1253.9940185999999</v>
      </c>
      <c r="K793">
        <v>2875</v>
      </c>
      <c r="L793">
        <v>0</v>
      </c>
      <c r="M793">
        <v>0</v>
      </c>
      <c r="N793">
        <v>2875</v>
      </c>
    </row>
    <row r="794" spans="1:14" x14ac:dyDescent="0.25">
      <c r="A794">
        <v>392.64728200000002</v>
      </c>
      <c r="B794" s="1">
        <f>DATE(2011,5,28) + TIME(15,32,5)</f>
        <v>40691.647280092591</v>
      </c>
      <c r="C794">
        <v>80</v>
      </c>
      <c r="D794">
        <v>79.944938660000005</v>
      </c>
      <c r="E794">
        <v>50</v>
      </c>
      <c r="F794">
        <v>46.540668488000001</v>
      </c>
      <c r="G794">
        <v>1397.3223877</v>
      </c>
      <c r="H794">
        <v>1380.5515137</v>
      </c>
      <c r="I794">
        <v>1277.0474853999999</v>
      </c>
      <c r="J794">
        <v>1253.956543</v>
      </c>
      <c r="K794">
        <v>2875</v>
      </c>
      <c r="L794">
        <v>0</v>
      </c>
      <c r="M794">
        <v>0</v>
      </c>
      <c r="N794">
        <v>2875</v>
      </c>
    </row>
    <row r="795" spans="1:14" x14ac:dyDescent="0.25">
      <c r="A795">
        <v>393.206076</v>
      </c>
      <c r="B795" s="1">
        <f>DATE(2011,5,29) + TIME(4,56,44)</f>
        <v>40692.206064814818</v>
      </c>
      <c r="C795">
        <v>80</v>
      </c>
      <c r="D795">
        <v>79.944938660000005</v>
      </c>
      <c r="E795">
        <v>50</v>
      </c>
      <c r="F795">
        <v>46.484855652</v>
      </c>
      <c r="G795">
        <v>1397.2362060999999</v>
      </c>
      <c r="H795">
        <v>1380.4768065999999</v>
      </c>
      <c r="I795">
        <v>1277.0179443</v>
      </c>
      <c r="J795">
        <v>1253.918457</v>
      </c>
      <c r="K795">
        <v>2875</v>
      </c>
      <c r="L795">
        <v>0</v>
      </c>
      <c r="M795">
        <v>0</v>
      </c>
      <c r="N795">
        <v>2875</v>
      </c>
    </row>
    <row r="796" spans="1:14" x14ac:dyDescent="0.25">
      <c r="A796">
        <v>393.76968399999998</v>
      </c>
      <c r="B796" s="1">
        <f>DATE(2011,5,29) + TIME(18,28,20)</f>
        <v>40692.769675925927</v>
      </c>
      <c r="C796">
        <v>80</v>
      </c>
      <c r="D796">
        <v>79.944938660000005</v>
      </c>
      <c r="E796">
        <v>50</v>
      </c>
      <c r="F796">
        <v>46.428791046000001</v>
      </c>
      <c r="G796">
        <v>1397.151001</v>
      </c>
      <c r="H796">
        <v>1380.4027100000001</v>
      </c>
      <c r="I796">
        <v>1276.9879149999999</v>
      </c>
      <c r="J796">
        <v>1253.8797606999999</v>
      </c>
      <c r="K796">
        <v>2875</v>
      </c>
      <c r="L796">
        <v>0</v>
      </c>
      <c r="M796">
        <v>0</v>
      </c>
      <c r="N796">
        <v>2875</v>
      </c>
    </row>
    <row r="797" spans="1:14" x14ac:dyDescent="0.25">
      <c r="A797">
        <v>394.33929799999999</v>
      </c>
      <c r="B797" s="1">
        <f>DATE(2011,5,30) + TIME(8,8,35)</f>
        <v>40693.33929398148</v>
      </c>
      <c r="C797">
        <v>80</v>
      </c>
      <c r="D797">
        <v>79.944946289000001</v>
      </c>
      <c r="E797">
        <v>50</v>
      </c>
      <c r="F797">
        <v>46.372409820999998</v>
      </c>
      <c r="G797">
        <v>1397.0665283000001</v>
      </c>
      <c r="H797">
        <v>1380.3292236</v>
      </c>
      <c r="I797">
        <v>1276.9573975000001</v>
      </c>
      <c r="J797">
        <v>1253.8400879000001</v>
      </c>
      <c r="K797">
        <v>2875</v>
      </c>
      <c r="L797">
        <v>0</v>
      </c>
      <c r="M797">
        <v>0</v>
      </c>
      <c r="N797">
        <v>2875</v>
      </c>
    </row>
    <row r="798" spans="1:14" x14ac:dyDescent="0.25">
      <c r="A798">
        <v>394.91488800000002</v>
      </c>
      <c r="B798" s="1">
        <f>DATE(2011,5,30) + TIME(21,57,26)</f>
        <v>40693.914884259262</v>
      </c>
      <c r="C798">
        <v>80</v>
      </c>
      <c r="D798">
        <v>79.944946289000001</v>
      </c>
      <c r="E798">
        <v>50</v>
      </c>
      <c r="F798">
        <v>46.315696715999998</v>
      </c>
      <c r="G798">
        <v>1396.9824219</v>
      </c>
      <c r="H798">
        <v>1380.2561035000001</v>
      </c>
      <c r="I798">
        <v>1276.9261475000001</v>
      </c>
      <c r="J798">
        <v>1253.7996826000001</v>
      </c>
      <c r="K798">
        <v>2875</v>
      </c>
      <c r="L798">
        <v>0</v>
      </c>
      <c r="M798">
        <v>0</v>
      </c>
      <c r="N798">
        <v>2875</v>
      </c>
    </row>
    <row r="799" spans="1:14" x14ac:dyDescent="0.25">
      <c r="A799">
        <v>395.49780399999997</v>
      </c>
      <c r="B799" s="1">
        <f>DATE(2011,5,31) + TIME(11,56,50)</f>
        <v>40694.497800925928</v>
      </c>
      <c r="C799">
        <v>80</v>
      </c>
      <c r="D799">
        <v>79.944946289000001</v>
      </c>
      <c r="E799">
        <v>50</v>
      </c>
      <c r="F799">
        <v>46.258556366000001</v>
      </c>
      <c r="G799">
        <v>1396.8986815999999</v>
      </c>
      <c r="H799">
        <v>1380.1833495999999</v>
      </c>
      <c r="I799">
        <v>1276.8942870999999</v>
      </c>
      <c r="J799">
        <v>1253.7581786999999</v>
      </c>
      <c r="K799">
        <v>2875</v>
      </c>
      <c r="L799">
        <v>0</v>
      </c>
      <c r="M799">
        <v>0</v>
      </c>
      <c r="N799">
        <v>2875</v>
      </c>
    </row>
    <row r="800" spans="1:14" x14ac:dyDescent="0.25">
      <c r="A800">
        <v>396</v>
      </c>
      <c r="B800" s="1">
        <f>DATE(2011,6,1) + TIME(0,0,0)</f>
        <v>40695</v>
      </c>
      <c r="C800">
        <v>80</v>
      </c>
      <c r="D800">
        <v>79.944946289000001</v>
      </c>
      <c r="E800">
        <v>50</v>
      </c>
      <c r="F800">
        <v>46.206085205000001</v>
      </c>
      <c r="G800">
        <v>1396.8151855000001</v>
      </c>
      <c r="H800">
        <v>1380.1105957</v>
      </c>
      <c r="I800">
        <v>1276.8610839999999</v>
      </c>
      <c r="J800">
        <v>1253.7164307</v>
      </c>
      <c r="K800">
        <v>2875</v>
      </c>
      <c r="L800">
        <v>0</v>
      </c>
      <c r="M800">
        <v>0</v>
      </c>
      <c r="N800">
        <v>2875</v>
      </c>
    </row>
    <row r="801" spans="1:14" x14ac:dyDescent="0.25">
      <c r="A801">
        <v>396.59162900000001</v>
      </c>
      <c r="B801" s="1">
        <f>DATE(2011,6,1) + TIME(14,11,56)</f>
        <v>40695.591620370367</v>
      </c>
      <c r="C801">
        <v>80</v>
      </c>
      <c r="D801">
        <v>79.944953917999996</v>
      </c>
      <c r="E801">
        <v>50</v>
      </c>
      <c r="F801">
        <v>46.149883269999997</v>
      </c>
      <c r="G801">
        <v>1396.7443848</v>
      </c>
      <c r="H801">
        <v>1380.0489502</v>
      </c>
      <c r="I801">
        <v>1276.833374</v>
      </c>
      <c r="J801">
        <v>1253.6783447</v>
      </c>
      <c r="K801">
        <v>2875</v>
      </c>
      <c r="L801">
        <v>0</v>
      </c>
      <c r="M801">
        <v>0</v>
      </c>
      <c r="N801">
        <v>2875</v>
      </c>
    </row>
    <row r="802" spans="1:14" x14ac:dyDescent="0.25">
      <c r="A802">
        <v>397.20337499999999</v>
      </c>
      <c r="B802" s="1">
        <f>DATE(2011,6,2) + TIME(4,52,51)</f>
        <v>40696.203368055554</v>
      </c>
      <c r="C802">
        <v>80</v>
      </c>
      <c r="D802">
        <v>79.944961547999995</v>
      </c>
      <c r="E802">
        <v>50</v>
      </c>
      <c r="F802">
        <v>46.091934203999998</v>
      </c>
      <c r="G802">
        <v>1396.6622314000001</v>
      </c>
      <c r="H802">
        <v>1379.9775391000001</v>
      </c>
      <c r="I802">
        <v>1276.7995605000001</v>
      </c>
      <c r="J802">
        <v>1253.6342772999999</v>
      </c>
      <c r="K802">
        <v>2875</v>
      </c>
      <c r="L802">
        <v>0</v>
      </c>
      <c r="M802">
        <v>0</v>
      </c>
      <c r="N802">
        <v>2875</v>
      </c>
    </row>
    <row r="803" spans="1:14" x14ac:dyDescent="0.25">
      <c r="A803">
        <v>397.82809600000002</v>
      </c>
      <c r="B803" s="1">
        <f>DATE(2011,6,2) + TIME(19,52,27)</f>
        <v>40696.828090277777</v>
      </c>
      <c r="C803">
        <v>80</v>
      </c>
      <c r="D803">
        <v>79.944969177000004</v>
      </c>
      <c r="E803">
        <v>50</v>
      </c>
      <c r="F803">
        <v>46.032604218000003</v>
      </c>
      <c r="G803">
        <v>1396.5784911999999</v>
      </c>
      <c r="H803">
        <v>1379.9046631000001</v>
      </c>
      <c r="I803">
        <v>1276.7642822</v>
      </c>
      <c r="J803">
        <v>1253.5881348</v>
      </c>
      <c r="K803">
        <v>2875</v>
      </c>
      <c r="L803">
        <v>0</v>
      </c>
      <c r="M803">
        <v>0</v>
      </c>
      <c r="N803">
        <v>2875</v>
      </c>
    </row>
    <row r="804" spans="1:14" x14ac:dyDescent="0.25">
      <c r="A804">
        <v>398.46779600000002</v>
      </c>
      <c r="B804" s="1">
        <f>DATE(2011,6,3) + TIME(11,13,37)</f>
        <v>40697.467789351853</v>
      </c>
      <c r="C804">
        <v>80</v>
      </c>
      <c r="D804">
        <v>79.944976807000003</v>
      </c>
      <c r="E804">
        <v>50</v>
      </c>
      <c r="F804">
        <v>45.971935272000003</v>
      </c>
      <c r="G804">
        <v>1396.4943848</v>
      </c>
      <c r="H804">
        <v>1379.8312988</v>
      </c>
      <c r="I804">
        <v>1276.7276611</v>
      </c>
      <c r="J804">
        <v>1253.5402832</v>
      </c>
      <c r="K804">
        <v>2875</v>
      </c>
      <c r="L804">
        <v>0</v>
      </c>
      <c r="M804">
        <v>0</v>
      </c>
      <c r="N804">
        <v>2875</v>
      </c>
    </row>
    <row r="805" spans="1:14" x14ac:dyDescent="0.25">
      <c r="A805">
        <v>399.123019</v>
      </c>
      <c r="B805" s="1">
        <f>DATE(2011,6,4) + TIME(2,57,8)</f>
        <v>40698.12300925926</v>
      </c>
      <c r="C805">
        <v>80</v>
      </c>
      <c r="D805">
        <v>79.944984435999999</v>
      </c>
      <c r="E805">
        <v>50</v>
      </c>
      <c r="F805">
        <v>45.909938812</v>
      </c>
      <c r="G805">
        <v>1396.4094238</v>
      </c>
      <c r="H805">
        <v>1379.7573242000001</v>
      </c>
      <c r="I805">
        <v>1276.6898193</v>
      </c>
      <c r="J805">
        <v>1253.4904785000001</v>
      </c>
      <c r="K805">
        <v>2875</v>
      </c>
      <c r="L805">
        <v>0</v>
      </c>
      <c r="M805">
        <v>0</v>
      </c>
      <c r="N805">
        <v>2875</v>
      </c>
    </row>
    <row r="806" spans="1:14" x14ac:dyDescent="0.25">
      <c r="A806">
        <v>399.78367500000002</v>
      </c>
      <c r="B806" s="1">
        <f>DATE(2011,6,4) + TIME(18,48,29)</f>
        <v>40698.783668981479</v>
      </c>
      <c r="C806">
        <v>80</v>
      </c>
      <c r="D806">
        <v>79.944992064999994</v>
      </c>
      <c r="E806">
        <v>50</v>
      </c>
      <c r="F806">
        <v>45.847129821999999</v>
      </c>
      <c r="G806">
        <v>1396.3238524999999</v>
      </c>
      <c r="H806">
        <v>1379.6826172000001</v>
      </c>
      <c r="I806">
        <v>1276.6503906</v>
      </c>
      <c r="J806">
        <v>1253.4388428</v>
      </c>
      <c r="K806">
        <v>2875</v>
      </c>
      <c r="L806">
        <v>0</v>
      </c>
      <c r="M806">
        <v>0</v>
      </c>
      <c r="N806">
        <v>2875</v>
      </c>
    </row>
    <row r="807" spans="1:14" x14ac:dyDescent="0.25">
      <c r="A807">
        <v>400.444998</v>
      </c>
      <c r="B807" s="1">
        <f>DATE(2011,6,5) + TIME(10,40,47)</f>
        <v>40699.444988425923</v>
      </c>
      <c r="C807">
        <v>80</v>
      </c>
      <c r="D807">
        <v>79.944999695000007</v>
      </c>
      <c r="E807">
        <v>50</v>
      </c>
      <c r="F807">
        <v>45.783969878999997</v>
      </c>
      <c r="G807">
        <v>1396.2388916</v>
      </c>
      <c r="H807">
        <v>1379.6085204999999</v>
      </c>
      <c r="I807">
        <v>1276.6102295000001</v>
      </c>
      <c r="J807">
        <v>1253.3859863</v>
      </c>
      <c r="K807">
        <v>2875</v>
      </c>
      <c r="L807">
        <v>0</v>
      </c>
      <c r="M807">
        <v>0</v>
      </c>
      <c r="N807">
        <v>2875</v>
      </c>
    </row>
    <row r="808" spans="1:14" x14ac:dyDescent="0.25">
      <c r="A808">
        <v>401.10830099999998</v>
      </c>
      <c r="B808" s="1">
        <f>DATE(2011,6,6) + TIME(2,35,57)</f>
        <v>40700.108298611114</v>
      </c>
      <c r="C808">
        <v>80</v>
      </c>
      <c r="D808">
        <v>79.945007324000002</v>
      </c>
      <c r="E808">
        <v>50</v>
      </c>
      <c r="F808">
        <v>45.720600128000001</v>
      </c>
      <c r="G808">
        <v>1396.1550293</v>
      </c>
      <c r="H808">
        <v>1379.5354004000001</v>
      </c>
      <c r="I808">
        <v>1276.5694579999999</v>
      </c>
      <c r="J808">
        <v>1253.3320312000001</v>
      </c>
      <c r="K808">
        <v>2875</v>
      </c>
      <c r="L808">
        <v>0</v>
      </c>
      <c r="M808">
        <v>0</v>
      </c>
      <c r="N808">
        <v>2875</v>
      </c>
    </row>
    <row r="809" spans="1:14" x14ac:dyDescent="0.25">
      <c r="A809">
        <v>401.77531800000003</v>
      </c>
      <c r="B809" s="1">
        <f>DATE(2011,6,6) + TIME(18,36,27)</f>
        <v>40700.775312500002</v>
      </c>
      <c r="C809">
        <v>80</v>
      </c>
      <c r="D809">
        <v>79.945014954000001</v>
      </c>
      <c r="E809">
        <v>50</v>
      </c>
      <c r="F809">
        <v>45.657009125000002</v>
      </c>
      <c r="G809">
        <v>1396.0722656</v>
      </c>
      <c r="H809">
        <v>1379.4631348</v>
      </c>
      <c r="I809">
        <v>1276.5279541</v>
      </c>
      <c r="J809">
        <v>1253.2770995999999</v>
      </c>
      <c r="K809">
        <v>2875</v>
      </c>
      <c r="L809">
        <v>0</v>
      </c>
      <c r="M809">
        <v>0</v>
      </c>
      <c r="N809">
        <v>2875</v>
      </c>
    </row>
    <row r="810" spans="1:14" x14ac:dyDescent="0.25">
      <c r="A810">
        <v>402.44732399999998</v>
      </c>
      <c r="B810" s="1">
        <f>DATE(2011,6,7) + TIME(10,44,8)</f>
        <v>40701.447314814817</v>
      </c>
      <c r="C810">
        <v>80</v>
      </c>
      <c r="D810">
        <v>79.945022582999997</v>
      </c>
      <c r="E810">
        <v>50</v>
      </c>
      <c r="F810">
        <v>45.593135834000002</v>
      </c>
      <c r="G810">
        <v>1395.9902344</v>
      </c>
      <c r="H810">
        <v>1379.3916016000001</v>
      </c>
      <c r="I810">
        <v>1276.4858397999999</v>
      </c>
      <c r="J810">
        <v>1253.2209473</v>
      </c>
      <c r="K810">
        <v>2875</v>
      </c>
      <c r="L810">
        <v>0</v>
      </c>
      <c r="M810">
        <v>0</v>
      </c>
      <c r="N810">
        <v>2875</v>
      </c>
    </row>
    <row r="811" spans="1:14" x14ac:dyDescent="0.25">
      <c r="A811">
        <v>403.12584099999998</v>
      </c>
      <c r="B811" s="1">
        <f>DATE(2011,6,8) + TIME(3,1,12)</f>
        <v>40702.125833333332</v>
      </c>
      <c r="C811">
        <v>80</v>
      </c>
      <c r="D811">
        <v>79.945037842000005</v>
      </c>
      <c r="E811">
        <v>50</v>
      </c>
      <c r="F811">
        <v>45.528869628999999</v>
      </c>
      <c r="G811">
        <v>1395.9088135</v>
      </c>
      <c r="H811">
        <v>1379.3204346</v>
      </c>
      <c r="I811">
        <v>1276.4426269999999</v>
      </c>
      <c r="J811">
        <v>1253.1634521000001</v>
      </c>
      <c r="K811">
        <v>2875</v>
      </c>
      <c r="L811">
        <v>0</v>
      </c>
      <c r="M811">
        <v>0</v>
      </c>
      <c r="N811">
        <v>2875</v>
      </c>
    </row>
    <row r="812" spans="1:14" x14ac:dyDescent="0.25">
      <c r="A812">
        <v>403.81243899999998</v>
      </c>
      <c r="B812" s="1">
        <f>DATE(2011,6,8) + TIME(19,29,54)</f>
        <v>40702.812430555554</v>
      </c>
      <c r="C812">
        <v>80</v>
      </c>
      <c r="D812">
        <v>79.945045471</v>
      </c>
      <c r="E812">
        <v>50</v>
      </c>
      <c r="F812">
        <v>45.464073181000003</v>
      </c>
      <c r="G812">
        <v>1395.8278809000001</v>
      </c>
      <c r="H812">
        <v>1379.2496338000001</v>
      </c>
      <c r="I812">
        <v>1276.3985596</v>
      </c>
      <c r="J812">
        <v>1253.1043701000001</v>
      </c>
      <c r="K812">
        <v>2875</v>
      </c>
      <c r="L812">
        <v>0</v>
      </c>
      <c r="M812">
        <v>0</v>
      </c>
      <c r="N812">
        <v>2875</v>
      </c>
    </row>
    <row r="813" spans="1:14" x14ac:dyDescent="0.25">
      <c r="A813">
        <v>404.50874499999998</v>
      </c>
      <c r="B813" s="1">
        <f>DATE(2011,6,9) + TIME(12,12,35)</f>
        <v>40703.508738425924</v>
      </c>
      <c r="C813">
        <v>80</v>
      </c>
      <c r="D813">
        <v>79.945060729999994</v>
      </c>
      <c r="E813">
        <v>50</v>
      </c>
      <c r="F813">
        <v>45.398597717000001</v>
      </c>
      <c r="G813">
        <v>1395.7470702999999</v>
      </c>
      <c r="H813">
        <v>1379.1789550999999</v>
      </c>
      <c r="I813">
        <v>1276.3532714999999</v>
      </c>
      <c r="J813">
        <v>1253.0437012</v>
      </c>
      <c r="K813">
        <v>2875</v>
      </c>
      <c r="L813">
        <v>0</v>
      </c>
      <c r="M813">
        <v>0</v>
      </c>
      <c r="N813">
        <v>2875</v>
      </c>
    </row>
    <row r="814" spans="1:14" x14ac:dyDescent="0.25">
      <c r="A814">
        <v>405.21646800000002</v>
      </c>
      <c r="B814" s="1">
        <f>DATE(2011,6,10) + TIME(5,11,42)</f>
        <v>40704.216458333336</v>
      </c>
      <c r="C814">
        <v>80</v>
      </c>
      <c r="D814">
        <v>79.945075989000003</v>
      </c>
      <c r="E814">
        <v>50</v>
      </c>
      <c r="F814">
        <v>45.332283019999998</v>
      </c>
      <c r="G814">
        <v>1395.6662598</v>
      </c>
      <c r="H814">
        <v>1379.1082764</v>
      </c>
      <c r="I814">
        <v>1276.3066406</v>
      </c>
      <c r="J814">
        <v>1252.980957</v>
      </c>
      <c r="K814">
        <v>2875</v>
      </c>
      <c r="L814">
        <v>0</v>
      </c>
      <c r="M814">
        <v>0</v>
      </c>
      <c r="N814">
        <v>2875</v>
      </c>
    </row>
    <row r="815" spans="1:14" x14ac:dyDescent="0.25">
      <c r="A815">
        <v>405.937434</v>
      </c>
      <c r="B815" s="1">
        <f>DATE(2011,6,10) + TIME(22,29,54)</f>
        <v>40704.937430555554</v>
      </c>
      <c r="C815">
        <v>80</v>
      </c>
      <c r="D815">
        <v>79.945091247999997</v>
      </c>
      <c r="E815">
        <v>50</v>
      </c>
      <c r="F815">
        <v>45.264953613000003</v>
      </c>
      <c r="G815">
        <v>1395.5853271000001</v>
      </c>
      <c r="H815">
        <v>1379.0374756000001</v>
      </c>
      <c r="I815">
        <v>1276.2585449000001</v>
      </c>
      <c r="J815">
        <v>1252.9161377</v>
      </c>
      <c r="K815">
        <v>2875</v>
      </c>
      <c r="L815">
        <v>0</v>
      </c>
      <c r="M815">
        <v>0</v>
      </c>
      <c r="N815">
        <v>2875</v>
      </c>
    </row>
    <row r="816" spans="1:14" x14ac:dyDescent="0.25">
      <c r="A816">
        <v>406.67361399999999</v>
      </c>
      <c r="B816" s="1">
        <f>DATE(2011,6,11) + TIME(16,10,0)</f>
        <v>40705.673611111109</v>
      </c>
      <c r="C816">
        <v>80</v>
      </c>
      <c r="D816">
        <v>79.945098877000007</v>
      </c>
      <c r="E816">
        <v>50</v>
      </c>
      <c r="F816">
        <v>45.196422577</v>
      </c>
      <c r="G816">
        <v>1395.5041504000001</v>
      </c>
      <c r="H816">
        <v>1378.9663086</v>
      </c>
      <c r="I816">
        <v>1276.2088623</v>
      </c>
      <c r="J816">
        <v>1252.848999</v>
      </c>
      <c r="K816">
        <v>2875</v>
      </c>
      <c r="L816">
        <v>0</v>
      </c>
      <c r="M816">
        <v>0</v>
      </c>
      <c r="N816">
        <v>2875</v>
      </c>
    </row>
    <row r="817" spans="1:14" x14ac:dyDescent="0.25">
      <c r="A817">
        <v>407.42715600000002</v>
      </c>
      <c r="B817" s="1">
        <f>DATE(2011,6,12) + TIME(10,15,6)</f>
        <v>40706.427152777775</v>
      </c>
      <c r="C817">
        <v>80</v>
      </c>
      <c r="D817">
        <v>79.945121764999996</v>
      </c>
      <c r="E817">
        <v>50</v>
      </c>
      <c r="F817">
        <v>45.126487732000001</v>
      </c>
      <c r="G817">
        <v>1395.4223632999999</v>
      </c>
      <c r="H817">
        <v>1378.8946533000001</v>
      </c>
      <c r="I817">
        <v>1276.1573486</v>
      </c>
      <c r="J817">
        <v>1252.7790527</v>
      </c>
      <c r="K817">
        <v>2875</v>
      </c>
      <c r="L817">
        <v>0</v>
      </c>
      <c r="M817">
        <v>0</v>
      </c>
      <c r="N817">
        <v>2875</v>
      </c>
    </row>
    <row r="818" spans="1:14" x14ac:dyDescent="0.25">
      <c r="A818">
        <v>408.19202999999999</v>
      </c>
      <c r="B818" s="1">
        <f>DATE(2011,6,13) + TIME(4,36,31)</f>
        <v>40707.192025462966</v>
      </c>
      <c r="C818">
        <v>80</v>
      </c>
      <c r="D818">
        <v>79.945137024000005</v>
      </c>
      <c r="E818">
        <v>50</v>
      </c>
      <c r="F818">
        <v>45.05531311</v>
      </c>
      <c r="G818">
        <v>1395.3397216999999</v>
      </c>
      <c r="H818">
        <v>1378.8223877</v>
      </c>
      <c r="I818">
        <v>1276.1038818</v>
      </c>
      <c r="J818">
        <v>1252.7062988</v>
      </c>
      <c r="K818">
        <v>2875</v>
      </c>
      <c r="L818">
        <v>0</v>
      </c>
      <c r="M818">
        <v>0</v>
      </c>
      <c r="N818">
        <v>2875</v>
      </c>
    </row>
    <row r="819" spans="1:14" x14ac:dyDescent="0.25">
      <c r="A819">
        <v>408.96229499999998</v>
      </c>
      <c r="B819" s="1">
        <f>DATE(2011,6,13) + TIME(23,5,42)</f>
        <v>40707.962291666663</v>
      </c>
      <c r="C819">
        <v>80</v>
      </c>
      <c r="D819">
        <v>79.945152282999999</v>
      </c>
      <c r="E819">
        <v>50</v>
      </c>
      <c r="F819">
        <v>44.983242035000004</v>
      </c>
      <c r="G819">
        <v>1395.2572021000001</v>
      </c>
      <c r="H819">
        <v>1378.7498779</v>
      </c>
      <c r="I819">
        <v>1276.0485839999999</v>
      </c>
      <c r="J819">
        <v>1252.6311035000001</v>
      </c>
      <c r="K819">
        <v>2875</v>
      </c>
      <c r="L819">
        <v>0</v>
      </c>
      <c r="M819">
        <v>0</v>
      </c>
      <c r="N819">
        <v>2875</v>
      </c>
    </row>
    <row r="820" spans="1:14" x14ac:dyDescent="0.25">
      <c r="A820">
        <v>409.73681699999997</v>
      </c>
      <c r="B820" s="1">
        <f>DATE(2011,6,14) + TIME(17,41,1)</f>
        <v>40708.736817129633</v>
      </c>
      <c r="C820">
        <v>80</v>
      </c>
      <c r="D820">
        <v>79.945167541999993</v>
      </c>
      <c r="E820">
        <v>50</v>
      </c>
      <c r="F820">
        <v>44.910499573000003</v>
      </c>
      <c r="G820">
        <v>1395.1751709</v>
      </c>
      <c r="H820">
        <v>1378.6779785000001</v>
      </c>
      <c r="I820">
        <v>1275.9920654</v>
      </c>
      <c r="J820">
        <v>1252.5538329999999</v>
      </c>
      <c r="K820">
        <v>2875</v>
      </c>
      <c r="L820">
        <v>0</v>
      </c>
      <c r="M820">
        <v>0</v>
      </c>
      <c r="N820">
        <v>2875</v>
      </c>
    </row>
    <row r="821" spans="1:14" x14ac:dyDescent="0.25">
      <c r="A821">
        <v>410.51435800000002</v>
      </c>
      <c r="B821" s="1">
        <f>DATE(2011,6,15) + TIME(12,20,40)</f>
        <v>40709.514351851853</v>
      </c>
      <c r="C821">
        <v>80</v>
      </c>
      <c r="D821">
        <v>79.945190429999997</v>
      </c>
      <c r="E821">
        <v>50</v>
      </c>
      <c r="F821">
        <v>44.837242126</v>
      </c>
      <c r="G821">
        <v>1395.0938721</v>
      </c>
      <c r="H821">
        <v>1378.6065673999999</v>
      </c>
      <c r="I821">
        <v>1275.9342041</v>
      </c>
      <c r="J821">
        <v>1252.4746094</v>
      </c>
      <c r="K821">
        <v>2875</v>
      </c>
      <c r="L821">
        <v>0</v>
      </c>
      <c r="M821">
        <v>0</v>
      </c>
      <c r="N821">
        <v>2875</v>
      </c>
    </row>
    <row r="822" spans="1:14" x14ac:dyDescent="0.25">
      <c r="A822">
        <v>411.29678899999999</v>
      </c>
      <c r="B822" s="1">
        <f>DATE(2011,6,16) + TIME(7,7,22)</f>
        <v>40710.296782407408</v>
      </c>
      <c r="C822">
        <v>80</v>
      </c>
      <c r="D822">
        <v>79.945205688000001</v>
      </c>
      <c r="E822">
        <v>50</v>
      </c>
      <c r="F822">
        <v>44.763458252</v>
      </c>
      <c r="G822">
        <v>1395.0134277</v>
      </c>
      <c r="H822">
        <v>1378.5358887</v>
      </c>
      <c r="I822">
        <v>1275.8753661999999</v>
      </c>
      <c r="J822">
        <v>1252.3934326000001</v>
      </c>
      <c r="K822">
        <v>2875</v>
      </c>
      <c r="L822">
        <v>0</v>
      </c>
      <c r="M822">
        <v>0</v>
      </c>
      <c r="N822">
        <v>2875</v>
      </c>
    </row>
    <row r="823" spans="1:14" x14ac:dyDescent="0.25">
      <c r="A823">
        <v>412.08567599999998</v>
      </c>
      <c r="B823" s="1">
        <f>DATE(2011,6,17) + TIME(2,3,22)</f>
        <v>40711.0856712963</v>
      </c>
      <c r="C823">
        <v>80</v>
      </c>
      <c r="D823">
        <v>79.945228576999995</v>
      </c>
      <c r="E823">
        <v>50</v>
      </c>
      <c r="F823">
        <v>44.689041138</v>
      </c>
      <c r="G823">
        <v>1394.9334716999999</v>
      </c>
      <c r="H823">
        <v>1378.4656981999999</v>
      </c>
      <c r="I823">
        <v>1275.8150635</v>
      </c>
      <c r="J823">
        <v>1252.3101807</v>
      </c>
      <c r="K823">
        <v>2875</v>
      </c>
      <c r="L823">
        <v>0</v>
      </c>
      <c r="M823">
        <v>0</v>
      </c>
      <c r="N823">
        <v>2875</v>
      </c>
    </row>
    <row r="824" spans="1:14" x14ac:dyDescent="0.25">
      <c r="A824">
        <v>412.88281799999999</v>
      </c>
      <c r="B824" s="1">
        <f>DATE(2011,6,17) + TIME(21,11,15)</f>
        <v>40711.8828125</v>
      </c>
      <c r="C824">
        <v>80</v>
      </c>
      <c r="D824">
        <v>79.945243834999999</v>
      </c>
      <c r="E824">
        <v>50</v>
      </c>
      <c r="F824">
        <v>44.613849639999998</v>
      </c>
      <c r="G824">
        <v>1394.8540039</v>
      </c>
      <c r="H824">
        <v>1378.3957519999999</v>
      </c>
      <c r="I824">
        <v>1275.7532959</v>
      </c>
      <c r="J824">
        <v>1252.2244873</v>
      </c>
      <c r="K824">
        <v>2875</v>
      </c>
      <c r="L824">
        <v>0</v>
      </c>
      <c r="M824">
        <v>0</v>
      </c>
      <c r="N824">
        <v>2875</v>
      </c>
    </row>
    <row r="825" spans="1:14" x14ac:dyDescent="0.25">
      <c r="A825">
        <v>413.69007699999997</v>
      </c>
      <c r="B825" s="1">
        <f>DATE(2011,6,18) + TIME(16,33,42)</f>
        <v>40712.690069444441</v>
      </c>
      <c r="C825">
        <v>80</v>
      </c>
      <c r="D825">
        <v>79.945266724000007</v>
      </c>
      <c r="E825">
        <v>50</v>
      </c>
      <c r="F825">
        <v>44.537704468000001</v>
      </c>
      <c r="G825">
        <v>1394.7747803</v>
      </c>
      <c r="H825">
        <v>1378.3260498</v>
      </c>
      <c r="I825">
        <v>1275.6899414</v>
      </c>
      <c r="J825">
        <v>1252.1362305</v>
      </c>
      <c r="K825">
        <v>2875</v>
      </c>
      <c r="L825">
        <v>0</v>
      </c>
      <c r="M825">
        <v>0</v>
      </c>
      <c r="N825">
        <v>2875</v>
      </c>
    </row>
    <row r="826" spans="1:14" x14ac:dyDescent="0.25">
      <c r="A826">
        <v>414.50940100000003</v>
      </c>
      <c r="B826" s="1">
        <f>DATE(2011,6,19) + TIME(12,13,32)</f>
        <v>40713.509398148148</v>
      </c>
      <c r="C826">
        <v>80</v>
      </c>
      <c r="D826">
        <v>79.945289611999996</v>
      </c>
      <c r="E826">
        <v>50</v>
      </c>
      <c r="F826">
        <v>44.460411071999999</v>
      </c>
      <c r="G826">
        <v>1394.6956786999999</v>
      </c>
      <c r="H826">
        <v>1378.2564697</v>
      </c>
      <c r="I826">
        <v>1275.6246338000001</v>
      </c>
      <c r="J826">
        <v>1252.0451660000001</v>
      </c>
      <c r="K826">
        <v>2875</v>
      </c>
      <c r="L826">
        <v>0</v>
      </c>
      <c r="M826">
        <v>0</v>
      </c>
      <c r="N826">
        <v>2875</v>
      </c>
    </row>
    <row r="827" spans="1:14" x14ac:dyDescent="0.25">
      <c r="A827">
        <v>415.34285499999999</v>
      </c>
      <c r="B827" s="1">
        <f>DATE(2011,6,20) + TIME(8,13,42)</f>
        <v>40714.342847222222</v>
      </c>
      <c r="C827">
        <v>80</v>
      </c>
      <c r="D827">
        <v>79.9453125</v>
      </c>
      <c r="E827">
        <v>50</v>
      </c>
      <c r="F827">
        <v>44.381755828999999</v>
      </c>
      <c r="G827">
        <v>1394.6163329999999</v>
      </c>
      <c r="H827">
        <v>1378.1866454999999</v>
      </c>
      <c r="I827">
        <v>1275.5573730000001</v>
      </c>
      <c r="J827">
        <v>1251.9508057</v>
      </c>
      <c r="K827">
        <v>2875</v>
      </c>
      <c r="L827">
        <v>0</v>
      </c>
      <c r="M827">
        <v>0</v>
      </c>
      <c r="N827">
        <v>2875</v>
      </c>
    </row>
    <row r="828" spans="1:14" x14ac:dyDescent="0.25">
      <c r="A828">
        <v>416.19264600000002</v>
      </c>
      <c r="B828" s="1">
        <f>DATE(2011,6,21) + TIME(4,37,24)</f>
        <v>40715.19263888889</v>
      </c>
      <c r="C828">
        <v>80</v>
      </c>
      <c r="D828">
        <v>79.945335388000004</v>
      </c>
      <c r="E828">
        <v>50</v>
      </c>
      <c r="F828">
        <v>44.301506042</v>
      </c>
      <c r="G828">
        <v>1394.5368652</v>
      </c>
      <c r="H828">
        <v>1378.1164550999999</v>
      </c>
      <c r="I828">
        <v>1275.487793</v>
      </c>
      <c r="J828">
        <v>1251.8530272999999</v>
      </c>
      <c r="K828">
        <v>2875</v>
      </c>
      <c r="L828">
        <v>0</v>
      </c>
      <c r="M828">
        <v>0</v>
      </c>
      <c r="N828">
        <v>2875</v>
      </c>
    </row>
    <row r="829" spans="1:14" x14ac:dyDescent="0.25">
      <c r="A829">
        <v>417.05672399999997</v>
      </c>
      <c r="B829" s="1">
        <f>DATE(2011,6,22) + TIME(1,21,40)</f>
        <v>40716.056712962964</v>
      </c>
      <c r="C829">
        <v>80</v>
      </c>
      <c r="D829">
        <v>79.945358275999993</v>
      </c>
      <c r="E829">
        <v>50</v>
      </c>
      <c r="F829">
        <v>44.219604492000002</v>
      </c>
      <c r="G829">
        <v>1394.4567870999999</v>
      </c>
      <c r="H829">
        <v>1378.0458983999999</v>
      </c>
      <c r="I829">
        <v>1275.4156493999999</v>
      </c>
      <c r="J829">
        <v>1251.7513428</v>
      </c>
      <c r="K829">
        <v>2875</v>
      </c>
      <c r="L829">
        <v>0</v>
      </c>
      <c r="M829">
        <v>0</v>
      </c>
      <c r="N829">
        <v>2875</v>
      </c>
    </row>
    <row r="830" spans="1:14" x14ac:dyDescent="0.25">
      <c r="A830">
        <v>417.93409400000002</v>
      </c>
      <c r="B830" s="1">
        <f>DATE(2011,6,22) + TIME(22,25,5)</f>
        <v>40716.93408564815</v>
      </c>
      <c r="C830">
        <v>80</v>
      </c>
      <c r="D830">
        <v>79.945381165000001</v>
      </c>
      <c r="E830">
        <v>50</v>
      </c>
      <c r="F830">
        <v>44.136062621999997</v>
      </c>
      <c r="G830">
        <v>1394.3764647999999</v>
      </c>
      <c r="H830">
        <v>1377.9750977000001</v>
      </c>
      <c r="I830">
        <v>1275.3409423999999</v>
      </c>
      <c r="J830">
        <v>1251.6457519999999</v>
      </c>
      <c r="K830">
        <v>2875</v>
      </c>
      <c r="L830">
        <v>0</v>
      </c>
      <c r="M830">
        <v>0</v>
      </c>
      <c r="N830">
        <v>2875</v>
      </c>
    </row>
    <row r="831" spans="1:14" x14ac:dyDescent="0.25">
      <c r="A831">
        <v>418.81803100000002</v>
      </c>
      <c r="B831" s="1">
        <f>DATE(2011,6,23) + TIME(19,37,57)</f>
        <v>40717.818020833336</v>
      </c>
      <c r="C831">
        <v>80</v>
      </c>
      <c r="D831">
        <v>79.945411682</v>
      </c>
      <c r="E831">
        <v>50</v>
      </c>
      <c r="F831">
        <v>44.051158905000001</v>
      </c>
      <c r="G831">
        <v>1394.2960204999999</v>
      </c>
      <c r="H831">
        <v>1377.9040527</v>
      </c>
      <c r="I831">
        <v>1275.2639160000001</v>
      </c>
      <c r="J831">
        <v>1251.536499</v>
      </c>
      <c r="K831">
        <v>2875</v>
      </c>
      <c r="L831">
        <v>0</v>
      </c>
      <c r="M831">
        <v>0</v>
      </c>
      <c r="N831">
        <v>2875</v>
      </c>
    </row>
    <row r="832" spans="1:14" x14ac:dyDescent="0.25">
      <c r="A832">
        <v>419.71068300000002</v>
      </c>
      <c r="B832" s="1">
        <f>DATE(2011,6,24) + TIME(17,3,23)</f>
        <v>40718.710682870369</v>
      </c>
      <c r="C832">
        <v>80</v>
      </c>
      <c r="D832">
        <v>79.945434570000003</v>
      </c>
      <c r="E832">
        <v>50</v>
      </c>
      <c r="F832">
        <v>43.964962006</v>
      </c>
      <c r="G832">
        <v>1394.2159423999999</v>
      </c>
      <c r="H832">
        <v>1377.833374</v>
      </c>
      <c r="I832">
        <v>1275.1849365</v>
      </c>
      <c r="J832">
        <v>1251.4240723</v>
      </c>
      <c r="K832">
        <v>2875</v>
      </c>
      <c r="L832">
        <v>0</v>
      </c>
      <c r="M832">
        <v>0</v>
      </c>
      <c r="N832">
        <v>2875</v>
      </c>
    </row>
    <row r="833" spans="1:14" x14ac:dyDescent="0.25">
      <c r="A833">
        <v>420.61001299999998</v>
      </c>
      <c r="B833" s="1">
        <f>DATE(2011,6,25) + TIME(14,38,25)</f>
        <v>40719.610011574077</v>
      </c>
      <c r="C833">
        <v>80</v>
      </c>
      <c r="D833">
        <v>79.945465088000006</v>
      </c>
      <c r="E833">
        <v>50</v>
      </c>
      <c r="F833">
        <v>43.877555846999996</v>
      </c>
      <c r="G833">
        <v>1394.1362305</v>
      </c>
      <c r="H833">
        <v>1377.7628173999999</v>
      </c>
      <c r="I833">
        <v>1275.1038818</v>
      </c>
      <c r="J833">
        <v>1251.3081055</v>
      </c>
      <c r="K833">
        <v>2875</v>
      </c>
      <c r="L833">
        <v>0</v>
      </c>
      <c r="M833">
        <v>0</v>
      </c>
      <c r="N833">
        <v>2875</v>
      </c>
    </row>
    <row r="834" spans="1:14" x14ac:dyDescent="0.25">
      <c r="A834">
        <v>421.51494600000001</v>
      </c>
      <c r="B834" s="1">
        <f>DATE(2011,6,26) + TIME(12,21,31)</f>
        <v>40720.51494212963</v>
      </c>
      <c r="C834">
        <v>80</v>
      </c>
      <c r="D834">
        <v>79.945487975999995</v>
      </c>
      <c r="E834">
        <v>50</v>
      </c>
      <c r="F834">
        <v>43.789024353000002</v>
      </c>
      <c r="G834">
        <v>1394.0570068</v>
      </c>
      <c r="H834">
        <v>1377.6926269999999</v>
      </c>
      <c r="I834">
        <v>1275.020874</v>
      </c>
      <c r="J834">
        <v>1251.1889647999999</v>
      </c>
      <c r="K834">
        <v>2875</v>
      </c>
      <c r="L834">
        <v>0</v>
      </c>
      <c r="M834">
        <v>0</v>
      </c>
      <c r="N834">
        <v>2875</v>
      </c>
    </row>
    <row r="835" spans="1:14" x14ac:dyDescent="0.25">
      <c r="A835">
        <v>422.427166</v>
      </c>
      <c r="B835" s="1">
        <f>DATE(2011,6,27) + TIME(10,15,7)</f>
        <v>40721.427164351851</v>
      </c>
      <c r="C835">
        <v>80</v>
      </c>
      <c r="D835">
        <v>79.945518493999998</v>
      </c>
      <c r="E835">
        <v>50</v>
      </c>
      <c r="F835">
        <v>43.699317932</v>
      </c>
      <c r="G835">
        <v>1393.9781493999999</v>
      </c>
      <c r="H835">
        <v>1377.6229248</v>
      </c>
      <c r="I835">
        <v>1274.9357910000001</v>
      </c>
      <c r="J835">
        <v>1251.0665283000001</v>
      </c>
      <c r="K835">
        <v>2875</v>
      </c>
      <c r="L835">
        <v>0</v>
      </c>
      <c r="M835">
        <v>0</v>
      </c>
      <c r="N835">
        <v>2875</v>
      </c>
    </row>
    <row r="836" spans="1:14" x14ac:dyDescent="0.25">
      <c r="A836">
        <v>423.34876000000003</v>
      </c>
      <c r="B836" s="1">
        <f>DATE(2011,6,28) + TIME(8,22,12)</f>
        <v>40722.348749999997</v>
      </c>
      <c r="C836">
        <v>80</v>
      </c>
      <c r="D836">
        <v>79.945549010999997</v>
      </c>
      <c r="E836">
        <v>50</v>
      </c>
      <c r="F836">
        <v>43.608283997000001</v>
      </c>
      <c r="G836">
        <v>1393.8997803</v>
      </c>
      <c r="H836">
        <v>1377.5534668</v>
      </c>
      <c r="I836">
        <v>1274.8487548999999</v>
      </c>
      <c r="J836">
        <v>1250.9405518000001</v>
      </c>
      <c r="K836">
        <v>2875</v>
      </c>
      <c r="L836">
        <v>0</v>
      </c>
      <c r="M836">
        <v>0</v>
      </c>
      <c r="N836">
        <v>2875</v>
      </c>
    </row>
    <row r="837" spans="1:14" x14ac:dyDescent="0.25">
      <c r="A837">
        <v>424.281879</v>
      </c>
      <c r="B837" s="1">
        <f>DATE(2011,6,29) + TIME(6,45,54)</f>
        <v>40723.281875000001</v>
      </c>
      <c r="C837">
        <v>80</v>
      </c>
      <c r="D837">
        <v>79.945579529</v>
      </c>
      <c r="E837">
        <v>50</v>
      </c>
      <c r="F837">
        <v>43.515712737999998</v>
      </c>
      <c r="G837">
        <v>1393.8215332</v>
      </c>
      <c r="H837">
        <v>1377.4842529</v>
      </c>
      <c r="I837">
        <v>1274.7593993999999</v>
      </c>
      <c r="J837">
        <v>1250.8107910000001</v>
      </c>
      <c r="K837">
        <v>2875</v>
      </c>
      <c r="L837">
        <v>0</v>
      </c>
      <c r="M837">
        <v>0</v>
      </c>
      <c r="N837">
        <v>2875</v>
      </c>
    </row>
    <row r="838" spans="1:14" x14ac:dyDescent="0.25">
      <c r="A838">
        <v>425.22651100000002</v>
      </c>
      <c r="B838" s="1">
        <f>DATE(2011,6,30) + TIME(5,26,10)</f>
        <v>40724.226504629631</v>
      </c>
      <c r="C838">
        <v>80</v>
      </c>
      <c r="D838">
        <v>79.945610045999999</v>
      </c>
      <c r="E838">
        <v>50</v>
      </c>
      <c r="F838">
        <v>43.421455383000001</v>
      </c>
      <c r="G838">
        <v>1393.7434082</v>
      </c>
      <c r="H838">
        <v>1377.4149170000001</v>
      </c>
      <c r="I838">
        <v>1274.6673584</v>
      </c>
      <c r="J838">
        <v>1250.6768798999999</v>
      </c>
      <c r="K838">
        <v>2875</v>
      </c>
      <c r="L838">
        <v>0</v>
      </c>
      <c r="M838">
        <v>0</v>
      </c>
      <c r="N838">
        <v>2875</v>
      </c>
    </row>
    <row r="839" spans="1:14" x14ac:dyDescent="0.25">
      <c r="A839">
        <v>426</v>
      </c>
      <c r="B839" s="1">
        <f>DATE(2011,7,1) + TIME(0,0,0)</f>
        <v>40725</v>
      </c>
      <c r="C839">
        <v>80</v>
      </c>
      <c r="D839">
        <v>79.945632935000006</v>
      </c>
      <c r="E839">
        <v>50</v>
      </c>
      <c r="F839">
        <v>43.334476471000002</v>
      </c>
      <c r="G839">
        <v>1393.6650391000001</v>
      </c>
      <c r="H839">
        <v>1377.3453368999999</v>
      </c>
      <c r="I839">
        <v>1274.5726318</v>
      </c>
      <c r="J839">
        <v>1250.5419922000001</v>
      </c>
      <c r="K839">
        <v>2875</v>
      </c>
      <c r="L839">
        <v>0</v>
      </c>
      <c r="M839">
        <v>0</v>
      </c>
      <c r="N839">
        <v>2875</v>
      </c>
    </row>
    <row r="840" spans="1:14" x14ac:dyDescent="0.25">
      <c r="A840">
        <v>426.95676800000001</v>
      </c>
      <c r="B840" s="1">
        <f>DATE(2011,7,1) + TIME(22,57,44)</f>
        <v>40725.956759259258</v>
      </c>
      <c r="C840">
        <v>80</v>
      </c>
      <c r="D840">
        <v>79.945663452000005</v>
      </c>
      <c r="E840">
        <v>50</v>
      </c>
      <c r="F840">
        <v>43.242515564000001</v>
      </c>
      <c r="G840">
        <v>1393.6018065999999</v>
      </c>
      <c r="H840">
        <v>1377.2891846</v>
      </c>
      <c r="I840">
        <v>1274.4934082</v>
      </c>
      <c r="J840">
        <v>1250.4205322</v>
      </c>
      <c r="K840">
        <v>2875</v>
      </c>
      <c r="L840">
        <v>0</v>
      </c>
      <c r="M840">
        <v>0</v>
      </c>
      <c r="N840">
        <v>2875</v>
      </c>
    </row>
    <row r="841" spans="1:14" x14ac:dyDescent="0.25">
      <c r="A841">
        <v>427.94151699999998</v>
      </c>
      <c r="B841" s="1">
        <f>DATE(2011,7,2) + TIME(22,35,47)</f>
        <v>40726.941516203704</v>
      </c>
      <c r="C841">
        <v>80</v>
      </c>
      <c r="D841">
        <v>79.945701599000003</v>
      </c>
      <c r="E841">
        <v>50</v>
      </c>
      <c r="F841">
        <v>43.145336151000002</v>
      </c>
      <c r="G841">
        <v>1393.5245361</v>
      </c>
      <c r="H841">
        <v>1377.2205810999999</v>
      </c>
      <c r="I841">
        <v>1274.3950195</v>
      </c>
      <c r="J841">
        <v>1250.2764893000001</v>
      </c>
      <c r="K841">
        <v>2875</v>
      </c>
      <c r="L841">
        <v>0</v>
      </c>
      <c r="M841">
        <v>0</v>
      </c>
      <c r="N841">
        <v>2875</v>
      </c>
    </row>
    <row r="842" spans="1:14" x14ac:dyDescent="0.25">
      <c r="A842">
        <v>428.937231</v>
      </c>
      <c r="B842" s="1">
        <f>DATE(2011,7,3) + TIME(22,29,36)</f>
        <v>40727.937222222223</v>
      </c>
      <c r="C842">
        <v>80</v>
      </c>
      <c r="D842">
        <v>79.945732117000006</v>
      </c>
      <c r="E842">
        <v>50</v>
      </c>
      <c r="F842">
        <v>43.044486999999997</v>
      </c>
      <c r="G842">
        <v>1393.4458007999999</v>
      </c>
      <c r="H842">
        <v>1377.1506348</v>
      </c>
      <c r="I842">
        <v>1274.2921143000001</v>
      </c>
      <c r="J842">
        <v>1250.1251221</v>
      </c>
      <c r="K842">
        <v>2875</v>
      </c>
      <c r="L842">
        <v>0</v>
      </c>
      <c r="M842">
        <v>0</v>
      </c>
      <c r="N842">
        <v>2875</v>
      </c>
    </row>
    <row r="843" spans="1:14" x14ac:dyDescent="0.25">
      <c r="A843">
        <v>429.93837600000001</v>
      </c>
      <c r="B843" s="1">
        <f>DATE(2011,7,4) + TIME(22,31,15)</f>
        <v>40728.938368055555</v>
      </c>
      <c r="C843">
        <v>80</v>
      </c>
      <c r="D843">
        <v>79.945762634000005</v>
      </c>
      <c r="E843">
        <v>50</v>
      </c>
      <c r="F843">
        <v>42.941146850999999</v>
      </c>
      <c r="G843">
        <v>1393.3671875</v>
      </c>
      <c r="H843">
        <v>1377.0806885</v>
      </c>
      <c r="I843">
        <v>1274.1861572</v>
      </c>
      <c r="J843">
        <v>1249.9685059000001</v>
      </c>
      <c r="K843">
        <v>2875</v>
      </c>
      <c r="L843">
        <v>0</v>
      </c>
      <c r="M843">
        <v>0</v>
      </c>
      <c r="N843">
        <v>2875</v>
      </c>
    </row>
    <row r="844" spans="1:14" x14ac:dyDescent="0.25">
      <c r="A844">
        <v>430.94721800000002</v>
      </c>
      <c r="B844" s="1">
        <f>DATE(2011,7,5) + TIME(22,43,59)</f>
        <v>40729.947210648148</v>
      </c>
      <c r="C844">
        <v>80</v>
      </c>
      <c r="D844">
        <v>79.945800781000003</v>
      </c>
      <c r="E844">
        <v>50</v>
      </c>
      <c r="F844">
        <v>42.835788727000001</v>
      </c>
      <c r="G844">
        <v>1393.2891846</v>
      </c>
      <c r="H844">
        <v>1377.0111084</v>
      </c>
      <c r="I844">
        <v>1274.0780029</v>
      </c>
      <c r="J844">
        <v>1249.8077393000001</v>
      </c>
      <c r="K844">
        <v>2875</v>
      </c>
      <c r="L844">
        <v>0</v>
      </c>
      <c r="M844">
        <v>0</v>
      </c>
      <c r="N844">
        <v>2875</v>
      </c>
    </row>
    <row r="845" spans="1:14" x14ac:dyDescent="0.25">
      <c r="A845">
        <v>431.96604200000002</v>
      </c>
      <c r="B845" s="1">
        <f>DATE(2011,7,6) + TIME(23,11,6)</f>
        <v>40730.966041666667</v>
      </c>
      <c r="C845">
        <v>80</v>
      </c>
      <c r="D845">
        <v>79.945838928000001</v>
      </c>
      <c r="E845">
        <v>50</v>
      </c>
      <c r="F845">
        <v>42.728454589999998</v>
      </c>
      <c r="G845">
        <v>1393.2114257999999</v>
      </c>
      <c r="H845">
        <v>1376.9418945</v>
      </c>
      <c r="I845">
        <v>1273.9674072</v>
      </c>
      <c r="J845">
        <v>1249.6423339999999</v>
      </c>
      <c r="K845">
        <v>2875</v>
      </c>
      <c r="L845">
        <v>0</v>
      </c>
      <c r="M845">
        <v>0</v>
      </c>
      <c r="N845">
        <v>2875</v>
      </c>
    </row>
    <row r="846" spans="1:14" x14ac:dyDescent="0.25">
      <c r="A846">
        <v>432.99721899999997</v>
      </c>
      <c r="B846" s="1">
        <f>DATE(2011,7,7) + TIME(23,55,59)</f>
        <v>40731.997210648151</v>
      </c>
      <c r="C846">
        <v>80</v>
      </c>
      <c r="D846">
        <v>79.945869446000003</v>
      </c>
      <c r="E846">
        <v>50</v>
      </c>
      <c r="F846">
        <v>42.618988037000001</v>
      </c>
      <c r="G846">
        <v>1393.1339111</v>
      </c>
      <c r="H846">
        <v>1376.8728027</v>
      </c>
      <c r="I846">
        <v>1273.8538818</v>
      </c>
      <c r="J846">
        <v>1249.4722899999999</v>
      </c>
      <c r="K846">
        <v>2875</v>
      </c>
      <c r="L846">
        <v>0</v>
      </c>
      <c r="M846">
        <v>0</v>
      </c>
      <c r="N846">
        <v>2875</v>
      </c>
    </row>
    <row r="847" spans="1:14" x14ac:dyDescent="0.25">
      <c r="A847">
        <v>434.04322400000001</v>
      </c>
      <c r="B847" s="1">
        <f>DATE(2011,7,9) + TIME(1,2,14)</f>
        <v>40733.043217592596</v>
      </c>
      <c r="C847">
        <v>80</v>
      </c>
      <c r="D847">
        <v>79.945907593000001</v>
      </c>
      <c r="E847">
        <v>50</v>
      </c>
      <c r="F847">
        <v>42.507144928000002</v>
      </c>
      <c r="G847">
        <v>1393.0562743999999</v>
      </c>
      <c r="H847">
        <v>1376.8035889</v>
      </c>
      <c r="I847">
        <v>1273.7374268000001</v>
      </c>
      <c r="J847">
        <v>1249.296875</v>
      </c>
      <c r="K847">
        <v>2875</v>
      </c>
      <c r="L847">
        <v>0</v>
      </c>
      <c r="M847">
        <v>0</v>
      </c>
      <c r="N847">
        <v>2875</v>
      </c>
    </row>
    <row r="848" spans="1:14" x14ac:dyDescent="0.25">
      <c r="A848">
        <v>435.09787699999998</v>
      </c>
      <c r="B848" s="1">
        <f>DATE(2011,7,10) + TIME(2,20,56)</f>
        <v>40734.097870370373</v>
      </c>
      <c r="C848">
        <v>80</v>
      </c>
      <c r="D848">
        <v>79.945945739999999</v>
      </c>
      <c r="E848">
        <v>50</v>
      </c>
      <c r="F848">
        <v>42.393016815000003</v>
      </c>
      <c r="G848">
        <v>1392.9785156</v>
      </c>
      <c r="H848">
        <v>1376.7341309000001</v>
      </c>
      <c r="I848">
        <v>1273.6175536999999</v>
      </c>
      <c r="J848">
        <v>1249.1159668</v>
      </c>
      <c r="K848">
        <v>2875</v>
      </c>
      <c r="L848">
        <v>0</v>
      </c>
      <c r="M848">
        <v>0</v>
      </c>
      <c r="N848">
        <v>2875</v>
      </c>
    </row>
    <row r="849" spans="1:14" x14ac:dyDescent="0.25">
      <c r="A849">
        <v>436.16227099999998</v>
      </c>
      <c r="B849" s="1">
        <f>DATE(2011,7,11) + TIME(3,53,40)</f>
        <v>40735.162268518521</v>
      </c>
      <c r="C849">
        <v>80</v>
      </c>
      <c r="D849">
        <v>79.945983886999997</v>
      </c>
      <c r="E849">
        <v>50</v>
      </c>
      <c r="F849">
        <v>42.276672363000003</v>
      </c>
      <c r="G849">
        <v>1392.901001</v>
      </c>
      <c r="H849">
        <v>1376.6649170000001</v>
      </c>
      <c r="I849">
        <v>1273.4948730000001</v>
      </c>
      <c r="J849">
        <v>1248.9300536999999</v>
      </c>
      <c r="K849">
        <v>2875</v>
      </c>
      <c r="L849">
        <v>0</v>
      </c>
      <c r="M849">
        <v>0</v>
      </c>
      <c r="N849">
        <v>2875</v>
      </c>
    </row>
    <row r="850" spans="1:14" x14ac:dyDescent="0.25">
      <c r="A850">
        <v>437.23876000000001</v>
      </c>
      <c r="B850" s="1">
        <f>DATE(2011,7,12) + TIME(5,43,48)</f>
        <v>40736.238749999997</v>
      </c>
      <c r="C850">
        <v>80</v>
      </c>
      <c r="D850">
        <v>79.946029663000004</v>
      </c>
      <c r="E850">
        <v>50</v>
      </c>
      <c r="F850">
        <v>42.157993316999999</v>
      </c>
      <c r="G850">
        <v>1392.8237305</v>
      </c>
      <c r="H850">
        <v>1376.5958252</v>
      </c>
      <c r="I850">
        <v>1273.3695068</v>
      </c>
      <c r="J850">
        <v>1248.7391356999999</v>
      </c>
      <c r="K850">
        <v>2875</v>
      </c>
      <c r="L850">
        <v>0</v>
      </c>
      <c r="M850">
        <v>0</v>
      </c>
      <c r="N850">
        <v>2875</v>
      </c>
    </row>
    <row r="851" spans="1:14" x14ac:dyDescent="0.25">
      <c r="A851">
        <v>438.32983400000001</v>
      </c>
      <c r="B851" s="1">
        <f>DATE(2011,7,13) + TIME(7,54,57)</f>
        <v>40737.329826388886</v>
      </c>
      <c r="C851">
        <v>80</v>
      </c>
      <c r="D851">
        <v>79.946067810000002</v>
      </c>
      <c r="E851">
        <v>50</v>
      </c>
      <c r="F851">
        <v>42.036743164000001</v>
      </c>
      <c r="G851">
        <v>1392.7464600000001</v>
      </c>
      <c r="H851">
        <v>1376.5266113</v>
      </c>
      <c r="I851">
        <v>1273.2408447</v>
      </c>
      <c r="J851">
        <v>1248.5424805</v>
      </c>
      <c r="K851">
        <v>2875</v>
      </c>
      <c r="L851">
        <v>0</v>
      </c>
      <c r="M851">
        <v>0</v>
      </c>
      <c r="N851">
        <v>2875</v>
      </c>
    </row>
    <row r="852" spans="1:14" x14ac:dyDescent="0.25">
      <c r="A852">
        <v>439.43617599999999</v>
      </c>
      <c r="B852" s="1">
        <f>DATE(2011,7,14) + TIME(10,28,5)</f>
        <v>40738.436168981483</v>
      </c>
      <c r="C852">
        <v>80</v>
      </c>
      <c r="D852">
        <v>79.946105957</v>
      </c>
      <c r="E852">
        <v>50</v>
      </c>
      <c r="F852">
        <v>41.912700653000002</v>
      </c>
      <c r="G852">
        <v>1392.6690673999999</v>
      </c>
      <c r="H852">
        <v>1376.4572754000001</v>
      </c>
      <c r="I852">
        <v>1273.1088867000001</v>
      </c>
      <c r="J852">
        <v>1248.3399658000001</v>
      </c>
      <c r="K852">
        <v>2875</v>
      </c>
      <c r="L852">
        <v>0</v>
      </c>
      <c r="M852">
        <v>0</v>
      </c>
      <c r="N852">
        <v>2875</v>
      </c>
    </row>
    <row r="853" spans="1:14" x14ac:dyDescent="0.25">
      <c r="A853">
        <v>440.54715900000002</v>
      </c>
      <c r="B853" s="1">
        <f>DATE(2011,7,15) + TIME(13,7,54)</f>
        <v>40739.547152777777</v>
      </c>
      <c r="C853">
        <v>80</v>
      </c>
      <c r="D853">
        <v>79.946151732999994</v>
      </c>
      <c r="E853">
        <v>50</v>
      </c>
      <c r="F853">
        <v>41.786220551</v>
      </c>
      <c r="G853">
        <v>1392.5914307</v>
      </c>
      <c r="H853">
        <v>1376.3878173999999</v>
      </c>
      <c r="I853">
        <v>1272.9732666</v>
      </c>
      <c r="J853">
        <v>1248.1313477000001</v>
      </c>
      <c r="K853">
        <v>2875</v>
      </c>
      <c r="L853">
        <v>0</v>
      </c>
      <c r="M853">
        <v>0</v>
      </c>
      <c r="N853">
        <v>2875</v>
      </c>
    </row>
    <row r="854" spans="1:14" x14ac:dyDescent="0.25">
      <c r="A854">
        <v>441.664804</v>
      </c>
      <c r="B854" s="1">
        <f>DATE(2011,7,16) + TIME(15,57,19)</f>
        <v>40740.664803240739</v>
      </c>
      <c r="C854">
        <v>80</v>
      </c>
      <c r="D854">
        <v>79.946189880000006</v>
      </c>
      <c r="E854">
        <v>50</v>
      </c>
      <c r="F854">
        <v>41.657569885000001</v>
      </c>
      <c r="G854">
        <v>1392.5142822</v>
      </c>
      <c r="H854">
        <v>1376.3186035000001</v>
      </c>
      <c r="I854">
        <v>1272.8354492000001</v>
      </c>
      <c r="J854">
        <v>1247.9182129000001</v>
      </c>
      <c r="K854">
        <v>2875</v>
      </c>
      <c r="L854">
        <v>0</v>
      </c>
      <c r="M854">
        <v>0</v>
      </c>
      <c r="N854">
        <v>2875</v>
      </c>
    </row>
    <row r="855" spans="1:14" x14ac:dyDescent="0.25">
      <c r="A855">
        <v>442.79158100000001</v>
      </c>
      <c r="B855" s="1">
        <f>DATE(2011,7,17) + TIME(18,59,52)</f>
        <v>40741.791574074072</v>
      </c>
      <c r="C855">
        <v>80</v>
      </c>
      <c r="D855">
        <v>79.946235657000003</v>
      </c>
      <c r="E855">
        <v>50</v>
      </c>
      <c r="F855">
        <v>41.526691436999997</v>
      </c>
      <c r="G855">
        <v>1392.4375</v>
      </c>
      <c r="H855">
        <v>1376.2497559000001</v>
      </c>
      <c r="I855">
        <v>1272.6950684000001</v>
      </c>
      <c r="J855">
        <v>1247.7001952999999</v>
      </c>
      <c r="K855">
        <v>2875</v>
      </c>
      <c r="L855">
        <v>0</v>
      </c>
      <c r="M855">
        <v>0</v>
      </c>
      <c r="N855">
        <v>2875</v>
      </c>
    </row>
    <row r="856" spans="1:14" x14ac:dyDescent="0.25">
      <c r="A856">
        <v>443.93002100000001</v>
      </c>
      <c r="B856" s="1">
        <f>DATE(2011,7,18) + TIME(22,19,13)</f>
        <v>40742.930011574077</v>
      </c>
      <c r="C856">
        <v>80</v>
      </c>
      <c r="D856">
        <v>79.946273804</v>
      </c>
      <c r="E856">
        <v>50</v>
      </c>
      <c r="F856">
        <v>41.393375397</v>
      </c>
      <c r="G856">
        <v>1392.3610839999999</v>
      </c>
      <c r="H856">
        <v>1376.1811522999999</v>
      </c>
      <c r="I856">
        <v>1272.5518798999999</v>
      </c>
      <c r="J856">
        <v>1247.4770507999999</v>
      </c>
      <c r="K856">
        <v>2875</v>
      </c>
      <c r="L856">
        <v>0</v>
      </c>
      <c r="M856">
        <v>0</v>
      </c>
      <c r="N856">
        <v>2875</v>
      </c>
    </row>
    <row r="857" spans="1:14" x14ac:dyDescent="0.25">
      <c r="A857">
        <v>445.082764</v>
      </c>
      <c r="B857" s="1">
        <f>DATE(2011,7,20) + TIME(1,59,10)</f>
        <v>40744.082754629628</v>
      </c>
      <c r="C857">
        <v>80</v>
      </c>
      <c r="D857">
        <v>79.946319579999994</v>
      </c>
      <c r="E857">
        <v>50</v>
      </c>
      <c r="F857">
        <v>41.257335662999999</v>
      </c>
      <c r="G857">
        <v>1392.284668</v>
      </c>
      <c r="H857">
        <v>1376.1124268000001</v>
      </c>
      <c r="I857">
        <v>1272.4057617000001</v>
      </c>
      <c r="J857">
        <v>1247.2481689000001</v>
      </c>
      <c r="K857">
        <v>2875</v>
      </c>
      <c r="L857">
        <v>0</v>
      </c>
      <c r="M857">
        <v>0</v>
      </c>
      <c r="N857">
        <v>2875</v>
      </c>
    </row>
    <row r="858" spans="1:14" x14ac:dyDescent="0.25">
      <c r="A858">
        <v>446.25258700000001</v>
      </c>
      <c r="B858" s="1">
        <f>DATE(2011,7,21) + TIME(6,3,43)</f>
        <v>40745.252581018518</v>
      </c>
      <c r="C858">
        <v>80</v>
      </c>
      <c r="D858">
        <v>79.946365356000001</v>
      </c>
      <c r="E858">
        <v>50</v>
      </c>
      <c r="F858">
        <v>41.118247986</v>
      </c>
      <c r="G858">
        <v>1392.2080077999999</v>
      </c>
      <c r="H858">
        <v>1376.0435791</v>
      </c>
      <c r="I858">
        <v>1272.2562256000001</v>
      </c>
      <c r="J858">
        <v>1247.0130615</v>
      </c>
      <c r="K858">
        <v>2875</v>
      </c>
      <c r="L858">
        <v>0</v>
      </c>
      <c r="M858">
        <v>0</v>
      </c>
      <c r="N858">
        <v>2875</v>
      </c>
    </row>
    <row r="859" spans="1:14" x14ac:dyDescent="0.25">
      <c r="A859">
        <v>447.44245100000001</v>
      </c>
      <c r="B859" s="1">
        <f>DATE(2011,7,22) + TIME(10,37,7)</f>
        <v>40746.442442129628</v>
      </c>
      <c r="C859">
        <v>80</v>
      </c>
      <c r="D859">
        <v>79.946411132999998</v>
      </c>
      <c r="E859">
        <v>50</v>
      </c>
      <c r="F859">
        <v>40.975757598999998</v>
      </c>
      <c r="G859">
        <v>1392.1311035000001</v>
      </c>
      <c r="H859">
        <v>1375.9743652</v>
      </c>
      <c r="I859">
        <v>1272.1029053</v>
      </c>
      <c r="J859">
        <v>1246.7709961</v>
      </c>
      <c r="K859">
        <v>2875</v>
      </c>
      <c r="L859">
        <v>0</v>
      </c>
      <c r="M859">
        <v>0</v>
      </c>
      <c r="N859">
        <v>2875</v>
      </c>
    </row>
    <row r="860" spans="1:14" x14ac:dyDescent="0.25">
      <c r="A860">
        <v>448.64350400000001</v>
      </c>
      <c r="B860" s="1">
        <f>DATE(2011,7,23) + TIME(15,26,38)</f>
        <v>40747.643495370372</v>
      </c>
      <c r="C860">
        <v>80</v>
      </c>
      <c r="D860">
        <v>79.946456909000005</v>
      </c>
      <c r="E860">
        <v>50</v>
      </c>
      <c r="F860">
        <v>40.830032349</v>
      </c>
      <c r="G860">
        <v>1392.0537108999999</v>
      </c>
      <c r="H860">
        <v>1375.9045410000001</v>
      </c>
      <c r="I860">
        <v>1271.9455565999999</v>
      </c>
      <c r="J860">
        <v>1246.5218506000001</v>
      </c>
      <c r="K860">
        <v>2875</v>
      </c>
      <c r="L860">
        <v>0</v>
      </c>
      <c r="M860">
        <v>0</v>
      </c>
      <c r="N860">
        <v>2875</v>
      </c>
    </row>
    <row r="861" spans="1:14" x14ac:dyDescent="0.25">
      <c r="A861">
        <v>449.85279200000002</v>
      </c>
      <c r="B861" s="1">
        <f>DATE(2011,7,24) + TIME(20,28,1)</f>
        <v>40748.852789351855</v>
      </c>
      <c r="C861">
        <v>80</v>
      </c>
      <c r="D861">
        <v>79.946510314999998</v>
      </c>
      <c r="E861">
        <v>50</v>
      </c>
      <c r="F861">
        <v>40.681537628000001</v>
      </c>
      <c r="G861">
        <v>1391.9763184000001</v>
      </c>
      <c r="H861">
        <v>1375.8348389</v>
      </c>
      <c r="I861">
        <v>1271.7854004000001</v>
      </c>
      <c r="J861">
        <v>1246.2668457</v>
      </c>
      <c r="K861">
        <v>2875</v>
      </c>
      <c r="L861">
        <v>0</v>
      </c>
      <c r="M861">
        <v>0</v>
      </c>
      <c r="N861">
        <v>2875</v>
      </c>
    </row>
    <row r="862" spans="1:14" x14ac:dyDescent="0.25">
      <c r="A862">
        <v>451.07255099999998</v>
      </c>
      <c r="B862" s="1">
        <f>DATE(2011,7,26) + TIME(1,44,28)</f>
        <v>40750.072546296295</v>
      </c>
      <c r="C862">
        <v>80</v>
      </c>
      <c r="D862">
        <v>79.946556091000005</v>
      </c>
      <c r="E862">
        <v>50</v>
      </c>
      <c r="F862">
        <v>40.530452728</v>
      </c>
      <c r="G862">
        <v>1391.8992920000001</v>
      </c>
      <c r="H862">
        <v>1375.7652588000001</v>
      </c>
      <c r="I862">
        <v>1271.6225586</v>
      </c>
      <c r="J862">
        <v>1246.0065918</v>
      </c>
      <c r="K862">
        <v>2875</v>
      </c>
      <c r="L862">
        <v>0</v>
      </c>
      <c r="M862">
        <v>0</v>
      </c>
      <c r="N862">
        <v>2875</v>
      </c>
    </row>
    <row r="863" spans="1:14" x14ac:dyDescent="0.25">
      <c r="A863">
        <v>452.30107900000002</v>
      </c>
      <c r="B863" s="1">
        <f>DATE(2011,7,27) + TIME(7,13,33)</f>
        <v>40751.301076388889</v>
      </c>
      <c r="C863">
        <v>80</v>
      </c>
      <c r="D863">
        <v>79.946601868000002</v>
      </c>
      <c r="E863">
        <v>50</v>
      </c>
      <c r="F863">
        <v>40.376876830999997</v>
      </c>
      <c r="G863">
        <v>1391.8222656</v>
      </c>
      <c r="H863">
        <v>1375.6958007999999</v>
      </c>
      <c r="I863">
        <v>1271.4571533000001</v>
      </c>
      <c r="J863">
        <v>1245.7408447</v>
      </c>
      <c r="K863">
        <v>2875</v>
      </c>
      <c r="L863">
        <v>0</v>
      </c>
      <c r="M863">
        <v>0</v>
      </c>
      <c r="N863">
        <v>2875</v>
      </c>
    </row>
    <row r="864" spans="1:14" x14ac:dyDescent="0.25">
      <c r="A864">
        <v>453.53617000000003</v>
      </c>
      <c r="B864" s="1">
        <f>DATE(2011,7,28) + TIME(12,52,5)</f>
        <v>40752.536168981482</v>
      </c>
      <c r="C864">
        <v>80</v>
      </c>
      <c r="D864">
        <v>79.946655273000005</v>
      </c>
      <c r="E864">
        <v>50</v>
      </c>
      <c r="F864">
        <v>40.221080780000001</v>
      </c>
      <c r="G864">
        <v>1391.7454834</v>
      </c>
      <c r="H864">
        <v>1375.6264647999999</v>
      </c>
      <c r="I864">
        <v>1271.2894286999999</v>
      </c>
      <c r="J864">
        <v>1245.4702147999999</v>
      </c>
      <c r="K864">
        <v>2875</v>
      </c>
      <c r="L864">
        <v>0</v>
      </c>
      <c r="M864">
        <v>0</v>
      </c>
      <c r="N864">
        <v>2875</v>
      </c>
    </row>
    <row r="865" spans="1:14" x14ac:dyDescent="0.25">
      <c r="A865">
        <v>454.78016100000002</v>
      </c>
      <c r="B865" s="1">
        <f>DATE(2011,7,29) + TIME(18,43,25)</f>
        <v>40753.780150462961</v>
      </c>
      <c r="C865">
        <v>80</v>
      </c>
      <c r="D865">
        <v>79.946701050000001</v>
      </c>
      <c r="E865">
        <v>50</v>
      </c>
      <c r="F865">
        <v>40.063129425</v>
      </c>
      <c r="G865">
        <v>1391.6690673999999</v>
      </c>
      <c r="H865">
        <v>1375.557251</v>
      </c>
      <c r="I865">
        <v>1271.1196289</v>
      </c>
      <c r="J865">
        <v>1245.1949463000001</v>
      </c>
      <c r="K865">
        <v>2875</v>
      </c>
      <c r="L865">
        <v>0</v>
      </c>
      <c r="M865">
        <v>0</v>
      </c>
      <c r="N865">
        <v>2875</v>
      </c>
    </row>
    <row r="866" spans="1:14" x14ac:dyDescent="0.25">
      <c r="A866">
        <v>456.03580099999999</v>
      </c>
      <c r="B866" s="1">
        <f>DATE(2011,7,31) + TIME(0,51,33)</f>
        <v>40755.035798611112</v>
      </c>
      <c r="C866">
        <v>80</v>
      </c>
      <c r="D866">
        <v>79.946754455999994</v>
      </c>
      <c r="E866">
        <v>50</v>
      </c>
      <c r="F866">
        <v>39.902908324999999</v>
      </c>
      <c r="G866">
        <v>1391.5927733999999</v>
      </c>
      <c r="H866">
        <v>1375.4882812000001</v>
      </c>
      <c r="I866">
        <v>1270.9477539</v>
      </c>
      <c r="J866">
        <v>1244.9149170000001</v>
      </c>
      <c r="K866">
        <v>2875</v>
      </c>
      <c r="L866">
        <v>0</v>
      </c>
      <c r="M866">
        <v>0</v>
      </c>
      <c r="N866">
        <v>2875</v>
      </c>
    </row>
    <row r="867" spans="1:14" x14ac:dyDescent="0.25">
      <c r="A867">
        <v>457</v>
      </c>
      <c r="B867" s="1">
        <f>DATE(2011,8,1) + TIME(0,0,0)</f>
        <v>40756</v>
      </c>
      <c r="C867">
        <v>80</v>
      </c>
      <c r="D867">
        <v>79.946784973000007</v>
      </c>
      <c r="E867">
        <v>50</v>
      </c>
      <c r="F867">
        <v>39.757205962999997</v>
      </c>
      <c r="G867">
        <v>1391.5163574000001</v>
      </c>
      <c r="H867">
        <v>1375.4189452999999</v>
      </c>
      <c r="I867">
        <v>1270.7744141000001</v>
      </c>
      <c r="J867">
        <v>1244.6398925999999</v>
      </c>
      <c r="K867">
        <v>2875</v>
      </c>
      <c r="L867">
        <v>0</v>
      </c>
      <c r="M867">
        <v>0</v>
      </c>
      <c r="N867">
        <v>2875</v>
      </c>
    </row>
    <row r="868" spans="1:14" x14ac:dyDescent="0.25">
      <c r="A868">
        <v>458.27013099999999</v>
      </c>
      <c r="B868" s="1">
        <f>DATE(2011,8,2) + TIME(6,28,59)</f>
        <v>40757.270127314812</v>
      </c>
      <c r="C868">
        <v>80</v>
      </c>
      <c r="D868">
        <v>79.946838378999999</v>
      </c>
      <c r="E868">
        <v>50</v>
      </c>
      <c r="F868">
        <v>39.606872559000003</v>
      </c>
      <c r="G868">
        <v>1391.4582519999999</v>
      </c>
      <c r="H868">
        <v>1375.3663329999999</v>
      </c>
      <c r="I868">
        <v>1270.6367187999999</v>
      </c>
      <c r="J868">
        <v>1244.4011230000001</v>
      </c>
      <c r="K868">
        <v>2875</v>
      </c>
      <c r="L868">
        <v>0</v>
      </c>
      <c r="M868">
        <v>0</v>
      </c>
      <c r="N868">
        <v>2875</v>
      </c>
    </row>
    <row r="869" spans="1:14" x14ac:dyDescent="0.25">
      <c r="A869">
        <v>459.57070700000003</v>
      </c>
      <c r="B869" s="1">
        <f>DATE(2011,8,3) + TIME(13,41,49)</f>
        <v>40758.570706018516</v>
      </c>
      <c r="C869">
        <v>80</v>
      </c>
      <c r="D869">
        <v>79.946891785000005</v>
      </c>
      <c r="E869">
        <v>50</v>
      </c>
      <c r="F869">
        <v>39.444877624999997</v>
      </c>
      <c r="G869">
        <v>1391.3824463000001</v>
      </c>
      <c r="H869">
        <v>1375.2976074000001</v>
      </c>
      <c r="I869">
        <v>1270.4606934000001</v>
      </c>
      <c r="J869">
        <v>1244.1126709</v>
      </c>
      <c r="K869">
        <v>2875</v>
      </c>
      <c r="L869">
        <v>0</v>
      </c>
      <c r="M869">
        <v>0</v>
      </c>
      <c r="N869">
        <v>2875</v>
      </c>
    </row>
    <row r="870" spans="1:14" x14ac:dyDescent="0.25">
      <c r="A870">
        <v>460.88482900000002</v>
      </c>
      <c r="B870" s="1">
        <f>DATE(2011,8,4) + TIME(21,14,9)</f>
        <v>40759.884826388887</v>
      </c>
      <c r="C870">
        <v>80</v>
      </c>
      <c r="D870">
        <v>79.946945189999994</v>
      </c>
      <c r="E870">
        <v>50</v>
      </c>
      <c r="F870">
        <v>39.276329040999997</v>
      </c>
      <c r="G870">
        <v>1391.3054199000001</v>
      </c>
      <c r="H870">
        <v>1375.2275391000001</v>
      </c>
      <c r="I870">
        <v>1270.2790527</v>
      </c>
      <c r="J870">
        <v>1243.8128661999999</v>
      </c>
      <c r="K870">
        <v>2875</v>
      </c>
      <c r="L870">
        <v>0</v>
      </c>
      <c r="M870">
        <v>0</v>
      </c>
      <c r="N870">
        <v>2875</v>
      </c>
    </row>
    <row r="871" spans="1:14" x14ac:dyDescent="0.25">
      <c r="A871">
        <v>462.206908</v>
      </c>
      <c r="B871" s="1">
        <f>DATE(2011,8,6) + TIME(4,57,56)</f>
        <v>40761.20689814815</v>
      </c>
      <c r="C871">
        <v>80</v>
      </c>
      <c r="D871">
        <v>79.947006225999999</v>
      </c>
      <c r="E871">
        <v>50</v>
      </c>
      <c r="F871">
        <v>39.104114531999997</v>
      </c>
      <c r="G871">
        <v>1391.2281493999999</v>
      </c>
      <c r="H871">
        <v>1375.1573486</v>
      </c>
      <c r="I871">
        <v>1270.0949707</v>
      </c>
      <c r="J871">
        <v>1243.5065918</v>
      </c>
      <c r="K871">
        <v>2875</v>
      </c>
      <c r="L871">
        <v>0</v>
      </c>
      <c r="M871">
        <v>0</v>
      </c>
      <c r="N871">
        <v>2875</v>
      </c>
    </row>
    <row r="872" spans="1:14" x14ac:dyDescent="0.25">
      <c r="A872">
        <v>463.53994599999999</v>
      </c>
      <c r="B872" s="1">
        <f>DATE(2011,8,7) + TIME(12,57,31)</f>
        <v>40762.539942129632</v>
      </c>
      <c r="C872">
        <v>80</v>
      </c>
      <c r="D872">
        <v>79.947059631000002</v>
      </c>
      <c r="E872">
        <v>50</v>
      </c>
      <c r="F872">
        <v>38.929431915000002</v>
      </c>
      <c r="G872">
        <v>1391.1511230000001</v>
      </c>
      <c r="H872">
        <v>1375.0872803</v>
      </c>
      <c r="I872">
        <v>1269.9094238</v>
      </c>
      <c r="J872">
        <v>1243.1959228999999</v>
      </c>
      <c r="K872">
        <v>2875</v>
      </c>
      <c r="L872">
        <v>0</v>
      </c>
      <c r="M872">
        <v>0</v>
      </c>
      <c r="N872">
        <v>2875</v>
      </c>
    </row>
    <row r="873" spans="1:14" x14ac:dyDescent="0.25">
      <c r="A873">
        <v>464.88309099999998</v>
      </c>
      <c r="B873" s="1">
        <f>DATE(2011,8,8) + TIME(21,11,39)</f>
        <v>40763.883090277777</v>
      </c>
      <c r="C873">
        <v>80</v>
      </c>
      <c r="D873">
        <v>79.947113036999994</v>
      </c>
      <c r="E873">
        <v>50</v>
      </c>
      <c r="F873">
        <v>38.752750397</v>
      </c>
      <c r="G873">
        <v>1391.0740966999999</v>
      </c>
      <c r="H873">
        <v>1375.0170897999999</v>
      </c>
      <c r="I873">
        <v>1269.7224120999999</v>
      </c>
      <c r="J873">
        <v>1242.8811035000001</v>
      </c>
      <c r="K873">
        <v>2875</v>
      </c>
      <c r="L873">
        <v>0</v>
      </c>
      <c r="M873">
        <v>0</v>
      </c>
      <c r="N873">
        <v>2875</v>
      </c>
    </row>
    <row r="874" spans="1:14" x14ac:dyDescent="0.25">
      <c r="A874">
        <v>466.23394100000002</v>
      </c>
      <c r="B874" s="1">
        <f>DATE(2011,8,10) + TIME(5,36,52)</f>
        <v>40765.233935185184</v>
      </c>
      <c r="C874">
        <v>80</v>
      </c>
      <c r="D874">
        <v>79.947166443</v>
      </c>
      <c r="E874">
        <v>50</v>
      </c>
      <c r="F874">
        <v>38.574485779</v>
      </c>
      <c r="G874">
        <v>1390.9970702999999</v>
      </c>
      <c r="H874">
        <v>1374.9468993999999</v>
      </c>
      <c r="I874">
        <v>1269.5343018000001</v>
      </c>
      <c r="J874">
        <v>1242.5627440999999</v>
      </c>
      <c r="K874">
        <v>2875</v>
      </c>
      <c r="L874">
        <v>0</v>
      </c>
      <c r="M874">
        <v>0</v>
      </c>
      <c r="N874">
        <v>2875</v>
      </c>
    </row>
    <row r="875" spans="1:14" x14ac:dyDescent="0.25">
      <c r="A875">
        <v>467.59604300000001</v>
      </c>
      <c r="B875" s="1">
        <f>DATE(2011,8,11) + TIME(14,18,18)</f>
        <v>40766.596041666664</v>
      </c>
      <c r="C875">
        <v>80</v>
      </c>
      <c r="D875">
        <v>79.947219849000007</v>
      </c>
      <c r="E875">
        <v>50</v>
      </c>
      <c r="F875">
        <v>38.394859314000001</v>
      </c>
      <c r="G875">
        <v>1390.9201660000001</v>
      </c>
      <c r="H875">
        <v>1374.8768310999999</v>
      </c>
      <c r="I875">
        <v>1269.3457031</v>
      </c>
      <c r="J875">
        <v>1242.2415771000001</v>
      </c>
      <c r="K875">
        <v>2875</v>
      </c>
      <c r="L875">
        <v>0</v>
      </c>
      <c r="M875">
        <v>0</v>
      </c>
      <c r="N875">
        <v>2875</v>
      </c>
    </row>
    <row r="876" spans="1:14" x14ac:dyDescent="0.25">
      <c r="A876">
        <v>468.97303599999998</v>
      </c>
      <c r="B876" s="1">
        <f>DATE(2011,8,12) + TIME(23,21,10)</f>
        <v>40767.973032407404</v>
      </c>
      <c r="C876">
        <v>80</v>
      </c>
      <c r="D876">
        <v>79.947280883999994</v>
      </c>
      <c r="E876">
        <v>50</v>
      </c>
      <c r="F876">
        <v>38.213787078999999</v>
      </c>
      <c r="G876">
        <v>1390.8432617000001</v>
      </c>
      <c r="H876">
        <v>1374.8065185999999</v>
      </c>
      <c r="I876">
        <v>1269.15625</v>
      </c>
      <c r="J876">
        <v>1241.9171143000001</v>
      </c>
      <c r="K876">
        <v>2875</v>
      </c>
      <c r="L876">
        <v>0</v>
      </c>
      <c r="M876">
        <v>0</v>
      </c>
      <c r="N876">
        <v>2875</v>
      </c>
    </row>
    <row r="877" spans="1:14" x14ac:dyDescent="0.25">
      <c r="A877">
        <v>470.35770100000002</v>
      </c>
      <c r="B877" s="1">
        <f>DATE(2011,8,14) + TIME(8,35,5)</f>
        <v>40769.35769675926</v>
      </c>
      <c r="C877">
        <v>80</v>
      </c>
      <c r="D877">
        <v>79.947334290000001</v>
      </c>
      <c r="E877">
        <v>50</v>
      </c>
      <c r="F877">
        <v>38.031604766999997</v>
      </c>
      <c r="G877">
        <v>1390.7659911999999</v>
      </c>
      <c r="H877">
        <v>1374.7359618999999</v>
      </c>
      <c r="I877">
        <v>1268.9659423999999</v>
      </c>
      <c r="J877">
        <v>1241.5895995999999</v>
      </c>
      <c r="K877">
        <v>2875</v>
      </c>
      <c r="L877">
        <v>0</v>
      </c>
      <c r="M877">
        <v>0</v>
      </c>
      <c r="N877">
        <v>2875</v>
      </c>
    </row>
    <row r="878" spans="1:14" x14ac:dyDescent="0.25">
      <c r="A878">
        <v>471.74645299999997</v>
      </c>
      <c r="B878" s="1">
        <f>DATE(2011,8,15) + TIME(17,54,53)</f>
        <v>40770.746446759258</v>
      </c>
      <c r="C878">
        <v>80</v>
      </c>
      <c r="D878">
        <v>79.947395325000002</v>
      </c>
      <c r="E878">
        <v>50</v>
      </c>
      <c r="F878">
        <v>37.849082946999999</v>
      </c>
      <c r="G878">
        <v>1390.6889647999999</v>
      </c>
      <c r="H878">
        <v>1374.6654053</v>
      </c>
      <c r="I878">
        <v>1268.7758789</v>
      </c>
      <c r="J878">
        <v>1241.2604980000001</v>
      </c>
      <c r="K878">
        <v>2875</v>
      </c>
      <c r="L878">
        <v>0</v>
      </c>
      <c r="M878">
        <v>0</v>
      </c>
      <c r="N878">
        <v>2875</v>
      </c>
    </row>
    <row r="879" spans="1:14" x14ac:dyDescent="0.25">
      <c r="A879">
        <v>473.150307</v>
      </c>
      <c r="B879" s="1">
        <f>DATE(2011,8,17) + TIME(3,36,26)</f>
        <v>40772.150300925925</v>
      </c>
      <c r="C879">
        <v>80</v>
      </c>
      <c r="D879">
        <v>79.947456360000004</v>
      </c>
      <c r="E879">
        <v>50</v>
      </c>
      <c r="F879">
        <v>37.666366576999998</v>
      </c>
      <c r="G879">
        <v>1390.6120605000001</v>
      </c>
      <c r="H879">
        <v>1374.5950928</v>
      </c>
      <c r="I879">
        <v>1268.5867920000001</v>
      </c>
      <c r="J879">
        <v>1240.9307861</v>
      </c>
      <c r="K879">
        <v>2875</v>
      </c>
      <c r="L879">
        <v>0</v>
      </c>
      <c r="M879">
        <v>0</v>
      </c>
      <c r="N879">
        <v>2875</v>
      </c>
    </row>
    <row r="880" spans="1:14" x14ac:dyDescent="0.25">
      <c r="A880">
        <v>474.567318</v>
      </c>
      <c r="B880" s="1">
        <f>DATE(2011,8,18) + TIME(13,36,56)</f>
        <v>40773.567314814813</v>
      </c>
      <c r="C880">
        <v>80</v>
      </c>
      <c r="D880">
        <v>79.947509765999996</v>
      </c>
      <c r="E880">
        <v>50</v>
      </c>
      <c r="F880">
        <v>37.483406066999997</v>
      </c>
      <c r="G880">
        <v>1390.5349120999999</v>
      </c>
      <c r="H880">
        <v>1374.5242920000001</v>
      </c>
      <c r="I880">
        <v>1268.3978271000001</v>
      </c>
      <c r="J880">
        <v>1240.5991211</v>
      </c>
      <c r="K880">
        <v>2875</v>
      </c>
      <c r="L880">
        <v>0</v>
      </c>
      <c r="M880">
        <v>0</v>
      </c>
      <c r="N880">
        <v>2875</v>
      </c>
    </row>
    <row r="881" spans="1:14" x14ac:dyDescent="0.25">
      <c r="A881">
        <v>475.992324</v>
      </c>
      <c r="B881" s="1">
        <f>DATE(2011,8,19) + TIME(23,48,56)</f>
        <v>40774.992314814815</v>
      </c>
      <c r="C881">
        <v>80</v>
      </c>
      <c r="D881">
        <v>79.947570800999998</v>
      </c>
      <c r="E881">
        <v>50</v>
      </c>
      <c r="F881">
        <v>37.300773620999998</v>
      </c>
      <c r="G881">
        <v>1390.4575195</v>
      </c>
      <c r="H881">
        <v>1374.4533690999999</v>
      </c>
      <c r="I881">
        <v>1268.2093506000001</v>
      </c>
      <c r="J881">
        <v>1240.2666016000001</v>
      </c>
      <c r="K881">
        <v>2875</v>
      </c>
      <c r="L881">
        <v>0</v>
      </c>
      <c r="M881">
        <v>0</v>
      </c>
      <c r="N881">
        <v>2875</v>
      </c>
    </row>
    <row r="882" spans="1:14" x14ac:dyDescent="0.25">
      <c r="A882">
        <v>477.42685899999998</v>
      </c>
      <c r="B882" s="1">
        <f>DATE(2011,8,21) + TIME(10,14,40)</f>
        <v>40776.426851851851</v>
      </c>
      <c r="C882">
        <v>80</v>
      </c>
      <c r="D882">
        <v>79.947631835999999</v>
      </c>
      <c r="E882">
        <v>50</v>
      </c>
      <c r="F882">
        <v>37.119144439999999</v>
      </c>
      <c r="G882">
        <v>1390.380249</v>
      </c>
      <c r="H882">
        <v>1374.3822021000001</v>
      </c>
      <c r="I882">
        <v>1268.0224608999999</v>
      </c>
      <c r="J882">
        <v>1239.9346923999999</v>
      </c>
      <c r="K882">
        <v>2875</v>
      </c>
      <c r="L882">
        <v>0</v>
      </c>
      <c r="M882">
        <v>0</v>
      </c>
      <c r="N882">
        <v>2875</v>
      </c>
    </row>
    <row r="883" spans="1:14" x14ac:dyDescent="0.25">
      <c r="A883">
        <v>478.87361099999998</v>
      </c>
      <c r="B883" s="1">
        <f>DATE(2011,8,22) + TIME(20,57,59)</f>
        <v>40777.873599537037</v>
      </c>
      <c r="C883">
        <v>80</v>
      </c>
      <c r="D883">
        <v>79.947692871000001</v>
      </c>
      <c r="E883">
        <v>50</v>
      </c>
      <c r="F883">
        <v>36.938911437999998</v>
      </c>
      <c r="G883">
        <v>1390.3027344</v>
      </c>
      <c r="H883">
        <v>1374.3110352000001</v>
      </c>
      <c r="I883">
        <v>1267.8372803</v>
      </c>
      <c r="J883">
        <v>1239.6035156</v>
      </c>
      <c r="K883">
        <v>2875</v>
      </c>
      <c r="L883">
        <v>0</v>
      </c>
      <c r="M883">
        <v>0</v>
      </c>
      <c r="N883">
        <v>2875</v>
      </c>
    </row>
    <row r="884" spans="1:14" x14ac:dyDescent="0.25">
      <c r="A884">
        <v>480.33319</v>
      </c>
      <c r="B884" s="1">
        <f>DATE(2011,8,24) + TIME(7,59,47)</f>
        <v>40779.333182870374</v>
      </c>
      <c r="C884">
        <v>80</v>
      </c>
      <c r="D884">
        <v>79.947753906000003</v>
      </c>
      <c r="E884">
        <v>50</v>
      </c>
      <c r="F884">
        <v>36.760482787999997</v>
      </c>
      <c r="G884">
        <v>1390.2250977000001</v>
      </c>
      <c r="H884">
        <v>1374.239624</v>
      </c>
      <c r="I884">
        <v>1267.6539307</v>
      </c>
      <c r="J884">
        <v>1239.2735596</v>
      </c>
      <c r="K884">
        <v>2875</v>
      </c>
      <c r="L884">
        <v>0</v>
      </c>
      <c r="M884">
        <v>0</v>
      </c>
      <c r="N884">
        <v>2875</v>
      </c>
    </row>
    <row r="885" spans="1:14" x14ac:dyDescent="0.25">
      <c r="A885">
        <v>481.79350799999997</v>
      </c>
      <c r="B885" s="1">
        <f>DATE(2011,8,25) + TIME(19,2,39)</f>
        <v>40780.793506944443</v>
      </c>
      <c r="C885">
        <v>80</v>
      </c>
      <c r="D885">
        <v>79.947814941000004</v>
      </c>
      <c r="E885">
        <v>50</v>
      </c>
      <c r="F885">
        <v>36.584888458000002</v>
      </c>
      <c r="G885">
        <v>1390.1472168</v>
      </c>
      <c r="H885">
        <v>1374.1677245999999</v>
      </c>
      <c r="I885">
        <v>1267.4729004000001</v>
      </c>
      <c r="J885">
        <v>1238.9458007999999</v>
      </c>
      <c r="K885">
        <v>2875</v>
      </c>
      <c r="L885">
        <v>0</v>
      </c>
      <c r="M885">
        <v>0</v>
      </c>
      <c r="N885">
        <v>2875</v>
      </c>
    </row>
    <row r="886" spans="1:14" x14ac:dyDescent="0.25">
      <c r="A886">
        <v>483.25767000000002</v>
      </c>
      <c r="B886" s="1">
        <f>DATE(2011,8,27) + TIME(6,11,2)</f>
        <v>40782.257662037038</v>
      </c>
      <c r="C886">
        <v>80</v>
      </c>
      <c r="D886">
        <v>79.947875976999995</v>
      </c>
      <c r="E886">
        <v>50</v>
      </c>
      <c r="F886">
        <v>36.413269043</v>
      </c>
      <c r="G886">
        <v>1390.0695800999999</v>
      </c>
      <c r="H886">
        <v>1374.0961914</v>
      </c>
      <c r="I886">
        <v>1267.2958983999999</v>
      </c>
      <c r="J886">
        <v>1238.6228027</v>
      </c>
      <c r="K886">
        <v>2875</v>
      </c>
      <c r="L886">
        <v>0</v>
      </c>
      <c r="M886">
        <v>0</v>
      </c>
      <c r="N886">
        <v>2875</v>
      </c>
    </row>
    <row r="887" spans="1:14" x14ac:dyDescent="0.25">
      <c r="A887">
        <v>483.995566</v>
      </c>
      <c r="B887" s="1">
        <f>DATE(2011,8,27) + TIME(23,53,36)</f>
        <v>40782.995555555557</v>
      </c>
      <c r="C887">
        <v>80</v>
      </c>
      <c r="D887">
        <v>79.947898864999999</v>
      </c>
      <c r="E887">
        <v>50</v>
      </c>
      <c r="F887">
        <v>36.287406920999999</v>
      </c>
      <c r="G887">
        <v>1389.9920654</v>
      </c>
      <c r="H887">
        <v>1374.0245361</v>
      </c>
      <c r="I887">
        <v>1267.128418</v>
      </c>
      <c r="J887">
        <v>1238.3377685999999</v>
      </c>
      <c r="K887">
        <v>2875</v>
      </c>
      <c r="L887">
        <v>0</v>
      </c>
      <c r="M887">
        <v>0</v>
      </c>
      <c r="N887">
        <v>2875</v>
      </c>
    </row>
    <row r="888" spans="1:14" x14ac:dyDescent="0.25">
      <c r="A888">
        <v>484.73346199999997</v>
      </c>
      <c r="B888" s="1">
        <f>DATE(2011,8,28) + TIME(17,36,11)</f>
        <v>40783.733460648145</v>
      </c>
      <c r="C888">
        <v>80</v>
      </c>
      <c r="D888">
        <v>79.947929381999998</v>
      </c>
      <c r="E888">
        <v>50</v>
      </c>
      <c r="F888">
        <v>36.184803008999999</v>
      </c>
      <c r="G888">
        <v>1389.9525146000001</v>
      </c>
      <c r="H888">
        <v>1373.9879149999999</v>
      </c>
      <c r="I888">
        <v>1267.0379639</v>
      </c>
      <c r="J888">
        <v>1238.1594238</v>
      </c>
      <c r="K888">
        <v>2875</v>
      </c>
      <c r="L888">
        <v>0</v>
      </c>
      <c r="M888">
        <v>0</v>
      </c>
      <c r="N888">
        <v>2875</v>
      </c>
    </row>
    <row r="889" spans="1:14" x14ac:dyDescent="0.25">
      <c r="A889">
        <v>485.47135900000001</v>
      </c>
      <c r="B889" s="1">
        <f>DATE(2011,8,29) + TIME(11,18,45)</f>
        <v>40784.471354166664</v>
      </c>
      <c r="C889">
        <v>80</v>
      </c>
      <c r="D889">
        <v>79.947959900000001</v>
      </c>
      <c r="E889">
        <v>50</v>
      </c>
      <c r="F889">
        <v>36.094562531000001</v>
      </c>
      <c r="G889">
        <v>1389.9136963000001</v>
      </c>
      <c r="H889">
        <v>1373.9520264</v>
      </c>
      <c r="I889">
        <v>1266.9520264</v>
      </c>
      <c r="J889">
        <v>1237.9942627</v>
      </c>
      <c r="K889">
        <v>2875</v>
      </c>
      <c r="L889">
        <v>0</v>
      </c>
      <c r="M889">
        <v>0</v>
      </c>
      <c r="N889">
        <v>2875</v>
      </c>
    </row>
    <row r="890" spans="1:14" x14ac:dyDescent="0.25">
      <c r="A890">
        <v>486.94715100000002</v>
      </c>
      <c r="B890" s="1">
        <f>DATE(2011,8,30) + TIME(22,43,53)</f>
        <v>40785.947141203702</v>
      </c>
      <c r="C890">
        <v>80</v>
      </c>
      <c r="D890">
        <v>79.948028563999998</v>
      </c>
      <c r="E890">
        <v>50</v>
      </c>
      <c r="F890">
        <v>35.984031676999997</v>
      </c>
      <c r="G890">
        <v>1389.8753661999999</v>
      </c>
      <c r="H890">
        <v>1373.9165039</v>
      </c>
      <c r="I890">
        <v>1266.8649902</v>
      </c>
      <c r="J890">
        <v>1237.8142089999999</v>
      </c>
      <c r="K890">
        <v>2875</v>
      </c>
      <c r="L890">
        <v>0</v>
      </c>
      <c r="M890">
        <v>0</v>
      </c>
      <c r="N890">
        <v>2875</v>
      </c>
    </row>
    <row r="891" spans="1:14" x14ac:dyDescent="0.25">
      <c r="A891">
        <v>488</v>
      </c>
      <c r="B891" s="1">
        <f>DATE(2011,9,1) + TIME(0,0,0)</f>
        <v>40787</v>
      </c>
      <c r="C891">
        <v>80</v>
      </c>
      <c r="D891">
        <v>79.948066710999996</v>
      </c>
      <c r="E891">
        <v>50</v>
      </c>
      <c r="F891">
        <v>35.863780974999997</v>
      </c>
      <c r="G891">
        <v>1389.7983397999999</v>
      </c>
      <c r="H891">
        <v>1373.8452147999999</v>
      </c>
      <c r="I891">
        <v>1266.7120361</v>
      </c>
      <c r="J891">
        <v>1237.5454102000001</v>
      </c>
      <c r="K891">
        <v>2875</v>
      </c>
      <c r="L891">
        <v>0</v>
      </c>
      <c r="M891">
        <v>0</v>
      </c>
      <c r="N891">
        <v>2875</v>
      </c>
    </row>
    <row r="892" spans="1:14" x14ac:dyDescent="0.25">
      <c r="A892">
        <v>489.47711500000003</v>
      </c>
      <c r="B892" s="1">
        <f>DATE(2011,9,2) + TIME(11,27,2)</f>
        <v>40788.477106481485</v>
      </c>
      <c r="C892">
        <v>80</v>
      </c>
      <c r="D892">
        <v>79.948135375999996</v>
      </c>
      <c r="E892">
        <v>50</v>
      </c>
      <c r="F892">
        <v>35.741081238</v>
      </c>
      <c r="G892">
        <v>1389.7432861</v>
      </c>
      <c r="H892">
        <v>1373.7941894999999</v>
      </c>
      <c r="I892">
        <v>1266.5972899999999</v>
      </c>
      <c r="J892">
        <v>1237.3188477000001</v>
      </c>
      <c r="K892">
        <v>2875</v>
      </c>
      <c r="L892">
        <v>0</v>
      </c>
      <c r="M892">
        <v>0</v>
      </c>
      <c r="N892">
        <v>2875</v>
      </c>
    </row>
    <row r="893" spans="1:14" x14ac:dyDescent="0.25">
      <c r="A893">
        <v>490.98745200000002</v>
      </c>
      <c r="B893" s="1">
        <f>DATE(2011,9,3) + TIME(23,41,55)</f>
        <v>40789.987442129626</v>
      </c>
      <c r="C893">
        <v>80</v>
      </c>
      <c r="D893">
        <v>79.948196410999998</v>
      </c>
      <c r="E893">
        <v>50</v>
      </c>
      <c r="F893">
        <v>35.609657288000001</v>
      </c>
      <c r="G893">
        <v>1389.6667480000001</v>
      </c>
      <c r="H893">
        <v>1373.7232666</v>
      </c>
      <c r="I893">
        <v>1266.4490966999999</v>
      </c>
      <c r="J893">
        <v>1237.0423584</v>
      </c>
      <c r="K893">
        <v>2875</v>
      </c>
      <c r="L893">
        <v>0</v>
      </c>
      <c r="M893">
        <v>0</v>
      </c>
      <c r="N893">
        <v>2875</v>
      </c>
    </row>
    <row r="894" spans="1:14" x14ac:dyDescent="0.25">
      <c r="A894">
        <v>492.52258599999999</v>
      </c>
      <c r="B894" s="1">
        <f>DATE(2011,9,5) + TIME(12,32,31)</f>
        <v>40791.522581018522</v>
      </c>
      <c r="C894">
        <v>80</v>
      </c>
      <c r="D894">
        <v>79.948265075999998</v>
      </c>
      <c r="E894">
        <v>50</v>
      </c>
      <c r="F894">
        <v>35.480144500999998</v>
      </c>
      <c r="G894">
        <v>1389.5886230000001</v>
      </c>
      <c r="H894">
        <v>1373.6507568</v>
      </c>
      <c r="I894">
        <v>1266.3022461</v>
      </c>
      <c r="J894">
        <v>1236.7646483999999</v>
      </c>
      <c r="K894">
        <v>2875</v>
      </c>
      <c r="L894">
        <v>0</v>
      </c>
      <c r="M894">
        <v>0</v>
      </c>
      <c r="N894">
        <v>2875</v>
      </c>
    </row>
    <row r="895" spans="1:14" x14ac:dyDescent="0.25">
      <c r="A895">
        <v>494.085309</v>
      </c>
      <c r="B895" s="1">
        <f>DATE(2011,9,7) + TIME(2,2,50)</f>
        <v>40793.085300925923</v>
      </c>
      <c r="C895">
        <v>80</v>
      </c>
      <c r="D895">
        <v>79.948326111</v>
      </c>
      <c r="E895">
        <v>50</v>
      </c>
      <c r="F895">
        <v>35.357185364000003</v>
      </c>
      <c r="G895">
        <v>1389.5096435999999</v>
      </c>
      <c r="H895">
        <v>1373.5771483999999</v>
      </c>
      <c r="I895">
        <v>1266.1593018000001</v>
      </c>
      <c r="J895">
        <v>1236.4920654</v>
      </c>
      <c r="K895">
        <v>2875</v>
      </c>
      <c r="L895">
        <v>0</v>
      </c>
      <c r="M895">
        <v>0</v>
      </c>
      <c r="N895">
        <v>2875</v>
      </c>
    </row>
    <row r="896" spans="1:14" x14ac:dyDescent="0.25">
      <c r="A896">
        <v>495.660124</v>
      </c>
      <c r="B896" s="1">
        <f>DATE(2011,9,8) + TIME(15,50,34)</f>
        <v>40794.660115740742</v>
      </c>
      <c r="C896">
        <v>80</v>
      </c>
      <c r="D896">
        <v>79.948394774999997</v>
      </c>
      <c r="E896">
        <v>50</v>
      </c>
      <c r="F896">
        <v>35.243545531999999</v>
      </c>
      <c r="G896">
        <v>1389.4294434000001</v>
      </c>
      <c r="H896">
        <v>1373.5025635</v>
      </c>
      <c r="I896">
        <v>1266.0212402</v>
      </c>
      <c r="J896">
        <v>1236.2272949000001</v>
      </c>
      <c r="K896">
        <v>2875</v>
      </c>
      <c r="L896">
        <v>0</v>
      </c>
      <c r="M896">
        <v>0</v>
      </c>
      <c r="N896">
        <v>2875</v>
      </c>
    </row>
    <row r="897" spans="1:14" x14ac:dyDescent="0.25">
      <c r="A897">
        <v>496.45343200000002</v>
      </c>
      <c r="B897" s="1">
        <f>DATE(2011,9,9) + TIME(10,52,56)</f>
        <v>40795.453425925924</v>
      </c>
      <c r="C897">
        <v>80</v>
      </c>
      <c r="D897">
        <v>79.948417664000004</v>
      </c>
      <c r="E897">
        <v>50</v>
      </c>
      <c r="F897">
        <v>35.165550232000001</v>
      </c>
      <c r="G897">
        <v>1389.348999</v>
      </c>
      <c r="H897">
        <v>1373.4276123</v>
      </c>
      <c r="I897">
        <v>1265.8975829999999</v>
      </c>
      <c r="J897">
        <v>1236.0013428</v>
      </c>
      <c r="K897">
        <v>2875</v>
      </c>
      <c r="L897">
        <v>0</v>
      </c>
      <c r="M897">
        <v>0</v>
      </c>
      <c r="N897">
        <v>2875</v>
      </c>
    </row>
    <row r="898" spans="1:14" x14ac:dyDescent="0.25">
      <c r="A898">
        <v>497.24673999999999</v>
      </c>
      <c r="B898" s="1">
        <f>DATE(2011,9,10) + TIME(5,55,18)</f>
        <v>40796.246736111112</v>
      </c>
      <c r="C898">
        <v>80</v>
      </c>
      <c r="D898">
        <v>79.948455811000002</v>
      </c>
      <c r="E898">
        <v>50</v>
      </c>
      <c r="F898">
        <v>35.106666564999998</v>
      </c>
      <c r="G898">
        <v>1389.3078613</v>
      </c>
      <c r="H898">
        <v>1373.3892822</v>
      </c>
      <c r="I898">
        <v>1265.8294678</v>
      </c>
      <c r="J898">
        <v>1235.862793</v>
      </c>
      <c r="K898">
        <v>2875</v>
      </c>
      <c r="L898">
        <v>0</v>
      </c>
      <c r="M898">
        <v>0</v>
      </c>
      <c r="N898">
        <v>2875</v>
      </c>
    </row>
    <row r="899" spans="1:14" x14ac:dyDescent="0.25">
      <c r="A899">
        <v>498.04004900000001</v>
      </c>
      <c r="B899" s="1">
        <f>DATE(2011,9,11) + TIME(0,57,40)</f>
        <v>40797.040046296293</v>
      </c>
      <c r="C899">
        <v>80</v>
      </c>
      <c r="D899">
        <v>79.948486328000001</v>
      </c>
      <c r="E899">
        <v>50</v>
      </c>
      <c r="F899">
        <v>35.058773041000002</v>
      </c>
      <c r="G899">
        <v>1389.2674560999999</v>
      </c>
      <c r="H899">
        <v>1373.3515625</v>
      </c>
      <c r="I899">
        <v>1265.7667236</v>
      </c>
      <c r="J899">
        <v>1235.7379149999999</v>
      </c>
      <c r="K899">
        <v>2875</v>
      </c>
      <c r="L899">
        <v>0</v>
      </c>
      <c r="M899">
        <v>0</v>
      </c>
      <c r="N899">
        <v>2875</v>
      </c>
    </row>
    <row r="900" spans="1:14" x14ac:dyDescent="0.25">
      <c r="A900">
        <v>498.83335699999998</v>
      </c>
      <c r="B900" s="1">
        <f>DATE(2011,9,11) + TIME(20,0,2)</f>
        <v>40797.833356481482</v>
      </c>
      <c r="C900">
        <v>80</v>
      </c>
      <c r="D900">
        <v>79.948516846000004</v>
      </c>
      <c r="E900">
        <v>50</v>
      </c>
      <c r="F900">
        <v>35.018096923999998</v>
      </c>
      <c r="G900">
        <v>1389.2271728999999</v>
      </c>
      <c r="H900">
        <v>1373.3139647999999</v>
      </c>
      <c r="I900">
        <v>1265.7076416</v>
      </c>
      <c r="J900">
        <v>1235.6217041</v>
      </c>
      <c r="K900">
        <v>2875</v>
      </c>
      <c r="L900">
        <v>0</v>
      </c>
      <c r="M900">
        <v>0</v>
      </c>
      <c r="N900">
        <v>2875</v>
      </c>
    </row>
    <row r="901" spans="1:14" x14ac:dyDescent="0.25">
      <c r="A901">
        <v>499.626665</v>
      </c>
      <c r="B901" s="1">
        <f>DATE(2011,9,12) + TIME(15,2,23)</f>
        <v>40798.626655092594</v>
      </c>
      <c r="C901">
        <v>80</v>
      </c>
      <c r="D901">
        <v>79.948554993000002</v>
      </c>
      <c r="E901">
        <v>50</v>
      </c>
      <c r="F901">
        <v>34.982879638999997</v>
      </c>
      <c r="G901">
        <v>1389.1870117000001</v>
      </c>
      <c r="H901">
        <v>1373.2763672000001</v>
      </c>
      <c r="I901">
        <v>1265.6513672000001</v>
      </c>
      <c r="J901">
        <v>1235.5118408000001</v>
      </c>
      <c r="K901">
        <v>2875</v>
      </c>
      <c r="L901">
        <v>0</v>
      </c>
      <c r="M901">
        <v>0</v>
      </c>
      <c r="N901">
        <v>2875</v>
      </c>
    </row>
    <row r="902" spans="1:14" x14ac:dyDescent="0.25">
      <c r="A902">
        <v>500.41997400000002</v>
      </c>
      <c r="B902" s="1">
        <f>DATE(2011,9,13) + TIME(10,4,45)</f>
        <v>40799.419965277775</v>
      </c>
      <c r="C902">
        <v>80</v>
      </c>
      <c r="D902">
        <v>79.948585510000001</v>
      </c>
      <c r="E902">
        <v>50</v>
      </c>
      <c r="F902">
        <v>34.952339172000002</v>
      </c>
      <c r="G902">
        <v>1389.1468506000001</v>
      </c>
      <c r="H902">
        <v>1373.2388916</v>
      </c>
      <c r="I902">
        <v>1265.5976562000001</v>
      </c>
      <c r="J902">
        <v>1235.4071045000001</v>
      </c>
      <c r="K902">
        <v>2875</v>
      </c>
      <c r="L902">
        <v>0</v>
      </c>
      <c r="M902">
        <v>0</v>
      </c>
      <c r="N902">
        <v>2875</v>
      </c>
    </row>
    <row r="903" spans="1:14" x14ac:dyDescent="0.25">
      <c r="A903">
        <v>502.00659000000002</v>
      </c>
      <c r="B903" s="1">
        <f>DATE(2011,9,15) + TIME(0,9,29)</f>
        <v>40801.006585648145</v>
      </c>
      <c r="C903">
        <v>80</v>
      </c>
      <c r="D903">
        <v>79.948661803999997</v>
      </c>
      <c r="E903">
        <v>50</v>
      </c>
      <c r="F903">
        <v>34.918025970000002</v>
      </c>
      <c r="G903">
        <v>1389.1071777</v>
      </c>
      <c r="H903">
        <v>1373.2017822</v>
      </c>
      <c r="I903">
        <v>1265.5402832</v>
      </c>
      <c r="J903">
        <v>1235.2923584</v>
      </c>
      <c r="K903">
        <v>2875</v>
      </c>
      <c r="L903">
        <v>0</v>
      </c>
      <c r="M903">
        <v>0</v>
      </c>
      <c r="N903">
        <v>2875</v>
      </c>
    </row>
    <row r="904" spans="1:14" x14ac:dyDescent="0.25">
      <c r="A904">
        <v>503.59502099999997</v>
      </c>
      <c r="B904" s="1">
        <f>DATE(2011,9,16) + TIME(14,16,49)</f>
        <v>40802.595011574071</v>
      </c>
      <c r="C904">
        <v>80</v>
      </c>
      <c r="D904">
        <v>79.948722838999998</v>
      </c>
      <c r="E904">
        <v>50</v>
      </c>
      <c r="F904">
        <v>34.882514954000001</v>
      </c>
      <c r="G904">
        <v>1389.027832</v>
      </c>
      <c r="H904">
        <v>1373.1276855000001</v>
      </c>
      <c r="I904">
        <v>1265.447876</v>
      </c>
      <c r="J904">
        <v>1235.1160889</v>
      </c>
      <c r="K904">
        <v>2875</v>
      </c>
      <c r="L904">
        <v>0</v>
      </c>
      <c r="M904">
        <v>0</v>
      </c>
      <c r="N904">
        <v>2875</v>
      </c>
    </row>
    <row r="905" spans="1:14" x14ac:dyDescent="0.25">
      <c r="A905">
        <v>505.207359</v>
      </c>
      <c r="B905" s="1">
        <f>DATE(2011,9,18) + TIME(4,58,35)</f>
        <v>40804.207349537035</v>
      </c>
      <c r="C905">
        <v>80</v>
      </c>
      <c r="D905">
        <v>79.948791503999999</v>
      </c>
      <c r="E905">
        <v>50</v>
      </c>
      <c r="F905">
        <v>34.858112335000001</v>
      </c>
      <c r="G905">
        <v>1388.9484863</v>
      </c>
      <c r="H905">
        <v>1373.0533447</v>
      </c>
      <c r="I905">
        <v>1265.359375</v>
      </c>
      <c r="J905">
        <v>1234.9461670000001</v>
      </c>
      <c r="K905">
        <v>2875</v>
      </c>
      <c r="L905">
        <v>0</v>
      </c>
      <c r="M905">
        <v>0</v>
      </c>
      <c r="N905">
        <v>2875</v>
      </c>
    </row>
    <row r="906" spans="1:14" x14ac:dyDescent="0.25">
      <c r="A906">
        <v>506.84755799999999</v>
      </c>
      <c r="B906" s="1">
        <f>DATE(2011,9,19) + TIME(20,20,29)</f>
        <v>40805.847557870373</v>
      </c>
      <c r="C906">
        <v>80</v>
      </c>
      <c r="D906">
        <v>79.948860167999996</v>
      </c>
      <c r="E906">
        <v>50</v>
      </c>
      <c r="F906">
        <v>34.848995209000002</v>
      </c>
      <c r="G906">
        <v>1388.8682861</v>
      </c>
      <c r="H906">
        <v>1372.9782714999999</v>
      </c>
      <c r="I906">
        <v>1265.2768555</v>
      </c>
      <c r="J906">
        <v>1234.7884521000001</v>
      </c>
      <c r="K906">
        <v>2875</v>
      </c>
      <c r="L906">
        <v>0</v>
      </c>
      <c r="M906">
        <v>0</v>
      </c>
      <c r="N906">
        <v>2875</v>
      </c>
    </row>
    <row r="907" spans="1:14" x14ac:dyDescent="0.25">
      <c r="A907">
        <v>508.500158</v>
      </c>
      <c r="B907" s="1">
        <f>DATE(2011,9,21) + TIME(12,0,13)</f>
        <v>40807.500150462962</v>
      </c>
      <c r="C907">
        <v>80</v>
      </c>
      <c r="D907">
        <v>79.948928832999997</v>
      </c>
      <c r="E907">
        <v>50</v>
      </c>
      <c r="F907">
        <v>34.85710907</v>
      </c>
      <c r="G907">
        <v>1388.7872314000001</v>
      </c>
      <c r="H907">
        <v>1372.9023437999999</v>
      </c>
      <c r="I907">
        <v>1265.2012939000001</v>
      </c>
      <c r="J907">
        <v>1234.6457519999999</v>
      </c>
      <c r="K907">
        <v>2875</v>
      </c>
      <c r="L907">
        <v>0</v>
      </c>
      <c r="M907">
        <v>0</v>
      </c>
      <c r="N907">
        <v>2875</v>
      </c>
    </row>
    <row r="908" spans="1:14" x14ac:dyDescent="0.25">
      <c r="A908">
        <v>510.16949799999998</v>
      </c>
      <c r="B908" s="1">
        <f>DATE(2011,9,23) + TIME(4,4,4)</f>
        <v>40809.169490740744</v>
      </c>
      <c r="C908">
        <v>80</v>
      </c>
      <c r="D908">
        <v>79.949005127000007</v>
      </c>
      <c r="E908">
        <v>50</v>
      </c>
      <c r="F908">
        <v>34.883327483999999</v>
      </c>
      <c r="G908">
        <v>1388.7061768000001</v>
      </c>
      <c r="H908">
        <v>1372.8261719</v>
      </c>
      <c r="I908">
        <v>1265.1337891000001</v>
      </c>
      <c r="J908">
        <v>1234.5200195</v>
      </c>
      <c r="K908">
        <v>2875</v>
      </c>
      <c r="L908">
        <v>0</v>
      </c>
      <c r="M908">
        <v>0</v>
      </c>
      <c r="N908">
        <v>2875</v>
      </c>
    </row>
    <row r="909" spans="1:14" x14ac:dyDescent="0.25">
      <c r="A909">
        <v>511.862796</v>
      </c>
      <c r="B909" s="1">
        <f>DATE(2011,9,24) + TIME(20,42,25)</f>
        <v>40810.86278935185</v>
      </c>
      <c r="C909">
        <v>80</v>
      </c>
      <c r="D909">
        <v>79.949073791999993</v>
      </c>
      <c r="E909">
        <v>50</v>
      </c>
      <c r="F909">
        <v>34.928142547999997</v>
      </c>
      <c r="G909">
        <v>1388.6247559000001</v>
      </c>
      <c r="H909">
        <v>1372.7498779</v>
      </c>
      <c r="I909">
        <v>1265.0740966999999</v>
      </c>
      <c r="J909">
        <v>1234.4117432</v>
      </c>
      <c r="K909">
        <v>2875</v>
      </c>
      <c r="L909">
        <v>0</v>
      </c>
      <c r="M909">
        <v>0</v>
      </c>
      <c r="N909">
        <v>2875</v>
      </c>
    </row>
    <row r="910" spans="1:14" x14ac:dyDescent="0.25">
      <c r="A910">
        <v>513.58361500000001</v>
      </c>
      <c r="B910" s="1">
        <f>DATE(2011,9,26) + TIME(14,0,24)</f>
        <v>40812.583611111113</v>
      </c>
      <c r="C910">
        <v>80</v>
      </c>
      <c r="D910">
        <v>79.949142456000004</v>
      </c>
      <c r="E910">
        <v>50</v>
      </c>
      <c r="F910">
        <v>34.991950989000003</v>
      </c>
      <c r="G910">
        <v>1388.5428466999999</v>
      </c>
      <c r="H910">
        <v>1372.6728516000001</v>
      </c>
      <c r="I910">
        <v>1265.0220947</v>
      </c>
      <c r="J910">
        <v>1234.3206786999999</v>
      </c>
      <c r="K910">
        <v>2875</v>
      </c>
      <c r="L910">
        <v>0</v>
      </c>
      <c r="M910">
        <v>0</v>
      </c>
      <c r="N910">
        <v>2875</v>
      </c>
    </row>
    <row r="911" spans="1:14" x14ac:dyDescent="0.25">
      <c r="A911">
        <v>515.31333199999995</v>
      </c>
      <c r="B911" s="1">
        <f>DATE(2011,9,28) + TIME(7,31,11)</f>
        <v>40814.313321759262</v>
      </c>
      <c r="C911">
        <v>80</v>
      </c>
      <c r="D911">
        <v>79.94921875</v>
      </c>
      <c r="E911">
        <v>50</v>
      </c>
      <c r="F911">
        <v>35.074714661000002</v>
      </c>
      <c r="G911">
        <v>1388.4602050999999</v>
      </c>
      <c r="H911">
        <v>1372.5952147999999</v>
      </c>
      <c r="I911">
        <v>1264.9780272999999</v>
      </c>
      <c r="J911">
        <v>1234.2470702999999</v>
      </c>
      <c r="K911">
        <v>2875</v>
      </c>
      <c r="L911">
        <v>0</v>
      </c>
      <c r="M911">
        <v>0</v>
      </c>
      <c r="N911">
        <v>2875</v>
      </c>
    </row>
    <row r="912" spans="1:14" x14ac:dyDescent="0.25">
      <c r="A912">
        <v>517.05895399999997</v>
      </c>
      <c r="B912" s="1">
        <f>DATE(2011,9,30) + TIME(1,24,53)</f>
        <v>40816.058946759258</v>
      </c>
      <c r="C912">
        <v>80</v>
      </c>
      <c r="D912">
        <v>79.949287415000001</v>
      </c>
      <c r="E912">
        <v>50</v>
      </c>
      <c r="F912">
        <v>35.175685883</v>
      </c>
      <c r="G912">
        <v>1388.3779297000001</v>
      </c>
      <c r="H912">
        <v>1372.5178223</v>
      </c>
      <c r="I912">
        <v>1264.9416504000001</v>
      </c>
      <c r="J912">
        <v>1234.1914062000001</v>
      </c>
      <c r="K912">
        <v>2875</v>
      </c>
      <c r="L912">
        <v>0</v>
      </c>
      <c r="M912">
        <v>0</v>
      </c>
      <c r="N912">
        <v>2875</v>
      </c>
    </row>
    <row r="913" spans="1:14" x14ac:dyDescent="0.25">
      <c r="A913">
        <v>518</v>
      </c>
      <c r="B913" s="1">
        <f>DATE(2011,10,1) + TIME(0,0,0)</f>
        <v>40817</v>
      </c>
      <c r="C913">
        <v>80</v>
      </c>
      <c r="D913">
        <v>79.949317932</v>
      </c>
      <c r="E913">
        <v>50</v>
      </c>
      <c r="F913">
        <v>35.270889281999999</v>
      </c>
      <c r="G913">
        <v>1388.2958983999999</v>
      </c>
      <c r="H913">
        <v>1372.4406738</v>
      </c>
      <c r="I913">
        <v>1264.9243164</v>
      </c>
      <c r="J913">
        <v>1234.1578368999999</v>
      </c>
      <c r="K913">
        <v>2875</v>
      </c>
      <c r="L913">
        <v>0</v>
      </c>
      <c r="M913">
        <v>0</v>
      </c>
      <c r="N913">
        <v>2875</v>
      </c>
    </row>
    <row r="914" spans="1:14" x14ac:dyDescent="0.25">
      <c r="A914">
        <v>518.000001</v>
      </c>
      <c r="B914" s="1">
        <f>DATE(2011,10,1) + TIME(0,0,0)</f>
        <v>40817</v>
      </c>
      <c r="C914">
        <v>80</v>
      </c>
      <c r="D914">
        <v>79.949195861999996</v>
      </c>
      <c r="E914">
        <v>50</v>
      </c>
      <c r="F914">
        <v>35.271015167000002</v>
      </c>
      <c r="G914">
        <v>1371.5462646000001</v>
      </c>
      <c r="H914">
        <v>1361.4277344</v>
      </c>
      <c r="I914">
        <v>1287.6862793</v>
      </c>
      <c r="J914">
        <v>1265.8505858999999</v>
      </c>
      <c r="K914">
        <v>0</v>
      </c>
      <c r="L914">
        <v>2050</v>
      </c>
      <c r="M914">
        <v>2050</v>
      </c>
      <c r="N914">
        <v>0</v>
      </c>
    </row>
    <row r="915" spans="1:14" x14ac:dyDescent="0.25">
      <c r="A915">
        <v>518.00000399999999</v>
      </c>
      <c r="B915" s="1">
        <f>DATE(2011,10,1) + TIME(0,0,0)</f>
        <v>40817</v>
      </c>
      <c r="C915">
        <v>80</v>
      </c>
      <c r="D915">
        <v>79.948875427000004</v>
      </c>
      <c r="E915">
        <v>50</v>
      </c>
      <c r="F915">
        <v>35.271354674999998</v>
      </c>
      <c r="G915">
        <v>1369.2863769999999</v>
      </c>
      <c r="H915">
        <v>1359.1672363</v>
      </c>
      <c r="I915">
        <v>1290.1672363</v>
      </c>
      <c r="J915">
        <v>1268.3859863</v>
      </c>
      <c r="K915">
        <v>0</v>
      </c>
      <c r="L915">
        <v>2050</v>
      </c>
      <c r="M915">
        <v>2050</v>
      </c>
      <c r="N915">
        <v>0</v>
      </c>
    </row>
    <row r="916" spans="1:14" x14ac:dyDescent="0.25">
      <c r="A916">
        <v>518.00001299999997</v>
      </c>
      <c r="B916" s="1">
        <f>DATE(2011,10,1) + TIME(0,0,1)</f>
        <v>40817.000011574077</v>
      </c>
      <c r="C916">
        <v>80</v>
      </c>
      <c r="D916">
        <v>79.948226929</v>
      </c>
      <c r="E916">
        <v>50</v>
      </c>
      <c r="F916">
        <v>35.272197722999998</v>
      </c>
      <c r="G916">
        <v>1364.7244873</v>
      </c>
      <c r="H916">
        <v>1354.6047363</v>
      </c>
      <c r="I916">
        <v>1296.0800781</v>
      </c>
      <c r="J916">
        <v>1274.401001</v>
      </c>
      <c r="K916">
        <v>0</v>
      </c>
      <c r="L916">
        <v>2050</v>
      </c>
      <c r="M916">
        <v>2050</v>
      </c>
      <c r="N916">
        <v>0</v>
      </c>
    </row>
    <row r="917" spans="1:14" x14ac:dyDescent="0.25">
      <c r="A917">
        <v>518.00004000000001</v>
      </c>
      <c r="B917" s="1">
        <f>DATE(2011,10,1) + TIME(0,0,3)</f>
        <v>40817.000034722223</v>
      </c>
      <c r="C917">
        <v>80</v>
      </c>
      <c r="D917">
        <v>79.947273253999995</v>
      </c>
      <c r="E917">
        <v>50</v>
      </c>
      <c r="F917">
        <v>35.273891448999997</v>
      </c>
      <c r="G917">
        <v>1358.0615233999999</v>
      </c>
      <c r="H917">
        <v>1347.9426269999999</v>
      </c>
      <c r="I917">
        <v>1306.9207764</v>
      </c>
      <c r="J917">
        <v>1285.3428954999999</v>
      </c>
      <c r="K917">
        <v>0</v>
      </c>
      <c r="L917">
        <v>2050</v>
      </c>
      <c r="M917">
        <v>2050</v>
      </c>
      <c r="N917">
        <v>0</v>
      </c>
    </row>
    <row r="918" spans="1:14" x14ac:dyDescent="0.25">
      <c r="A918">
        <v>518.00012100000004</v>
      </c>
      <c r="B918" s="1">
        <f>DATE(2011,10,1) + TIME(0,0,10)</f>
        <v>40817.000115740739</v>
      </c>
      <c r="C918">
        <v>80</v>
      </c>
      <c r="D918">
        <v>79.946205139</v>
      </c>
      <c r="E918">
        <v>50</v>
      </c>
      <c r="F918">
        <v>35.276775360000002</v>
      </c>
      <c r="G918">
        <v>1350.6425781</v>
      </c>
      <c r="H918">
        <v>1340.5303954999999</v>
      </c>
      <c r="I918">
        <v>1321.2069091999999</v>
      </c>
      <c r="J918">
        <v>1299.6507568</v>
      </c>
      <c r="K918">
        <v>0</v>
      </c>
      <c r="L918">
        <v>2050</v>
      </c>
      <c r="M918">
        <v>2050</v>
      </c>
      <c r="N918">
        <v>0</v>
      </c>
    </row>
    <row r="919" spans="1:14" x14ac:dyDescent="0.25">
      <c r="A919">
        <v>518.00036399999999</v>
      </c>
      <c r="B919" s="1">
        <f>DATE(2011,10,1) + TIME(0,0,31)</f>
        <v>40817.000358796293</v>
      </c>
      <c r="C919">
        <v>80</v>
      </c>
      <c r="D919">
        <v>79.945091247999997</v>
      </c>
      <c r="E919">
        <v>50</v>
      </c>
      <c r="F919">
        <v>35.28219223</v>
      </c>
      <c r="G919">
        <v>1343.1842041</v>
      </c>
      <c r="H919">
        <v>1333.0805664</v>
      </c>
      <c r="I919">
        <v>1336.4888916</v>
      </c>
      <c r="J919">
        <v>1314.9440918</v>
      </c>
      <c r="K919">
        <v>0</v>
      </c>
      <c r="L919">
        <v>2050</v>
      </c>
      <c r="M919">
        <v>2050</v>
      </c>
      <c r="N919">
        <v>0</v>
      </c>
    </row>
    <row r="920" spans="1:14" x14ac:dyDescent="0.25">
      <c r="A920">
        <v>518.00109299999997</v>
      </c>
      <c r="B920" s="1">
        <f>DATE(2011,10,1) + TIME(0,1,34)</f>
        <v>40817.001087962963</v>
      </c>
      <c r="C920">
        <v>80</v>
      </c>
      <c r="D920">
        <v>79.943862914999997</v>
      </c>
      <c r="E920">
        <v>50</v>
      </c>
      <c r="F920">
        <v>35.294887543000002</v>
      </c>
      <c r="G920">
        <v>1335.666626</v>
      </c>
      <c r="H920">
        <v>1325.5504149999999</v>
      </c>
      <c r="I920">
        <v>1352.0726318</v>
      </c>
      <c r="J920">
        <v>1330.5375977000001</v>
      </c>
      <c r="K920">
        <v>0</v>
      </c>
      <c r="L920">
        <v>2050</v>
      </c>
      <c r="M920">
        <v>2050</v>
      </c>
      <c r="N920">
        <v>0</v>
      </c>
    </row>
    <row r="921" spans="1:14" x14ac:dyDescent="0.25">
      <c r="A921">
        <v>518.00328000000002</v>
      </c>
      <c r="B921" s="1">
        <f>DATE(2011,10,1) + TIME(0,4,43)</f>
        <v>40817.003275462965</v>
      </c>
      <c r="C921">
        <v>80</v>
      </c>
      <c r="D921">
        <v>79.942245482999994</v>
      </c>
      <c r="E921">
        <v>50</v>
      </c>
      <c r="F921">
        <v>35.329353333</v>
      </c>
      <c r="G921">
        <v>1327.7199707</v>
      </c>
      <c r="H921">
        <v>1317.5135498</v>
      </c>
      <c r="I921">
        <v>1367.9543457</v>
      </c>
      <c r="J921">
        <v>1346.3820800999999</v>
      </c>
      <c r="K921">
        <v>0</v>
      </c>
      <c r="L921">
        <v>2050</v>
      </c>
      <c r="M921">
        <v>2050</v>
      </c>
      <c r="N921">
        <v>0</v>
      </c>
    </row>
    <row r="922" spans="1:14" x14ac:dyDescent="0.25">
      <c r="A922">
        <v>518.00984100000005</v>
      </c>
      <c r="B922" s="1">
        <f>DATE(2011,10,1) + TIME(0,14,10)</f>
        <v>40817.009837962964</v>
      </c>
      <c r="C922">
        <v>80</v>
      </c>
      <c r="D922">
        <v>79.939575195000003</v>
      </c>
      <c r="E922">
        <v>50</v>
      </c>
      <c r="F922">
        <v>35.428840637</v>
      </c>
      <c r="G922">
        <v>1319.2873535000001</v>
      </c>
      <c r="H922">
        <v>1308.9604492000001</v>
      </c>
      <c r="I922">
        <v>1382.8327637</v>
      </c>
      <c r="J922">
        <v>1361.1741943</v>
      </c>
      <c r="K922">
        <v>0</v>
      </c>
      <c r="L922">
        <v>2050</v>
      </c>
      <c r="M922">
        <v>2050</v>
      </c>
      <c r="N922">
        <v>0</v>
      </c>
    </row>
    <row r="923" spans="1:14" x14ac:dyDescent="0.25">
      <c r="A923">
        <v>518.02952400000004</v>
      </c>
      <c r="B923" s="1">
        <f>DATE(2011,10,1) + TIME(0,42,30)</f>
        <v>40817.029513888891</v>
      </c>
      <c r="C923">
        <v>80</v>
      </c>
      <c r="D923">
        <v>79.934165954999997</v>
      </c>
      <c r="E923">
        <v>50</v>
      </c>
      <c r="F923">
        <v>35.719295502000001</v>
      </c>
      <c r="G923">
        <v>1311.9649658000001</v>
      </c>
      <c r="H923">
        <v>1301.5742187999999</v>
      </c>
      <c r="I923">
        <v>1393.5069579999999</v>
      </c>
      <c r="J923">
        <v>1371.8383789</v>
      </c>
      <c r="K923">
        <v>0</v>
      </c>
      <c r="L923">
        <v>2050</v>
      </c>
      <c r="M923">
        <v>2050</v>
      </c>
      <c r="N923">
        <v>0</v>
      </c>
    </row>
    <row r="924" spans="1:14" x14ac:dyDescent="0.25">
      <c r="A924">
        <v>518.07974400000001</v>
      </c>
      <c r="B924" s="1">
        <f>DATE(2011,10,1) + TIME(1,54,49)</f>
        <v>40817.079733796294</v>
      </c>
      <c r="C924">
        <v>80</v>
      </c>
      <c r="D924">
        <v>79.922828674000002</v>
      </c>
      <c r="E924">
        <v>50</v>
      </c>
      <c r="F924">
        <v>36.423789978000002</v>
      </c>
      <c r="G924">
        <v>1308.1441649999999</v>
      </c>
      <c r="H924">
        <v>1297.734375</v>
      </c>
      <c r="I924">
        <v>1397.5839844</v>
      </c>
      <c r="J924">
        <v>1376.1400146000001</v>
      </c>
      <c r="K924">
        <v>0</v>
      </c>
      <c r="L924">
        <v>2050</v>
      </c>
      <c r="M924">
        <v>2050</v>
      </c>
      <c r="N924">
        <v>0</v>
      </c>
    </row>
    <row r="925" spans="1:14" x14ac:dyDescent="0.25">
      <c r="A925">
        <v>518.13221399999998</v>
      </c>
      <c r="B925" s="1">
        <f>DATE(2011,10,1) + TIME(3,10,23)</f>
        <v>40817.132210648146</v>
      </c>
      <c r="C925">
        <v>80</v>
      </c>
      <c r="D925">
        <v>79.911552428999997</v>
      </c>
      <c r="E925">
        <v>50</v>
      </c>
      <c r="F925">
        <v>37.123069762999997</v>
      </c>
      <c r="G925">
        <v>1307.1835937999999</v>
      </c>
      <c r="H925">
        <v>1296.7698975000001</v>
      </c>
      <c r="I925">
        <v>1398.005249</v>
      </c>
      <c r="J925">
        <v>1376.8132324000001</v>
      </c>
      <c r="K925">
        <v>0</v>
      </c>
      <c r="L925">
        <v>2050</v>
      </c>
      <c r="M925">
        <v>2050</v>
      </c>
      <c r="N925">
        <v>0</v>
      </c>
    </row>
    <row r="926" spans="1:14" x14ac:dyDescent="0.25">
      <c r="A926">
        <v>518.18683899999996</v>
      </c>
      <c r="B926" s="1">
        <f>DATE(2011,10,1) + TIME(4,29,2)</f>
        <v>40817.186828703707</v>
      </c>
      <c r="C926">
        <v>80</v>
      </c>
      <c r="D926">
        <v>79.900077820000007</v>
      </c>
      <c r="E926">
        <v>50</v>
      </c>
      <c r="F926">
        <v>37.813179015999999</v>
      </c>
      <c r="G926">
        <v>1306.9176024999999</v>
      </c>
      <c r="H926">
        <v>1296.5026855000001</v>
      </c>
      <c r="I926">
        <v>1397.7363281</v>
      </c>
      <c r="J926">
        <v>1376.7962646000001</v>
      </c>
      <c r="K926">
        <v>0</v>
      </c>
      <c r="L926">
        <v>2050</v>
      </c>
      <c r="M926">
        <v>2050</v>
      </c>
      <c r="N926">
        <v>0</v>
      </c>
    </row>
    <row r="927" spans="1:14" x14ac:dyDescent="0.25">
      <c r="A927">
        <v>518.24376199999995</v>
      </c>
      <c r="B927" s="1">
        <f>DATE(2011,10,1) + TIME(5,51,1)</f>
        <v>40817.243761574071</v>
      </c>
      <c r="C927">
        <v>80</v>
      </c>
      <c r="D927">
        <v>79.888328552000004</v>
      </c>
      <c r="E927">
        <v>50</v>
      </c>
      <c r="F927">
        <v>38.493263245000001</v>
      </c>
      <c r="G927">
        <v>1306.8367920000001</v>
      </c>
      <c r="H927">
        <v>1296.4212646000001</v>
      </c>
      <c r="I927">
        <v>1397.3552245999999</v>
      </c>
      <c r="J927">
        <v>1376.6594238</v>
      </c>
      <c r="K927">
        <v>0</v>
      </c>
      <c r="L927">
        <v>2050</v>
      </c>
      <c r="M927">
        <v>2050</v>
      </c>
      <c r="N927">
        <v>0</v>
      </c>
    </row>
    <row r="928" spans="1:14" x14ac:dyDescent="0.25">
      <c r="A928">
        <v>518.30319299999996</v>
      </c>
      <c r="B928" s="1">
        <f>DATE(2011,10,1) + TIME(7,16,35)</f>
        <v>40817.303182870368</v>
      </c>
      <c r="C928">
        <v>80</v>
      </c>
      <c r="D928">
        <v>79.876258849999999</v>
      </c>
      <c r="E928">
        <v>50</v>
      </c>
      <c r="F928">
        <v>39.162994384999998</v>
      </c>
      <c r="G928">
        <v>1306.8094481999999</v>
      </c>
      <c r="H928">
        <v>1296.3934326000001</v>
      </c>
      <c r="I928">
        <v>1396.9719238</v>
      </c>
      <c r="J928">
        <v>1376.5114745999999</v>
      </c>
      <c r="K928">
        <v>0</v>
      </c>
      <c r="L928">
        <v>2050</v>
      </c>
      <c r="M928">
        <v>2050</v>
      </c>
      <c r="N928">
        <v>0</v>
      </c>
    </row>
    <row r="929" spans="1:14" x14ac:dyDescent="0.25">
      <c r="A929">
        <v>518.36537699999997</v>
      </c>
      <c r="B929" s="1">
        <f>DATE(2011,10,1) + TIME(8,46,8)</f>
        <v>40817.365370370368</v>
      </c>
      <c r="C929">
        <v>80</v>
      </c>
      <c r="D929">
        <v>79.863815308</v>
      </c>
      <c r="E929">
        <v>50</v>
      </c>
      <c r="F929">
        <v>39.822109222000002</v>
      </c>
      <c r="G929">
        <v>1306.7989502</v>
      </c>
      <c r="H929">
        <v>1296.3823242000001</v>
      </c>
      <c r="I929">
        <v>1396.6030272999999</v>
      </c>
      <c r="J929">
        <v>1376.3691406</v>
      </c>
      <c r="K929">
        <v>0</v>
      </c>
      <c r="L929">
        <v>2050</v>
      </c>
      <c r="M929">
        <v>2050</v>
      </c>
      <c r="N929">
        <v>0</v>
      </c>
    </row>
    <row r="930" spans="1:14" x14ac:dyDescent="0.25">
      <c r="A930">
        <v>518.43062199999997</v>
      </c>
      <c r="B930" s="1">
        <f>DATE(2011,10,1) + TIME(10,20,5)</f>
        <v>40817.430613425924</v>
      </c>
      <c r="C930">
        <v>80</v>
      </c>
      <c r="D930">
        <v>79.850967406999999</v>
      </c>
      <c r="E930">
        <v>50</v>
      </c>
      <c r="F930">
        <v>40.470611572000003</v>
      </c>
      <c r="G930">
        <v>1306.7938231999999</v>
      </c>
      <c r="H930">
        <v>1296.3768310999999</v>
      </c>
      <c r="I930">
        <v>1396.2486572</v>
      </c>
      <c r="J930">
        <v>1376.2325439000001</v>
      </c>
      <c r="K930">
        <v>0</v>
      </c>
      <c r="L930">
        <v>2050</v>
      </c>
      <c r="M930">
        <v>2050</v>
      </c>
      <c r="N930">
        <v>0</v>
      </c>
    </row>
    <row r="931" spans="1:14" x14ac:dyDescent="0.25">
      <c r="A931">
        <v>518.49927000000002</v>
      </c>
      <c r="B931" s="1">
        <f>DATE(2011,10,1) + TIME(11,58,56)</f>
        <v>40817.499259259261</v>
      </c>
      <c r="C931">
        <v>80</v>
      </c>
      <c r="D931">
        <v>79.837654114000003</v>
      </c>
      <c r="E931">
        <v>50</v>
      </c>
      <c r="F931">
        <v>41.108188628999997</v>
      </c>
      <c r="G931">
        <v>1306.7906493999999</v>
      </c>
      <c r="H931">
        <v>1296.3731689000001</v>
      </c>
      <c r="I931">
        <v>1395.9069824000001</v>
      </c>
      <c r="J931">
        <v>1376.1004639</v>
      </c>
      <c r="K931">
        <v>0</v>
      </c>
      <c r="L931">
        <v>2050</v>
      </c>
      <c r="M931">
        <v>2050</v>
      </c>
      <c r="N931">
        <v>0</v>
      </c>
    </row>
    <row r="932" spans="1:14" x14ac:dyDescent="0.25">
      <c r="A932">
        <v>518.57172500000001</v>
      </c>
      <c r="B932" s="1">
        <f>DATE(2011,10,1) + TIME(13,43,17)</f>
        <v>40817.57172453704</v>
      </c>
      <c r="C932">
        <v>80</v>
      </c>
      <c r="D932">
        <v>79.823829650999997</v>
      </c>
      <c r="E932">
        <v>50</v>
      </c>
      <c r="F932">
        <v>41.734512328999998</v>
      </c>
      <c r="G932">
        <v>1306.7880858999999</v>
      </c>
      <c r="H932">
        <v>1296.3699951000001</v>
      </c>
      <c r="I932">
        <v>1395.5766602000001</v>
      </c>
      <c r="J932">
        <v>1375.9716797000001</v>
      </c>
      <c r="K932">
        <v>0</v>
      </c>
      <c r="L932">
        <v>2050</v>
      </c>
      <c r="M932">
        <v>2050</v>
      </c>
      <c r="N932">
        <v>0</v>
      </c>
    </row>
    <row r="933" spans="1:14" x14ac:dyDescent="0.25">
      <c r="A933">
        <v>518.64846299999999</v>
      </c>
      <c r="B933" s="1">
        <f>DATE(2011,10,1) + TIME(15,33,47)</f>
        <v>40817.648460648146</v>
      </c>
      <c r="C933">
        <v>80</v>
      </c>
      <c r="D933">
        <v>79.809432982999994</v>
      </c>
      <c r="E933">
        <v>50</v>
      </c>
      <c r="F933">
        <v>42.349227904999999</v>
      </c>
      <c r="G933">
        <v>1306.7855225000001</v>
      </c>
      <c r="H933">
        <v>1296.3669434000001</v>
      </c>
      <c r="I933">
        <v>1395.2569579999999</v>
      </c>
      <c r="J933">
        <v>1375.8457031</v>
      </c>
      <c r="K933">
        <v>0</v>
      </c>
      <c r="L933">
        <v>2050</v>
      </c>
      <c r="M933">
        <v>2050</v>
      </c>
      <c r="N933">
        <v>0</v>
      </c>
    </row>
    <row r="934" spans="1:14" x14ac:dyDescent="0.25">
      <c r="A934">
        <v>518.73004900000001</v>
      </c>
      <c r="B934" s="1">
        <f>DATE(2011,10,1) + TIME(17,31,16)</f>
        <v>40817.730046296296</v>
      </c>
      <c r="C934">
        <v>80</v>
      </c>
      <c r="D934">
        <v>79.794372558999996</v>
      </c>
      <c r="E934">
        <v>50</v>
      </c>
      <c r="F934">
        <v>42.951915741000001</v>
      </c>
      <c r="G934">
        <v>1306.7828368999999</v>
      </c>
      <c r="H934">
        <v>1296.3637695</v>
      </c>
      <c r="I934">
        <v>1394.9467772999999</v>
      </c>
      <c r="J934">
        <v>1375.7218018000001</v>
      </c>
      <c r="K934">
        <v>0</v>
      </c>
      <c r="L934">
        <v>2050</v>
      </c>
      <c r="M934">
        <v>2050</v>
      </c>
      <c r="N934">
        <v>0</v>
      </c>
    </row>
    <row r="935" spans="1:14" x14ac:dyDescent="0.25">
      <c r="A935">
        <v>518.81716600000004</v>
      </c>
      <c r="B935" s="1">
        <f>DATE(2011,10,1) + TIME(19,36,43)</f>
        <v>40817.817164351851</v>
      </c>
      <c r="C935">
        <v>80</v>
      </c>
      <c r="D935">
        <v>79.778564453000001</v>
      </c>
      <c r="E935">
        <v>50</v>
      </c>
      <c r="F935">
        <v>43.542091370000001</v>
      </c>
      <c r="G935">
        <v>1306.7800293</v>
      </c>
      <c r="H935">
        <v>1296.3604736</v>
      </c>
      <c r="I935">
        <v>1394.6457519999999</v>
      </c>
      <c r="J935">
        <v>1375.5996094</v>
      </c>
      <c r="K935">
        <v>0</v>
      </c>
      <c r="L935">
        <v>2050</v>
      </c>
      <c r="M935">
        <v>2050</v>
      </c>
      <c r="N935">
        <v>0</v>
      </c>
    </row>
    <row r="936" spans="1:14" x14ac:dyDescent="0.25">
      <c r="A936">
        <v>518.91064500000005</v>
      </c>
      <c r="B936" s="1">
        <f>DATE(2011,10,1) + TIME(21,51,19)</f>
        <v>40817.910636574074</v>
      </c>
      <c r="C936">
        <v>80</v>
      </c>
      <c r="D936">
        <v>79.761901855000005</v>
      </c>
      <c r="E936">
        <v>50</v>
      </c>
      <c r="F936">
        <v>44.119163512999997</v>
      </c>
      <c r="G936">
        <v>1306.7769774999999</v>
      </c>
      <c r="H936">
        <v>1296.3568115</v>
      </c>
      <c r="I936">
        <v>1394.3530272999999</v>
      </c>
      <c r="J936">
        <v>1375.4787598</v>
      </c>
      <c r="K936">
        <v>0</v>
      </c>
      <c r="L936">
        <v>2050</v>
      </c>
      <c r="M936">
        <v>2050</v>
      </c>
      <c r="N936">
        <v>0</v>
      </c>
    </row>
    <row r="937" spans="1:14" x14ac:dyDescent="0.25">
      <c r="A937">
        <v>519.01150800000005</v>
      </c>
      <c r="B937" s="1">
        <f>DATE(2011,10,2) + TIME(0,16,34)</f>
        <v>40818.011504629627</v>
      </c>
      <c r="C937">
        <v>80</v>
      </c>
      <c r="D937">
        <v>79.744247436999999</v>
      </c>
      <c r="E937">
        <v>50</v>
      </c>
      <c r="F937">
        <v>44.682441711000003</v>
      </c>
      <c r="G937">
        <v>1306.7738036999999</v>
      </c>
      <c r="H937">
        <v>1296.3529053</v>
      </c>
      <c r="I937">
        <v>1394.0683594</v>
      </c>
      <c r="J937">
        <v>1375.3587646000001</v>
      </c>
      <c r="K937">
        <v>0</v>
      </c>
      <c r="L937">
        <v>2050</v>
      </c>
      <c r="M937">
        <v>2050</v>
      </c>
      <c r="N937">
        <v>0</v>
      </c>
    </row>
    <row r="938" spans="1:14" x14ac:dyDescent="0.25">
      <c r="A938">
        <v>519.121037</v>
      </c>
      <c r="B938" s="1">
        <f>DATE(2011,10,2) + TIME(2,54,17)</f>
        <v>40818.121030092596</v>
      </c>
      <c r="C938">
        <v>80</v>
      </c>
      <c r="D938">
        <v>79.725433350000003</v>
      </c>
      <c r="E938">
        <v>50</v>
      </c>
      <c r="F938">
        <v>45.231098175</v>
      </c>
      <c r="G938">
        <v>1306.7702637</v>
      </c>
      <c r="H938">
        <v>1296.3487548999999</v>
      </c>
      <c r="I938">
        <v>1393.7907714999999</v>
      </c>
      <c r="J938">
        <v>1375.2392577999999</v>
      </c>
      <c r="K938">
        <v>0</v>
      </c>
      <c r="L938">
        <v>2050</v>
      </c>
      <c r="M938">
        <v>2050</v>
      </c>
      <c r="N938">
        <v>0</v>
      </c>
    </row>
    <row r="939" spans="1:14" x14ac:dyDescent="0.25">
      <c r="A939">
        <v>519.24084800000003</v>
      </c>
      <c r="B939" s="1">
        <f>DATE(2011,10,2) + TIME(5,46,49)</f>
        <v>40818.240844907406</v>
      </c>
      <c r="C939">
        <v>80</v>
      </c>
      <c r="D939">
        <v>79.705253600999995</v>
      </c>
      <c r="E939">
        <v>50</v>
      </c>
      <c r="F939">
        <v>45.764080047999997</v>
      </c>
      <c r="G939">
        <v>1306.7663574000001</v>
      </c>
      <c r="H939">
        <v>1296.3442382999999</v>
      </c>
      <c r="I939">
        <v>1393.5200195</v>
      </c>
      <c r="J939">
        <v>1375.1195068</v>
      </c>
      <c r="K939">
        <v>0</v>
      </c>
      <c r="L939">
        <v>2050</v>
      </c>
      <c r="M939">
        <v>2050</v>
      </c>
      <c r="N939">
        <v>0</v>
      </c>
    </row>
    <row r="940" spans="1:14" x14ac:dyDescent="0.25">
      <c r="A940">
        <v>519.37305900000001</v>
      </c>
      <c r="B940" s="1">
        <f>DATE(2011,10,2) + TIME(8,57,12)</f>
        <v>40818.373055555552</v>
      </c>
      <c r="C940">
        <v>80</v>
      </c>
      <c r="D940">
        <v>79.683456421000002</v>
      </c>
      <c r="E940">
        <v>50</v>
      </c>
      <c r="F940">
        <v>46.280220032000003</v>
      </c>
      <c r="G940">
        <v>1306.7620850000001</v>
      </c>
      <c r="H940">
        <v>1296.3392334</v>
      </c>
      <c r="I940">
        <v>1393.2553711</v>
      </c>
      <c r="J940">
        <v>1374.9990233999999</v>
      </c>
      <c r="K940">
        <v>0</v>
      </c>
      <c r="L940">
        <v>2050</v>
      </c>
      <c r="M940">
        <v>2050</v>
      </c>
      <c r="N940">
        <v>0</v>
      </c>
    </row>
    <row r="941" spans="1:14" x14ac:dyDescent="0.25">
      <c r="A941">
        <v>519.52049499999998</v>
      </c>
      <c r="B941" s="1">
        <f>DATE(2011,10,2) + TIME(12,29,30)</f>
        <v>40818.520486111112</v>
      </c>
      <c r="C941">
        <v>80</v>
      </c>
      <c r="D941">
        <v>79.659675598000007</v>
      </c>
      <c r="E941">
        <v>50</v>
      </c>
      <c r="F941">
        <v>46.778114318999997</v>
      </c>
      <c r="G941">
        <v>1306.7574463000001</v>
      </c>
      <c r="H941">
        <v>1296.3337402</v>
      </c>
      <c r="I941">
        <v>1392.9960937999999</v>
      </c>
      <c r="J941">
        <v>1374.8770752</v>
      </c>
      <c r="K941">
        <v>0</v>
      </c>
      <c r="L941">
        <v>2050</v>
      </c>
      <c r="M941">
        <v>2050</v>
      </c>
      <c r="N941">
        <v>0</v>
      </c>
    </row>
    <row r="942" spans="1:14" x14ac:dyDescent="0.25">
      <c r="A942">
        <v>519.68699400000003</v>
      </c>
      <c r="B942" s="1">
        <f>DATE(2011,10,2) + TIME(16,29,16)</f>
        <v>40818.686990740738</v>
      </c>
      <c r="C942">
        <v>80</v>
      </c>
      <c r="D942">
        <v>79.633468628000003</v>
      </c>
      <c r="E942">
        <v>50</v>
      </c>
      <c r="F942">
        <v>47.255966186999999</v>
      </c>
      <c r="G942">
        <v>1306.7521973</v>
      </c>
      <c r="H942">
        <v>1296.3276367000001</v>
      </c>
      <c r="I942">
        <v>1392.7414550999999</v>
      </c>
      <c r="J942">
        <v>1374.7528076000001</v>
      </c>
      <c r="K942">
        <v>0</v>
      </c>
      <c r="L942">
        <v>2050</v>
      </c>
      <c r="M942">
        <v>2050</v>
      </c>
      <c r="N942">
        <v>0</v>
      </c>
    </row>
    <row r="943" spans="1:14" x14ac:dyDescent="0.25">
      <c r="A943">
        <v>519.87797</v>
      </c>
      <c r="B943" s="1">
        <f>DATE(2011,10,2) + TIME(21,4,16)</f>
        <v>40818.877962962964</v>
      </c>
      <c r="C943">
        <v>80</v>
      </c>
      <c r="D943">
        <v>79.604194641000007</v>
      </c>
      <c r="E943">
        <v>50</v>
      </c>
      <c r="F943">
        <v>47.711536406999997</v>
      </c>
      <c r="G943">
        <v>1306.7463379000001</v>
      </c>
      <c r="H943">
        <v>1296.3208007999999</v>
      </c>
      <c r="I943">
        <v>1392.4906006000001</v>
      </c>
      <c r="J943">
        <v>1374.6251221</v>
      </c>
      <c r="K943">
        <v>0</v>
      </c>
      <c r="L943">
        <v>2050</v>
      </c>
      <c r="M943">
        <v>2050</v>
      </c>
      <c r="N943">
        <v>0</v>
      </c>
    </row>
    <row r="944" spans="1:14" x14ac:dyDescent="0.25">
      <c r="A944">
        <v>520.09021600000005</v>
      </c>
      <c r="B944" s="1">
        <f>DATE(2011,10,3) + TIME(2,9,54)</f>
        <v>40819.090208333335</v>
      </c>
      <c r="C944">
        <v>80</v>
      </c>
      <c r="D944">
        <v>79.572326660000002</v>
      </c>
      <c r="E944">
        <v>50</v>
      </c>
      <c r="F944">
        <v>48.124462127999998</v>
      </c>
      <c r="G944">
        <v>1306.739624</v>
      </c>
      <c r="H944">
        <v>1296.3129882999999</v>
      </c>
      <c r="I944">
        <v>1392.2513428</v>
      </c>
      <c r="J944">
        <v>1374.4962158000001</v>
      </c>
      <c r="K944">
        <v>0</v>
      </c>
      <c r="L944">
        <v>2050</v>
      </c>
      <c r="M944">
        <v>2050</v>
      </c>
      <c r="N944">
        <v>0</v>
      </c>
    </row>
    <row r="945" spans="1:14" x14ac:dyDescent="0.25">
      <c r="A945">
        <v>520.30321900000001</v>
      </c>
      <c r="B945" s="1">
        <f>DATE(2011,10,3) + TIME(7,16,38)</f>
        <v>40819.303217592591</v>
      </c>
      <c r="C945">
        <v>80</v>
      </c>
      <c r="D945">
        <v>79.540397643999995</v>
      </c>
      <c r="E945">
        <v>50</v>
      </c>
      <c r="F945">
        <v>48.462120056000003</v>
      </c>
      <c r="G945">
        <v>1306.7319336</v>
      </c>
      <c r="H945">
        <v>1296.3044434000001</v>
      </c>
      <c r="I945">
        <v>1392.0395507999999</v>
      </c>
      <c r="J945">
        <v>1374.3735352000001</v>
      </c>
      <c r="K945">
        <v>0</v>
      </c>
      <c r="L945">
        <v>2050</v>
      </c>
      <c r="M945">
        <v>2050</v>
      </c>
      <c r="N945">
        <v>0</v>
      </c>
    </row>
    <row r="946" spans="1:14" x14ac:dyDescent="0.25">
      <c r="A946">
        <v>520.52047100000004</v>
      </c>
      <c r="B946" s="1">
        <f>DATE(2011,10,3) + TIME(12,29,28)</f>
        <v>40819.520462962966</v>
      </c>
      <c r="C946">
        <v>80</v>
      </c>
      <c r="D946">
        <v>79.507987975999995</v>
      </c>
      <c r="E946">
        <v>50</v>
      </c>
      <c r="F946">
        <v>48.741641997999999</v>
      </c>
      <c r="G946">
        <v>1306.7242432</v>
      </c>
      <c r="H946">
        <v>1296.2958983999999</v>
      </c>
      <c r="I946">
        <v>1391.8515625</v>
      </c>
      <c r="J946">
        <v>1374.2596435999999</v>
      </c>
      <c r="K946">
        <v>0</v>
      </c>
      <c r="L946">
        <v>2050</v>
      </c>
      <c r="M946">
        <v>2050</v>
      </c>
      <c r="N946">
        <v>0</v>
      </c>
    </row>
    <row r="947" spans="1:14" x14ac:dyDescent="0.25">
      <c r="A947">
        <v>520.743605</v>
      </c>
      <c r="B947" s="1">
        <f>DATE(2011,10,3) + TIME(17,50,47)</f>
        <v>40819.74359953704</v>
      </c>
      <c r="C947">
        <v>80</v>
      </c>
      <c r="D947">
        <v>79.474922179999993</v>
      </c>
      <c r="E947">
        <v>50</v>
      </c>
      <c r="F947">
        <v>48.973438262999998</v>
      </c>
      <c r="G947">
        <v>1306.7165527</v>
      </c>
      <c r="H947">
        <v>1296.2871094</v>
      </c>
      <c r="I947">
        <v>1391.6823730000001</v>
      </c>
      <c r="J947">
        <v>1374.1522216999999</v>
      </c>
      <c r="K947">
        <v>0</v>
      </c>
      <c r="L947">
        <v>2050</v>
      </c>
      <c r="M947">
        <v>2050</v>
      </c>
      <c r="N947">
        <v>0</v>
      </c>
    </row>
    <row r="948" spans="1:14" x14ac:dyDescent="0.25">
      <c r="A948">
        <v>520.97440200000005</v>
      </c>
      <c r="B948" s="1">
        <f>DATE(2011,10,3) + TIME(23,23,8)</f>
        <v>40819.974398148152</v>
      </c>
      <c r="C948">
        <v>80</v>
      </c>
      <c r="D948">
        <v>79.440986632999994</v>
      </c>
      <c r="E948">
        <v>50</v>
      </c>
      <c r="F948">
        <v>49.165737151999998</v>
      </c>
      <c r="G948">
        <v>1306.7086182</v>
      </c>
      <c r="H948">
        <v>1296.2780762</v>
      </c>
      <c r="I948">
        <v>1391.5283202999999</v>
      </c>
      <c r="J948">
        <v>1374.0501709</v>
      </c>
      <c r="K948">
        <v>0</v>
      </c>
      <c r="L948">
        <v>2050</v>
      </c>
      <c r="M948">
        <v>2050</v>
      </c>
      <c r="N948">
        <v>0</v>
      </c>
    </row>
    <row r="949" spans="1:14" x14ac:dyDescent="0.25">
      <c r="A949">
        <v>521.214741</v>
      </c>
      <c r="B949" s="1">
        <f>DATE(2011,10,4) + TIME(5,9,13)</f>
        <v>40820.214733796296</v>
      </c>
      <c r="C949">
        <v>80</v>
      </c>
      <c r="D949">
        <v>79.405982971</v>
      </c>
      <c r="E949">
        <v>50</v>
      </c>
      <c r="F949">
        <v>49.325054168999998</v>
      </c>
      <c r="G949">
        <v>1306.7003173999999</v>
      </c>
      <c r="H949">
        <v>1296.2689209</v>
      </c>
      <c r="I949">
        <v>1391.3864745999999</v>
      </c>
      <c r="J949">
        <v>1373.9522704999999</v>
      </c>
      <c r="K949">
        <v>0</v>
      </c>
      <c r="L949">
        <v>2050</v>
      </c>
      <c r="M949">
        <v>2050</v>
      </c>
      <c r="N949">
        <v>0</v>
      </c>
    </row>
    <row r="950" spans="1:14" x14ac:dyDescent="0.25">
      <c r="A950">
        <v>521.46671100000003</v>
      </c>
      <c r="B950" s="1">
        <f>DATE(2011,10,4) + TIME(11,12,3)</f>
        <v>40820.46670138889</v>
      </c>
      <c r="C950">
        <v>80</v>
      </c>
      <c r="D950">
        <v>79.369659424000005</v>
      </c>
      <c r="E950">
        <v>50</v>
      </c>
      <c r="F950">
        <v>49.456661224000001</v>
      </c>
      <c r="G950">
        <v>1306.6917725000001</v>
      </c>
      <c r="H950">
        <v>1296.2592772999999</v>
      </c>
      <c r="I950">
        <v>1391.2545166</v>
      </c>
      <c r="J950">
        <v>1373.8574219</v>
      </c>
      <c r="K950">
        <v>0</v>
      </c>
      <c r="L950">
        <v>2050</v>
      </c>
      <c r="M950">
        <v>2050</v>
      </c>
      <c r="N950">
        <v>0</v>
      </c>
    </row>
    <row r="951" spans="1:14" x14ac:dyDescent="0.25">
      <c r="A951">
        <v>521.732708</v>
      </c>
      <c r="B951" s="1">
        <f>DATE(2011,10,4) + TIME(17,35,5)</f>
        <v>40820.73269675926</v>
      </c>
      <c r="C951">
        <v>80</v>
      </c>
      <c r="D951">
        <v>79.331741332999997</v>
      </c>
      <c r="E951">
        <v>50</v>
      </c>
      <c r="F951">
        <v>49.564884186</v>
      </c>
      <c r="G951">
        <v>1306.6828613</v>
      </c>
      <c r="H951">
        <v>1296.2491454999999</v>
      </c>
      <c r="I951">
        <v>1391.1306152</v>
      </c>
      <c r="J951">
        <v>1373.7648925999999</v>
      </c>
      <c r="K951">
        <v>0</v>
      </c>
      <c r="L951">
        <v>2050</v>
      </c>
      <c r="M951">
        <v>2050</v>
      </c>
      <c r="N951">
        <v>0</v>
      </c>
    </row>
    <row r="952" spans="1:14" x14ac:dyDescent="0.25">
      <c r="A952">
        <v>522.01557000000003</v>
      </c>
      <c r="B952" s="1">
        <f>DATE(2011,10,5) + TIME(0,22,25)</f>
        <v>40821.015567129631</v>
      </c>
      <c r="C952">
        <v>80</v>
      </c>
      <c r="D952">
        <v>79.291915893999999</v>
      </c>
      <c r="E952">
        <v>50</v>
      </c>
      <c r="F952">
        <v>49.653339385999999</v>
      </c>
      <c r="G952">
        <v>1306.6735839999999</v>
      </c>
      <c r="H952">
        <v>1296.2385254000001</v>
      </c>
      <c r="I952">
        <v>1391.0129394999999</v>
      </c>
      <c r="J952">
        <v>1373.6738281</v>
      </c>
      <c r="K952">
        <v>0</v>
      </c>
      <c r="L952">
        <v>2050</v>
      </c>
      <c r="M952">
        <v>2050</v>
      </c>
      <c r="N952">
        <v>0</v>
      </c>
    </row>
    <row r="953" spans="1:14" x14ac:dyDescent="0.25">
      <c r="A953">
        <v>522.31874100000005</v>
      </c>
      <c r="B953" s="1">
        <f>DATE(2011,10,5) + TIME(7,38,59)</f>
        <v>40821.318738425929</v>
      </c>
      <c r="C953">
        <v>80</v>
      </c>
      <c r="D953">
        <v>79.249801636000001</v>
      </c>
      <c r="E953">
        <v>50</v>
      </c>
      <c r="F953">
        <v>49.725063323999997</v>
      </c>
      <c r="G953">
        <v>1306.6635742000001</v>
      </c>
      <c r="H953">
        <v>1296.2272949000001</v>
      </c>
      <c r="I953">
        <v>1390.8999022999999</v>
      </c>
      <c r="J953">
        <v>1373.5836182</v>
      </c>
      <c r="K953">
        <v>0</v>
      </c>
      <c r="L953">
        <v>2050</v>
      </c>
      <c r="M953">
        <v>2050</v>
      </c>
      <c r="N953">
        <v>0</v>
      </c>
    </row>
    <row r="954" spans="1:14" x14ac:dyDescent="0.25">
      <c r="A954">
        <v>522.64645199999995</v>
      </c>
      <c r="B954" s="1">
        <f>DATE(2011,10,5) + TIME(15,30,53)</f>
        <v>40821.64644675926</v>
      </c>
      <c r="C954">
        <v>80</v>
      </c>
      <c r="D954">
        <v>79.204940796000002</v>
      </c>
      <c r="E954">
        <v>50</v>
      </c>
      <c r="F954">
        <v>49.782634735000002</v>
      </c>
      <c r="G954">
        <v>1306.6529541</v>
      </c>
      <c r="H954">
        <v>1296.215332</v>
      </c>
      <c r="I954">
        <v>1390.7901611</v>
      </c>
      <c r="J954">
        <v>1373.4934082</v>
      </c>
      <c r="K954">
        <v>0</v>
      </c>
      <c r="L954">
        <v>2050</v>
      </c>
      <c r="M954">
        <v>2050</v>
      </c>
      <c r="N954">
        <v>0</v>
      </c>
    </row>
    <row r="955" spans="1:14" x14ac:dyDescent="0.25">
      <c r="A955">
        <v>523.00045</v>
      </c>
      <c r="B955" s="1">
        <f>DATE(2011,10,6) + TIME(0,0,38)</f>
        <v>40822.000439814816</v>
      </c>
      <c r="C955">
        <v>80</v>
      </c>
      <c r="D955">
        <v>79.157142639</v>
      </c>
      <c r="E955">
        <v>50</v>
      </c>
      <c r="F955">
        <v>49.827945708999998</v>
      </c>
      <c r="G955">
        <v>1306.6414795000001</v>
      </c>
      <c r="H955">
        <v>1296.2023925999999</v>
      </c>
      <c r="I955">
        <v>1390.6824951000001</v>
      </c>
      <c r="J955">
        <v>1373.4025879000001</v>
      </c>
      <c r="K955">
        <v>0</v>
      </c>
      <c r="L955">
        <v>2050</v>
      </c>
      <c r="M955">
        <v>2050</v>
      </c>
      <c r="N955">
        <v>0</v>
      </c>
    </row>
    <row r="956" spans="1:14" x14ac:dyDescent="0.25">
      <c r="A956">
        <v>523.38240099999996</v>
      </c>
      <c r="B956" s="1">
        <f>DATE(2011,10,6) + TIME(9,10,39)</f>
        <v>40822.382395833331</v>
      </c>
      <c r="C956">
        <v>80</v>
      </c>
      <c r="D956">
        <v>79.106193542</v>
      </c>
      <c r="E956">
        <v>50</v>
      </c>
      <c r="F956">
        <v>49.862876892000003</v>
      </c>
      <c r="G956">
        <v>1306.6290283000001</v>
      </c>
      <c r="H956">
        <v>1296.1883545000001</v>
      </c>
      <c r="I956">
        <v>1390.5764160000001</v>
      </c>
      <c r="J956">
        <v>1373.3110352000001</v>
      </c>
      <c r="K956">
        <v>0</v>
      </c>
      <c r="L956">
        <v>2050</v>
      </c>
      <c r="M956">
        <v>2050</v>
      </c>
      <c r="N956">
        <v>0</v>
      </c>
    </row>
    <row r="957" spans="1:14" x14ac:dyDescent="0.25">
      <c r="A957">
        <v>523.79853500000002</v>
      </c>
      <c r="B957" s="1">
        <f>DATE(2011,10,6) + TIME(19,9,53)</f>
        <v>40822.798530092594</v>
      </c>
      <c r="C957">
        <v>80</v>
      </c>
      <c r="D957">
        <v>79.051483153999996</v>
      </c>
      <c r="E957">
        <v>50</v>
      </c>
      <c r="F957">
        <v>49.889465332</v>
      </c>
      <c r="G957">
        <v>1306.6157227000001</v>
      </c>
      <c r="H957">
        <v>1296.1733397999999</v>
      </c>
      <c r="I957">
        <v>1390.4715576000001</v>
      </c>
      <c r="J957">
        <v>1373.2188721</v>
      </c>
      <c r="K957">
        <v>0</v>
      </c>
      <c r="L957">
        <v>2050</v>
      </c>
      <c r="M957">
        <v>2050</v>
      </c>
      <c r="N957">
        <v>0</v>
      </c>
    </row>
    <row r="958" spans="1:14" x14ac:dyDescent="0.25">
      <c r="A958">
        <v>524.23405400000001</v>
      </c>
      <c r="B958" s="1">
        <f>DATE(2011,10,7) + TIME(5,37,2)</f>
        <v>40823.234050925923</v>
      </c>
      <c r="C958">
        <v>80</v>
      </c>
      <c r="D958">
        <v>78.994285583000007</v>
      </c>
      <c r="E958">
        <v>50</v>
      </c>
      <c r="F958">
        <v>49.908695221000002</v>
      </c>
      <c r="G958">
        <v>1306.6010742000001</v>
      </c>
      <c r="H958">
        <v>1296.1569824000001</v>
      </c>
      <c r="I958">
        <v>1390.3666992000001</v>
      </c>
      <c r="J958">
        <v>1373.1253661999999</v>
      </c>
      <c r="K958">
        <v>0</v>
      </c>
      <c r="L958">
        <v>2050</v>
      </c>
      <c r="M958">
        <v>2050</v>
      </c>
      <c r="N958">
        <v>0</v>
      </c>
    </row>
    <row r="959" spans="1:14" x14ac:dyDescent="0.25">
      <c r="A959">
        <v>524.67490699999996</v>
      </c>
      <c r="B959" s="1">
        <f>DATE(2011,10,7) + TIME(16,11,51)</f>
        <v>40823.674895833334</v>
      </c>
      <c r="C959">
        <v>80</v>
      </c>
      <c r="D959">
        <v>78.935989379999995</v>
      </c>
      <c r="E959">
        <v>50</v>
      </c>
      <c r="F959">
        <v>49.922149658000002</v>
      </c>
      <c r="G959">
        <v>1306.5856934000001</v>
      </c>
      <c r="H959">
        <v>1296.1400146000001</v>
      </c>
      <c r="I959">
        <v>1390.2655029</v>
      </c>
      <c r="J959">
        <v>1373.0340576000001</v>
      </c>
      <c r="K959">
        <v>0</v>
      </c>
      <c r="L959">
        <v>2050</v>
      </c>
      <c r="M959">
        <v>2050</v>
      </c>
      <c r="N959">
        <v>0</v>
      </c>
    </row>
    <row r="960" spans="1:14" x14ac:dyDescent="0.25">
      <c r="A960">
        <v>525.12570000000005</v>
      </c>
      <c r="B960" s="1">
        <f>DATE(2011,10,8) + TIME(3,1,0)</f>
        <v>40824.125694444447</v>
      </c>
      <c r="C960">
        <v>80</v>
      </c>
      <c r="D960">
        <v>78.876426696999999</v>
      </c>
      <c r="E960">
        <v>50</v>
      </c>
      <c r="F960">
        <v>49.931640625</v>
      </c>
      <c r="G960">
        <v>1306.5701904</v>
      </c>
      <c r="H960">
        <v>1296.1226807</v>
      </c>
      <c r="I960">
        <v>1390.1702881000001</v>
      </c>
      <c r="J960">
        <v>1372.9476318</v>
      </c>
      <c r="K960">
        <v>0</v>
      </c>
      <c r="L960">
        <v>2050</v>
      </c>
      <c r="M960">
        <v>2050</v>
      </c>
      <c r="N960">
        <v>0</v>
      </c>
    </row>
    <row r="961" spans="1:14" x14ac:dyDescent="0.25">
      <c r="A961">
        <v>525.59083499999997</v>
      </c>
      <c r="B961" s="1">
        <f>DATE(2011,10,8) + TIME(14,10,48)</f>
        <v>40824.590833333335</v>
      </c>
      <c r="C961">
        <v>80</v>
      </c>
      <c r="D961">
        <v>78.815345764</v>
      </c>
      <c r="E961">
        <v>50</v>
      </c>
      <c r="F961">
        <v>49.938369751000003</v>
      </c>
      <c r="G961">
        <v>1306.5544434000001</v>
      </c>
      <c r="H961">
        <v>1296.1051024999999</v>
      </c>
      <c r="I961">
        <v>1390.0791016000001</v>
      </c>
      <c r="J961">
        <v>1372.864624</v>
      </c>
      <c r="K961">
        <v>0</v>
      </c>
      <c r="L961">
        <v>2050</v>
      </c>
      <c r="M961">
        <v>2050</v>
      </c>
      <c r="N961">
        <v>0</v>
      </c>
    </row>
    <row r="962" spans="1:14" x14ac:dyDescent="0.25">
      <c r="A962">
        <v>526.07486900000004</v>
      </c>
      <c r="B962" s="1">
        <f>DATE(2011,10,9) + TIME(1,47,48)</f>
        <v>40825.074861111112</v>
      </c>
      <c r="C962">
        <v>80</v>
      </c>
      <c r="D962">
        <v>78.752403259000005</v>
      </c>
      <c r="E962">
        <v>50</v>
      </c>
      <c r="F962">
        <v>49.943164824999997</v>
      </c>
      <c r="G962">
        <v>1306.5382079999999</v>
      </c>
      <c r="H962">
        <v>1296.0867920000001</v>
      </c>
      <c r="I962">
        <v>1389.9908447</v>
      </c>
      <c r="J962">
        <v>1372.7840576000001</v>
      </c>
      <c r="K962">
        <v>0</v>
      </c>
      <c r="L962">
        <v>2050</v>
      </c>
      <c r="M962">
        <v>2050</v>
      </c>
      <c r="N962">
        <v>0</v>
      </c>
    </row>
    <row r="963" spans="1:14" x14ac:dyDescent="0.25">
      <c r="A963">
        <v>526.58284800000001</v>
      </c>
      <c r="B963" s="1">
        <f>DATE(2011,10,9) + TIME(13,59,18)</f>
        <v>40825.58284722222</v>
      </c>
      <c r="C963">
        <v>80</v>
      </c>
      <c r="D963">
        <v>78.687141417999996</v>
      </c>
      <c r="E963">
        <v>50</v>
      </c>
      <c r="F963">
        <v>49.946586609000001</v>
      </c>
      <c r="G963">
        <v>1306.5212402</v>
      </c>
      <c r="H963">
        <v>1296.0678711</v>
      </c>
      <c r="I963">
        <v>1389.9044189000001</v>
      </c>
      <c r="J963">
        <v>1372.7050781</v>
      </c>
      <c r="K963">
        <v>0</v>
      </c>
      <c r="L963">
        <v>2050</v>
      </c>
      <c r="M963">
        <v>2050</v>
      </c>
      <c r="N963">
        <v>0</v>
      </c>
    </row>
    <row r="964" spans="1:14" x14ac:dyDescent="0.25">
      <c r="A964">
        <v>527.11835199999996</v>
      </c>
      <c r="B964" s="1">
        <f>DATE(2011,10,10) + TIME(2,50,25)</f>
        <v>40826.118344907409</v>
      </c>
      <c r="C964">
        <v>80</v>
      </c>
      <c r="D964">
        <v>78.619232178000004</v>
      </c>
      <c r="E964">
        <v>50</v>
      </c>
      <c r="F964">
        <v>49.949031830000003</v>
      </c>
      <c r="G964">
        <v>1306.5035399999999</v>
      </c>
      <c r="H964">
        <v>1296.0479736</v>
      </c>
      <c r="I964">
        <v>1389.8189697</v>
      </c>
      <c r="J964">
        <v>1372.6268310999999</v>
      </c>
      <c r="K964">
        <v>0</v>
      </c>
      <c r="L964">
        <v>2050</v>
      </c>
      <c r="M964">
        <v>2050</v>
      </c>
      <c r="N964">
        <v>0</v>
      </c>
    </row>
    <row r="965" spans="1:14" x14ac:dyDescent="0.25">
      <c r="A965">
        <v>527.67789400000004</v>
      </c>
      <c r="B965" s="1">
        <f>DATE(2011,10,10) + TIME(16,16,10)</f>
        <v>40826.677893518521</v>
      </c>
      <c r="C965">
        <v>80</v>
      </c>
      <c r="D965">
        <v>78.548889160000002</v>
      </c>
      <c r="E965">
        <v>50</v>
      </c>
      <c r="F965">
        <v>49.950763702000003</v>
      </c>
      <c r="G965">
        <v>1306.4848632999999</v>
      </c>
      <c r="H965">
        <v>1296.0270995999999</v>
      </c>
      <c r="I965">
        <v>1389.7340088000001</v>
      </c>
      <c r="J965">
        <v>1372.5491943</v>
      </c>
      <c r="K965">
        <v>0</v>
      </c>
      <c r="L965">
        <v>2050</v>
      </c>
      <c r="M965">
        <v>2050</v>
      </c>
      <c r="N965">
        <v>0</v>
      </c>
    </row>
    <row r="966" spans="1:14" x14ac:dyDescent="0.25">
      <c r="A966">
        <v>528.26733000000002</v>
      </c>
      <c r="B966" s="1">
        <f>DATE(2011,10,11) + TIME(6,24,57)</f>
        <v>40827.267326388886</v>
      </c>
      <c r="C966">
        <v>80</v>
      </c>
      <c r="D966">
        <v>78.475654602000006</v>
      </c>
      <c r="E966">
        <v>50</v>
      </c>
      <c r="F966">
        <v>49.952003478999998</v>
      </c>
      <c r="G966">
        <v>1306.465332</v>
      </c>
      <c r="H966">
        <v>1296.005249</v>
      </c>
      <c r="I966">
        <v>1389.6501464999999</v>
      </c>
      <c r="J966">
        <v>1372.4725341999999</v>
      </c>
      <c r="K966">
        <v>0</v>
      </c>
      <c r="L966">
        <v>2050</v>
      </c>
      <c r="M966">
        <v>2050</v>
      </c>
      <c r="N966">
        <v>0</v>
      </c>
    </row>
    <row r="967" spans="1:14" x14ac:dyDescent="0.25">
      <c r="A967">
        <v>528.893235</v>
      </c>
      <c r="B967" s="1">
        <f>DATE(2011,10,11) + TIME(21,26,15)</f>
        <v>40827.893229166664</v>
      </c>
      <c r="C967">
        <v>80</v>
      </c>
      <c r="D967">
        <v>78.398986816000004</v>
      </c>
      <c r="E967">
        <v>50</v>
      </c>
      <c r="F967">
        <v>49.952899932999998</v>
      </c>
      <c r="G967">
        <v>1306.4448242000001</v>
      </c>
      <c r="H967">
        <v>1295.9821777</v>
      </c>
      <c r="I967">
        <v>1389.5666504000001</v>
      </c>
      <c r="J967">
        <v>1372.3963623</v>
      </c>
      <c r="K967">
        <v>0</v>
      </c>
      <c r="L967">
        <v>2050</v>
      </c>
      <c r="M967">
        <v>2050</v>
      </c>
      <c r="N967">
        <v>0</v>
      </c>
    </row>
    <row r="968" spans="1:14" x14ac:dyDescent="0.25">
      <c r="A968">
        <v>529.56359799999996</v>
      </c>
      <c r="B968" s="1">
        <f>DATE(2011,10,12) + TIME(13,31,34)</f>
        <v>40828.563587962963</v>
      </c>
      <c r="C968">
        <v>80</v>
      </c>
      <c r="D968">
        <v>78.318191528</v>
      </c>
      <c r="E968">
        <v>50</v>
      </c>
      <c r="F968">
        <v>49.953556061</v>
      </c>
      <c r="G968">
        <v>1306.4230957</v>
      </c>
      <c r="H968">
        <v>1295.9577637</v>
      </c>
      <c r="I968">
        <v>1389.4829102000001</v>
      </c>
      <c r="J968">
        <v>1372.3199463000001</v>
      </c>
      <c r="K968">
        <v>0</v>
      </c>
      <c r="L968">
        <v>2050</v>
      </c>
      <c r="M968">
        <v>2050</v>
      </c>
      <c r="N968">
        <v>0</v>
      </c>
    </row>
    <row r="969" spans="1:14" x14ac:dyDescent="0.25">
      <c r="A969">
        <v>530.25957600000004</v>
      </c>
      <c r="B969" s="1">
        <f>DATE(2011,10,13) + TIME(6,13,47)</f>
        <v>40829.259571759256</v>
      </c>
      <c r="C969">
        <v>80</v>
      </c>
      <c r="D969">
        <v>78.234413146999998</v>
      </c>
      <c r="E969">
        <v>50</v>
      </c>
      <c r="F969">
        <v>49.954029083000002</v>
      </c>
      <c r="G969">
        <v>1306.3996582</v>
      </c>
      <c r="H969">
        <v>1295.9315185999999</v>
      </c>
      <c r="I969">
        <v>1389.3979492000001</v>
      </c>
      <c r="J969">
        <v>1372.2427978999999</v>
      </c>
      <c r="K969">
        <v>0</v>
      </c>
      <c r="L969">
        <v>2050</v>
      </c>
      <c r="M969">
        <v>2050</v>
      </c>
      <c r="N969">
        <v>0</v>
      </c>
    </row>
    <row r="970" spans="1:14" x14ac:dyDescent="0.25">
      <c r="A970">
        <v>530.96488399999998</v>
      </c>
      <c r="B970" s="1">
        <f>DATE(2011,10,13) + TIME(23,9,25)</f>
        <v>40829.964872685188</v>
      </c>
      <c r="C970">
        <v>80</v>
      </c>
      <c r="D970">
        <v>78.149078368999994</v>
      </c>
      <c r="E970">
        <v>50</v>
      </c>
      <c r="F970">
        <v>49.954368590999998</v>
      </c>
      <c r="G970">
        <v>1306.3752440999999</v>
      </c>
      <c r="H970">
        <v>1295.9042969</v>
      </c>
      <c r="I970">
        <v>1389.3146973</v>
      </c>
      <c r="J970">
        <v>1372.1671143000001</v>
      </c>
      <c r="K970">
        <v>0</v>
      </c>
      <c r="L970">
        <v>2050</v>
      </c>
      <c r="M970">
        <v>2050</v>
      </c>
      <c r="N970">
        <v>0</v>
      </c>
    </row>
    <row r="971" spans="1:14" x14ac:dyDescent="0.25">
      <c r="A971">
        <v>531.68647099999998</v>
      </c>
      <c r="B971" s="1">
        <f>DATE(2011,10,14) + TIME(16,28,31)</f>
        <v>40830.686469907407</v>
      </c>
      <c r="C971">
        <v>80</v>
      </c>
      <c r="D971">
        <v>78.062210082999997</v>
      </c>
      <c r="E971">
        <v>50</v>
      </c>
      <c r="F971">
        <v>49.954620361000003</v>
      </c>
      <c r="G971">
        <v>1306.3504639</v>
      </c>
      <c r="H971">
        <v>1295.8765868999999</v>
      </c>
      <c r="I971">
        <v>1389.2347411999999</v>
      </c>
      <c r="J971">
        <v>1372.0946045000001</v>
      </c>
      <c r="K971">
        <v>0</v>
      </c>
      <c r="L971">
        <v>2050</v>
      </c>
      <c r="M971">
        <v>2050</v>
      </c>
      <c r="N971">
        <v>0</v>
      </c>
    </row>
    <row r="972" spans="1:14" x14ac:dyDescent="0.25">
      <c r="A972">
        <v>532.43120999999996</v>
      </c>
      <c r="B972" s="1">
        <f>DATE(2011,10,15) + TIME(10,20,56)</f>
        <v>40831.431203703702</v>
      </c>
      <c r="C972">
        <v>80</v>
      </c>
      <c r="D972">
        <v>77.973518372000001</v>
      </c>
      <c r="E972">
        <v>50</v>
      </c>
      <c r="F972">
        <v>49.954811096</v>
      </c>
      <c r="G972">
        <v>1306.3250731999999</v>
      </c>
      <c r="H972">
        <v>1295.8482666</v>
      </c>
      <c r="I972">
        <v>1389.1572266000001</v>
      </c>
      <c r="J972">
        <v>1372.0245361</v>
      </c>
      <c r="K972">
        <v>0</v>
      </c>
      <c r="L972">
        <v>2050</v>
      </c>
      <c r="M972">
        <v>2050</v>
      </c>
      <c r="N972">
        <v>0</v>
      </c>
    </row>
    <row r="973" spans="1:14" x14ac:dyDescent="0.25">
      <c r="A973">
        <v>533.20643299999995</v>
      </c>
      <c r="B973" s="1">
        <f>DATE(2011,10,16) + TIME(4,57,15)</f>
        <v>40832.206423611111</v>
      </c>
      <c r="C973">
        <v>80</v>
      </c>
      <c r="D973">
        <v>77.882514954000001</v>
      </c>
      <c r="E973">
        <v>50</v>
      </c>
      <c r="F973">
        <v>49.954959869</v>
      </c>
      <c r="G973">
        <v>1306.2989502</v>
      </c>
      <c r="H973">
        <v>1295.8188477000001</v>
      </c>
      <c r="I973">
        <v>1389.0811768000001</v>
      </c>
      <c r="J973">
        <v>1371.9558105000001</v>
      </c>
      <c r="K973">
        <v>0</v>
      </c>
      <c r="L973">
        <v>2050</v>
      </c>
      <c r="M973">
        <v>2050</v>
      </c>
      <c r="N973">
        <v>0</v>
      </c>
    </row>
    <row r="974" spans="1:14" x14ac:dyDescent="0.25">
      <c r="A974">
        <v>534.02040499999998</v>
      </c>
      <c r="B974" s="1">
        <f>DATE(2011,10,17) + TIME(0,29,23)</f>
        <v>40833.020405092589</v>
      </c>
      <c r="C974">
        <v>80</v>
      </c>
      <c r="D974">
        <v>77.788543700999995</v>
      </c>
      <c r="E974">
        <v>50</v>
      </c>
      <c r="F974">
        <v>49.955081939999999</v>
      </c>
      <c r="G974">
        <v>1306.2717285000001</v>
      </c>
      <c r="H974">
        <v>1295.7882079999999</v>
      </c>
      <c r="I974">
        <v>1389.0058594</v>
      </c>
      <c r="J974">
        <v>1371.8879394999999</v>
      </c>
      <c r="K974">
        <v>0</v>
      </c>
      <c r="L974">
        <v>2050</v>
      </c>
      <c r="M974">
        <v>2050</v>
      </c>
      <c r="N974">
        <v>0</v>
      </c>
    </row>
    <row r="975" spans="1:14" x14ac:dyDescent="0.25">
      <c r="A975">
        <v>534.87285299999996</v>
      </c>
      <c r="B975" s="1">
        <f>DATE(2011,10,17) + TIME(20,56,54)</f>
        <v>40833.872847222221</v>
      </c>
      <c r="C975">
        <v>80</v>
      </c>
      <c r="D975">
        <v>77.691398621000005</v>
      </c>
      <c r="E975">
        <v>50</v>
      </c>
      <c r="F975">
        <v>49.955181121999999</v>
      </c>
      <c r="G975">
        <v>1306.2429199000001</v>
      </c>
      <c r="H975">
        <v>1295.7558594</v>
      </c>
      <c r="I975">
        <v>1388.9306641000001</v>
      </c>
      <c r="J975">
        <v>1371.8203125</v>
      </c>
      <c r="K975">
        <v>0</v>
      </c>
      <c r="L975">
        <v>2050</v>
      </c>
      <c r="M975">
        <v>2050</v>
      </c>
      <c r="N975">
        <v>0</v>
      </c>
    </row>
    <row r="976" spans="1:14" x14ac:dyDescent="0.25">
      <c r="A976">
        <v>535.75659499999995</v>
      </c>
      <c r="B976" s="1">
        <f>DATE(2011,10,18) + TIME(18,9,29)</f>
        <v>40834.756585648145</v>
      </c>
      <c r="C976">
        <v>80</v>
      </c>
      <c r="D976">
        <v>77.591445922999995</v>
      </c>
      <c r="E976">
        <v>50</v>
      </c>
      <c r="F976">
        <v>49.955261229999998</v>
      </c>
      <c r="G976">
        <v>1306.2127685999999</v>
      </c>
      <c r="H976">
        <v>1295.7219238</v>
      </c>
      <c r="I976">
        <v>1388.8557129000001</v>
      </c>
      <c r="J976">
        <v>1371.7529297000001</v>
      </c>
      <c r="K976">
        <v>0</v>
      </c>
      <c r="L976">
        <v>2050</v>
      </c>
      <c r="M976">
        <v>2050</v>
      </c>
      <c r="N976">
        <v>0</v>
      </c>
    </row>
    <row r="977" spans="1:14" x14ac:dyDescent="0.25">
      <c r="A977">
        <v>536.68043599999999</v>
      </c>
      <c r="B977" s="1">
        <f>DATE(2011,10,19) + TIME(16,19,49)</f>
        <v>40835.680428240739</v>
      </c>
      <c r="C977">
        <v>80</v>
      </c>
      <c r="D977">
        <v>77.488319396999998</v>
      </c>
      <c r="E977">
        <v>50</v>
      </c>
      <c r="F977">
        <v>49.955329894999998</v>
      </c>
      <c r="G977">
        <v>1306.1812743999999</v>
      </c>
      <c r="H977">
        <v>1295.6866454999999</v>
      </c>
      <c r="I977">
        <v>1388.7817382999999</v>
      </c>
      <c r="J977">
        <v>1371.6865233999999</v>
      </c>
      <c r="K977">
        <v>0</v>
      </c>
      <c r="L977">
        <v>2050</v>
      </c>
      <c r="M977">
        <v>2050</v>
      </c>
      <c r="N977">
        <v>0</v>
      </c>
    </row>
    <row r="978" spans="1:14" x14ac:dyDescent="0.25">
      <c r="A978">
        <v>537.63057000000003</v>
      </c>
      <c r="B978" s="1">
        <f>DATE(2011,10,20) + TIME(15,8,1)</f>
        <v>40836.630567129629</v>
      </c>
      <c r="C978">
        <v>80</v>
      </c>
      <c r="D978">
        <v>77.382751464999998</v>
      </c>
      <c r="E978">
        <v>50</v>
      </c>
      <c r="F978">
        <v>49.95539093</v>
      </c>
      <c r="G978">
        <v>1306.1483154</v>
      </c>
      <c r="H978">
        <v>1295.6495361</v>
      </c>
      <c r="I978">
        <v>1388.7080077999999</v>
      </c>
      <c r="J978">
        <v>1371.6206055</v>
      </c>
      <c r="K978">
        <v>0</v>
      </c>
      <c r="L978">
        <v>2050</v>
      </c>
      <c r="M978">
        <v>2050</v>
      </c>
      <c r="N978">
        <v>0</v>
      </c>
    </row>
    <row r="979" spans="1:14" x14ac:dyDescent="0.25">
      <c r="A979">
        <v>538.59869400000002</v>
      </c>
      <c r="B979" s="1">
        <f>DATE(2011,10,21) + TIME(14,22,7)</f>
        <v>40837.598692129628</v>
      </c>
      <c r="C979">
        <v>80</v>
      </c>
      <c r="D979">
        <v>77.275550842000001</v>
      </c>
      <c r="E979">
        <v>50</v>
      </c>
      <c r="F979">
        <v>49.955444335999999</v>
      </c>
      <c r="G979">
        <v>1306.1141356999999</v>
      </c>
      <c r="H979">
        <v>1295.6110839999999</v>
      </c>
      <c r="I979">
        <v>1388.6357422000001</v>
      </c>
      <c r="J979">
        <v>1371.5559082</v>
      </c>
      <c r="K979">
        <v>0</v>
      </c>
      <c r="L979">
        <v>2050</v>
      </c>
      <c r="M979">
        <v>2050</v>
      </c>
      <c r="N979">
        <v>0</v>
      </c>
    </row>
    <row r="980" spans="1:14" x14ac:dyDescent="0.25">
      <c r="A980">
        <v>539.59456799999998</v>
      </c>
      <c r="B980" s="1">
        <f>DATE(2011,10,22) + TIME(14,16,10)</f>
        <v>40838.594560185185</v>
      </c>
      <c r="C980">
        <v>80</v>
      </c>
      <c r="D980">
        <v>77.166603088000002</v>
      </c>
      <c r="E980">
        <v>50</v>
      </c>
      <c r="F980">
        <v>49.955493926999999</v>
      </c>
      <c r="G980">
        <v>1306.0792236</v>
      </c>
      <c r="H980">
        <v>1295.5716553</v>
      </c>
      <c r="I980">
        <v>1388.5655518000001</v>
      </c>
      <c r="J980">
        <v>1371.4932861</v>
      </c>
      <c r="K980">
        <v>0</v>
      </c>
      <c r="L980">
        <v>2050</v>
      </c>
      <c r="M980">
        <v>2050</v>
      </c>
      <c r="N980">
        <v>0</v>
      </c>
    </row>
    <row r="981" spans="1:14" x14ac:dyDescent="0.25">
      <c r="A981">
        <v>540.62839799999995</v>
      </c>
      <c r="B981" s="1">
        <f>DATE(2011,10,23) + TIME(15,4,53)</f>
        <v>40839.628391203703</v>
      </c>
      <c r="C981">
        <v>80</v>
      </c>
      <c r="D981">
        <v>77.055358886999997</v>
      </c>
      <c r="E981">
        <v>50</v>
      </c>
      <c r="F981">
        <v>49.955539702999999</v>
      </c>
      <c r="G981">
        <v>1306.0432129000001</v>
      </c>
      <c r="H981">
        <v>1295.5308838000001</v>
      </c>
      <c r="I981">
        <v>1388.496582</v>
      </c>
      <c r="J981">
        <v>1371.4316406</v>
      </c>
      <c r="K981">
        <v>0</v>
      </c>
      <c r="L981">
        <v>2050</v>
      </c>
      <c r="M981">
        <v>2050</v>
      </c>
      <c r="N981">
        <v>0</v>
      </c>
    </row>
    <row r="982" spans="1:14" x14ac:dyDescent="0.25">
      <c r="A982">
        <v>541.71167500000001</v>
      </c>
      <c r="B982" s="1">
        <f>DATE(2011,10,24) + TIME(17,4,48)</f>
        <v>40840.71166666667</v>
      </c>
      <c r="C982">
        <v>80</v>
      </c>
      <c r="D982">
        <v>76.941017150999997</v>
      </c>
      <c r="E982">
        <v>50</v>
      </c>
      <c r="F982">
        <v>49.955589293999999</v>
      </c>
      <c r="G982">
        <v>1306.0054932</v>
      </c>
      <c r="H982">
        <v>1295.4881591999999</v>
      </c>
      <c r="I982">
        <v>1388.4281006000001</v>
      </c>
      <c r="J982">
        <v>1371.3707274999999</v>
      </c>
      <c r="K982">
        <v>0</v>
      </c>
      <c r="L982">
        <v>2050</v>
      </c>
      <c r="M982">
        <v>2050</v>
      </c>
      <c r="N982">
        <v>0</v>
      </c>
    </row>
    <row r="983" spans="1:14" x14ac:dyDescent="0.25">
      <c r="A983">
        <v>542.85793999999999</v>
      </c>
      <c r="B983" s="1">
        <f>DATE(2011,10,25) + TIME(20,35,25)</f>
        <v>40841.857928240737</v>
      </c>
      <c r="C983">
        <v>80</v>
      </c>
      <c r="D983">
        <v>76.822547912999994</v>
      </c>
      <c r="E983">
        <v>50</v>
      </c>
      <c r="F983">
        <v>49.955635071000003</v>
      </c>
      <c r="G983">
        <v>1305.9658202999999</v>
      </c>
      <c r="H983">
        <v>1295.4431152</v>
      </c>
      <c r="I983">
        <v>1388.3594971</v>
      </c>
      <c r="J983">
        <v>1371.3096923999999</v>
      </c>
      <c r="K983">
        <v>0</v>
      </c>
      <c r="L983">
        <v>2050</v>
      </c>
      <c r="M983">
        <v>2050</v>
      </c>
      <c r="N983">
        <v>0</v>
      </c>
    </row>
    <row r="984" spans="1:14" x14ac:dyDescent="0.25">
      <c r="A984">
        <v>544.045299</v>
      </c>
      <c r="B984" s="1">
        <f>DATE(2011,10,27) + TIME(1,5,13)</f>
        <v>40843.045289351852</v>
      </c>
      <c r="C984">
        <v>80</v>
      </c>
      <c r="D984">
        <v>76.700508118000002</v>
      </c>
      <c r="E984">
        <v>50</v>
      </c>
      <c r="F984">
        <v>49.955684662000003</v>
      </c>
      <c r="G984">
        <v>1305.9234618999999</v>
      </c>
      <c r="H984">
        <v>1295.3950195</v>
      </c>
      <c r="I984">
        <v>1388.2900391000001</v>
      </c>
      <c r="J984">
        <v>1371.2479248</v>
      </c>
      <c r="K984">
        <v>0</v>
      </c>
      <c r="L984">
        <v>2050</v>
      </c>
      <c r="M984">
        <v>2050</v>
      </c>
      <c r="N984">
        <v>0</v>
      </c>
    </row>
    <row r="985" spans="1:14" x14ac:dyDescent="0.25">
      <c r="A985">
        <v>545.268191</v>
      </c>
      <c r="B985" s="1">
        <f>DATE(2011,10,28) + TIME(6,26,11)</f>
        <v>40844.268182870372</v>
      </c>
      <c r="C985">
        <v>80</v>
      </c>
      <c r="D985">
        <v>76.575630188000005</v>
      </c>
      <c r="E985">
        <v>50</v>
      </c>
      <c r="F985">
        <v>49.955730438000003</v>
      </c>
      <c r="G985">
        <v>1305.8792725000001</v>
      </c>
      <c r="H985">
        <v>1295.3447266000001</v>
      </c>
      <c r="I985">
        <v>1388.2213135</v>
      </c>
      <c r="J985">
        <v>1371.1868896000001</v>
      </c>
      <c r="K985">
        <v>0</v>
      </c>
      <c r="L985">
        <v>2050</v>
      </c>
      <c r="M985">
        <v>2050</v>
      </c>
      <c r="N985">
        <v>0</v>
      </c>
    </row>
    <row r="986" spans="1:14" x14ac:dyDescent="0.25">
      <c r="A986">
        <v>546.52271800000005</v>
      </c>
      <c r="B986" s="1">
        <f>DATE(2011,10,29) + TIME(12,32,42)</f>
        <v>40845.52270833333</v>
      </c>
      <c r="C986">
        <v>80</v>
      </c>
      <c r="D986">
        <v>76.448547363000003</v>
      </c>
      <c r="E986">
        <v>50</v>
      </c>
      <c r="F986">
        <v>49.955780029000003</v>
      </c>
      <c r="G986">
        <v>1305.8332519999999</v>
      </c>
      <c r="H986">
        <v>1295.2923584</v>
      </c>
      <c r="I986">
        <v>1388.1535644999999</v>
      </c>
      <c r="J986">
        <v>1371.1268310999999</v>
      </c>
      <c r="K986">
        <v>0</v>
      </c>
      <c r="L986">
        <v>2050</v>
      </c>
      <c r="M986">
        <v>2050</v>
      </c>
      <c r="N986">
        <v>0</v>
      </c>
    </row>
    <row r="987" spans="1:14" x14ac:dyDescent="0.25">
      <c r="A987">
        <v>547.80507699999998</v>
      </c>
      <c r="B987" s="1">
        <f>DATE(2011,10,30) + TIME(19,19,18)</f>
        <v>40846.805069444446</v>
      </c>
      <c r="C987">
        <v>80</v>
      </c>
      <c r="D987">
        <v>76.319816588999998</v>
      </c>
      <c r="E987">
        <v>50</v>
      </c>
      <c r="F987">
        <v>49.955829620000003</v>
      </c>
      <c r="G987">
        <v>1305.7856445</v>
      </c>
      <c r="H987">
        <v>1295.2379149999999</v>
      </c>
      <c r="I987">
        <v>1388.0869141000001</v>
      </c>
      <c r="J987">
        <v>1371.0678711</v>
      </c>
      <c r="K987">
        <v>0</v>
      </c>
      <c r="L987">
        <v>2050</v>
      </c>
      <c r="M987">
        <v>2050</v>
      </c>
      <c r="N987">
        <v>0</v>
      </c>
    </row>
    <row r="988" spans="1:14" x14ac:dyDescent="0.25">
      <c r="A988">
        <v>549</v>
      </c>
      <c r="B988" s="1">
        <f>DATE(2011,11,1) + TIME(0,0,0)</f>
        <v>40848</v>
      </c>
      <c r="C988">
        <v>80</v>
      </c>
      <c r="D988">
        <v>76.195037842000005</v>
      </c>
      <c r="E988">
        <v>50</v>
      </c>
      <c r="F988">
        <v>49.955875397</v>
      </c>
      <c r="G988">
        <v>1305.7362060999999</v>
      </c>
      <c r="H988">
        <v>1295.1817627</v>
      </c>
      <c r="I988">
        <v>1388.0217285000001</v>
      </c>
      <c r="J988">
        <v>1371.0101318</v>
      </c>
      <c r="K988">
        <v>0</v>
      </c>
      <c r="L988">
        <v>2050</v>
      </c>
      <c r="M988">
        <v>2050</v>
      </c>
      <c r="N988">
        <v>0</v>
      </c>
    </row>
    <row r="989" spans="1:14" x14ac:dyDescent="0.25">
      <c r="A989">
        <v>550.32184600000005</v>
      </c>
      <c r="B989" s="1">
        <f>DATE(2011,11,2) + TIME(7,43,27)</f>
        <v>40849.321840277778</v>
      </c>
      <c r="C989">
        <v>80</v>
      </c>
      <c r="D989">
        <v>76.067977905000006</v>
      </c>
      <c r="E989">
        <v>50</v>
      </c>
      <c r="F989">
        <v>49.955928802000003</v>
      </c>
      <c r="G989">
        <v>1305.6900635</v>
      </c>
      <c r="H989">
        <v>1295.1280518000001</v>
      </c>
      <c r="I989">
        <v>1387.963501</v>
      </c>
      <c r="J989">
        <v>1370.9586182</v>
      </c>
      <c r="K989">
        <v>0</v>
      </c>
      <c r="L989">
        <v>2050</v>
      </c>
      <c r="M989">
        <v>2050</v>
      </c>
      <c r="N989">
        <v>0</v>
      </c>
    </row>
    <row r="990" spans="1:14" x14ac:dyDescent="0.25">
      <c r="A990">
        <v>551.73306300000002</v>
      </c>
      <c r="B990" s="1">
        <f>DATE(2011,11,3) + TIME(17,35,36)</f>
        <v>40850.733055555553</v>
      </c>
      <c r="C990">
        <v>80</v>
      </c>
      <c r="D990">
        <v>75.935882567999997</v>
      </c>
      <c r="E990">
        <v>50</v>
      </c>
      <c r="F990">
        <v>49.955986023000001</v>
      </c>
      <c r="G990">
        <v>1305.6383057</v>
      </c>
      <c r="H990">
        <v>1295.0683594</v>
      </c>
      <c r="I990">
        <v>1387.9014893000001</v>
      </c>
      <c r="J990">
        <v>1370.9039307</v>
      </c>
      <c r="K990">
        <v>0</v>
      </c>
      <c r="L990">
        <v>2050</v>
      </c>
      <c r="M990">
        <v>2050</v>
      </c>
      <c r="N990">
        <v>0</v>
      </c>
    </row>
    <row r="991" spans="1:14" x14ac:dyDescent="0.25">
      <c r="A991">
        <v>553.21133499999996</v>
      </c>
      <c r="B991" s="1">
        <f>DATE(2011,11,5) + TIME(5,4,19)</f>
        <v>40852.211331018516</v>
      </c>
      <c r="C991">
        <v>80</v>
      </c>
      <c r="D991">
        <v>75.798683166999993</v>
      </c>
      <c r="E991">
        <v>50</v>
      </c>
      <c r="F991">
        <v>49.956043243000003</v>
      </c>
      <c r="G991">
        <v>1305.5825195</v>
      </c>
      <c r="H991">
        <v>1295.0037841999999</v>
      </c>
      <c r="I991">
        <v>1387.8378906</v>
      </c>
      <c r="J991">
        <v>1370.8476562000001</v>
      </c>
      <c r="K991">
        <v>0</v>
      </c>
      <c r="L991">
        <v>2050</v>
      </c>
      <c r="M991">
        <v>2050</v>
      </c>
      <c r="N991">
        <v>0</v>
      </c>
    </row>
    <row r="992" spans="1:14" x14ac:dyDescent="0.25">
      <c r="A992">
        <v>554.75471700000003</v>
      </c>
      <c r="B992" s="1">
        <f>DATE(2011,11,6) + TIME(18,6,47)</f>
        <v>40853.754710648151</v>
      </c>
      <c r="C992">
        <v>80</v>
      </c>
      <c r="D992">
        <v>75.656883239999999</v>
      </c>
      <c r="E992">
        <v>50</v>
      </c>
      <c r="F992">
        <v>49.956104279000002</v>
      </c>
      <c r="G992">
        <v>1305.5230713000001</v>
      </c>
      <c r="H992">
        <v>1294.9350586</v>
      </c>
      <c r="I992">
        <v>1387.7738036999999</v>
      </c>
      <c r="J992">
        <v>1370.7912598</v>
      </c>
      <c r="K992">
        <v>0</v>
      </c>
      <c r="L992">
        <v>2050</v>
      </c>
      <c r="M992">
        <v>2050</v>
      </c>
      <c r="N992">
        <v>0</v>
      </c>
    </row>
    <row r="993" spans="1:14" x14ac:dyDescent="0.25">
      <c r="A993">
        <v>556.31681200000003</v>
      </c>
      <c r="B993" s="1">
        <f>DATE(2011,11,8) + TIME(7,36,12)</f>
        <v>40855.316805555558</v>
      </c>
      <c r="C993">
        <v>80</v>
      </c>
      <c r="D993">
        <v>75.512542725000003</v>
      </c>
      <c r="E993">
        <v>50</v>
      </c>
      <c r="F993">
        <v>49.956169127999999</v>
      </c>
      <c r="G993">
        <v>1305.4602050999999</v>
      </c>
      <c r="H993">
        <v>1294.8619385</v>
      </c>
      <c r="I993">
        <v>1387.7097168</v>
      </c>
      <c r="J993">
        <v>1370.7347411999999</v>
      </c>
      <c r="K993">
        <v>0</v>
      </c>
      <c r="L993">
        <v>2050</v>
      </c>
      <c r="M993">
        <v>2050</v>
      </c>
      <c r="N993">
        <v>0</v>
      </c>
    </row>
    <row r="994" spans="1:14" x14ac:dyDescent="0.25">
      <c r="A994">
        <v>557.90093100000001</v>
      </c>
      <c r="B994" s="1">
        <f>DATE(2011,11,9) + TIME(21,37,20)</f>
        <v>40856.900925925926</v>
      </c>
      <c r="C994">
        <v>80</v>
      </c>
      <c r="D994">
        <v>75.367309570000003</v>
      </c>
      <c r="E994">
        <v>50</v>
      </c>
      <c r="F994">
        <v>49.956230163999997</v>
      </c>
      <c r="G994">
        <v>1305.3955077999999</v>
      </c>
      <c r="H994">
        <v>1294.7863769999999</v>
      </c>
      <c r="I994">
        <v>1387.6473389</v>
      </c>
      <c r="J994">
        <v>1370.6798096</v>
      </c>
      <c r="K994">
        <v>0</v>
      </c>
      <c r="L994">
        <v>2050</v>
      </c>
      <c r="M994">
        <v>2050</v>
      </c>
      <c r="N994">
        <v>0</v>
      </c>
    </row>
    <row r="995" spans="1:14" x14ac:dyDescent="0.25">
      <c r="A995">
        <v>559.52289900000005</v>
      </c>
      <c r="B995" s="1">
        <f>DATE(2011,11,11) + TIME(12,32,58)</f>
        <v>40858.522893518515</v>
      </c>
      <c r="C995">
        <v>80</v>
      </c>
      <c r="D995">
        <v>75.221260071000003</v>
      </c>
      <c r="E995">
        <v>50</v>
      </c>
      <c r="F995">
        <v>49.956295013000002</v>
      </c>
      <c r="G995">
        <v>1305.3288574000001</v>
      </c>
      <c r="H995">
        <v>1294.7081298999999</v>
      </c>
      <c r="I995">
        <v>1387.5866699000001</v>
      </c>
      <c r="J995">
        <v>1370.6262207</v>
      </c>
      <c r="K995">
        <v>0</v>
      </c>
      <c r="L995">
        <v>2050</v>
      </c>
      <c r="M995">
        <v>2050</v>
      </c>
      <c r="N995">
        <v>0</v>
      </c>
    </row>
    <row r="996" spans="1:14" x14ac:dyDescent="0.25">
      <c r="A996">
        <v>561.19926399999997</v>
      </c>
      <c r="B996" s="1">
        <f>DATE(2011,11,13) + TIME(4,46,56)</f>
        <v>40860.199259259258</v>
      </c>
      <c r="C996">
        <v>80</v>
      </c>
      <c r="D996">
        <v>75.073600768999995</v>
      </c>
      <c r="E996">
        <v>50</v>
      </c>
      <c r="F996">
        <v>49.956363678000002</v>
      </c>
      <c r="G996">
        <v>1305.2595214999999</v>
      </c>
      <c r="H996">
        <v>1294.6263428</v>
      </c>
      <c r="I996">
        <v>1387.5267334</v>
      </c>
      <c r="J996">
        <v>1370.5736084</v>
      </c>
      <c r="K996">
        <v>0</v>
      </c>
      <c r="L996">
        <v>2050</v>
      </c>
      <c r="M996">
        <v>2050</v>
      </c>
      <c r="N996">
        <v>0</v>
      </c>
    </row>
    <row r="997" spans="1:14" x14ac:dyDescent="0.25">
      <c r="A997">
        <v>562.94844999999998</v>
      </c>
      <c r="B997" s="1">
        <f>DATE(2011,11,14) + TIME(22,45,46)</f>
        <v>40861.948449074072</v>
      </c>
      <c r="C997">
        <v>80</v>
      </c>
      <c r="D997">
        <v>74.923133849999999</v>
      </c>
      <c r="E997">
        <v>50</v>
      </c>
      <c r="F997">
        <v>49.956436156999999</v>
      </c>
      <c r="G997">
        <v>1305.1865233999999</v>
      </c>
      <c r="H997">
        <v>1294.5399170000001</v>
      </c>
      <c r="I997">
        <v>1387.4672852000001</v>
      </c>
      <c r="J997">
        <v>1370.5212402</v>
      </c>
      <c r="K997">
        <v>0</v>
      </c>
      <c r="L997">
        <v>2050</v>
      </c>
      <c r="M997">
        <v>2050</v>
      </c>
      <c r="N997">
        <v>0</v>
      </c>
    </row>
    <row r="998" spans="1:14" x14ac:dyDescent="0.25">
      <c r="A998">
        <v>564.78604900000005</v>
      </c>
      <c r="B998" s="1">
        <f>DATE(2011,11,16) + TIME(18,51,54)</f>
        <v>40863.786041666666</v>
      </c>
      <c r="C998">
        <v>80</v>
      </c>
      <c r="D998">
        <v>74.768615722999996</v>
      </c>
      <c r="E998">
        <v>50</v>
      </c>
      <c r="F998">
        <v>49.956508636000002</v>
      </c>
      <c r="G998">
        <v>1305.1091309000001</v>
      </c>
      <c r="H998">
        <v>1294.4477539</v>
      </c>
      <c r="I998">
        <v>1387.4074707</v>
      </c>
      <c r="J998">
        <v>1370.4686279</v>
      </c>
      <c r="K998">
        <v>0</v>
      </c>
      <c r="L998">
        <v>2050</v>
      </c>
      <c r="M998">
        <v>2050</v>
      </c>
      <c r="N998">
        <v>0</v>
      </c>
    </row>
    <row r="999" spans="1:14" x14ac:dyDescent="0.25">
      <c r="A999">
        <v>566.645309</v>
      </c>
      <c r="B999" s="1">
        <f>DATE(2011,11,18) + TIME(15,29,14)</f>
        <v>40865.645300925928</v>
      </c>
      <c r="C999">
        <v>80</v>
      </c>
      <c r="D999">
        <v>74.611366271999998</v>
      </c>
      <c r="E999">
        <v>50</v>
      </c>
      <c r="F999">
        <v>49.956584929999998</v>
      </c>
      <c r="G999">
        <v>1305.0261230000001</v>
      </c>
      <c r="H999">
        <v>1294.3488769999999</v>
      </c>
      <c r="I999">
        <v>1387.3469238</v>
      </c>
      <c r="J999">
        <v>1370.4154053</v>
      </c>
      <c r="K999">
        <v>0</v>
      </c>
      <c r="L999">
        <v>2050</v>
      </c>
      <c r="M999">
        <v>2050</v>
      </c>
      <c r="N999">
        <v>0</v>
      </c>
    </row>
    <row r="1000" spans="1:14" x14ac:dyDescent="0.25">
      <c r="A1000">
        <v>568.545886</v>
      </c>
      <c r="B1000" s="1">
        <f>DATE(2011,11,20) + TIME(13,6,4)</f>
        <v>40867.54587962963</v>
      </c>
      <c r="C1000">
        <v>80</v>
      </c>
      <c r="D1000">
        <v>74.452934264999996</v>
      </c>
      <c r="E1000">
        <v>50</v>
      </c>
      <c r="F1000">
        <v>49.956661224000001</v>
      </c>
      <c r="G1000">
        <v>1304.9403076000001</v>
      </c>
      <c r="H1000">
        <v>1294.2459716999999</v>
      </c>
      <c r="I1000">
        <v>1387.2879639</v>
      </c>
      <c r="J1000">
        <v>1370.3635254000001</v>
      </c>
      <c r="K1000">
        <v>0</v>
      </c>
      <c r="L1000">
        <v>2050</v>
      </c>
      <c r="M1000">
        <v>2050</v>
      </c>
      <c r="N1000">
        <v>0</v>
      </c>
    </row>
    <row r="1001" spans="1:14" x14ac:dyDescent="0.25">
      <c r="A1001">
        <v>570.48302699999999</v>
      </c>
      <c r="B1001" s="1">
        <f>DATE(2011,11,22) + TIME(11,35,33)</f>
        <v>40869.483020833337</v>
      </c>
      <c r="C1001">
        <v>80</v>
      </c>
      <c r="D1001">
        <v>74.293563843000001</v>
      </c>
      <c r="E1001">
        <v>50</v>
      </c>
      <c r="F1001">
        <v>49.956741332999997</v>
      </c>
      <c r="G1001">
        <v>1304.8507079999999</v>
      </c>
      <c r="H1001">
        <v>1294.1379394999999</v>
      </c>
      <c r="I1001">
        <v>1387.2298584</v>
      </c>
      <c r="J1001">
        <v>1370.3125</v>
      </c>
      <c r="K1001">
        <v>0</v>
      </c>
      <c r="L1001">
        <v>2050</v>
      </c>
      <c r="M1001">
        <v>2050</v>
      </c>
      <c r="N1001">
        <v>0</v>
      </c>
    </row>
    <row r="1002" spans="1:14" x14ac:dyDescent="0.25">
      <c r="A1002">
        <v>572.47286499999996</v>
      </c>
      <c r="B1002" s="1">
        <f>DATE(2011,11,24) + TIME(11,20,55)</f>
        <v>40871.472858796296</v>
      </c>
      <c r="C1002">
        <v>80</v>
      </c>
      <c r="D1002">
        <v>74.133033752000003</v>
      </c>
      <c r="E1002">
        <v>50</v>
      </c>
      <c r="F1002">
        <v>49.956825256000002</v>
      </c>
      <c r="G1002">
        <v>1304.7574463000001</v>
      </c>
      <c r="H1002">
        <v>1294.0247803</v>
      </c>
      <c r="I1002">
        <v>1387.1728516000001</v>
      </c>
      <c r="J1002">
        <v>1370.2623291</v>
      </c>
      <c r="K1002">
        <v>0</v>
      </c>
      <c r="L1002">
        <v>2050</v>
      </c>
      <c r="M1002">
        <v>2050</v>
      </c>
      <c r="N1002">
        <v>0</v>
      </c>
    </row>
    <row r="1003" spans="1:14" x14ac:dyDescent="0.25">
      <c r="A1003">
        <v>574.53528400000005</v>
      </c>
      <c r="B1003" s="1">
        <f>DATE(2011,11,26) + TIME(12,50,48)</f>
        <v>40873.535277777781</v>
      </c>
      <c r="C1003">
        <v>80</v>
      </c>
      <c r="D1003">
        <v>73.970367432000003</v>
      </c>
      <c r="E1003">
        <v>50</v>
      </c>
      <c r="F1003">
        <v>49.956909179999997</v>
      </c>
      <c r="G1003">
        <v>1304.6595459</v>
      </c>
      <c r="H1003">
        <v>1293.9053954999999</v>
      </c>
      <c r="I1003">
        <v>1387.1163329999999</v>
      </c>
      <c r="J1003">
        <v>1370.2126464999999</v>
      </c>
      <c r="K1003">
        <v>0</v>
      </c>
      <c r="L1003">
        <v>2050</v>
      </c>
      <c r="M1003">
        <v>2050</v>
      </c>
      <c r="N1003">
        <v>0</v>
      </c>
    </row>
    <row r="1004" spans="1:14" x14ac:dyDescent="0.25">
      <c r="A1004">
        <v>576.67609600000003</v>
      </c>
      <c r="B1004" s="1">
        <f>DATE(2011,11,28) + TIME(16,13,34)</f>
        <v>40875.676087962966</v>
      </c>
      <c r="C1004">
        <v>80</v>
      </c>
      <c r="D1004">
        <v>73.804649353000002</v>
      </c>
      <c r="E1004">
        <v>50</v>
      </c>
      <c r="F1004">
        <v>49.956996918000002</v>
      </c>
      <c r="G1004">
        <v>1304.5556641000001</v>
      </c>
      <c r="H1004">
        <v>1293.7783202999999</v>
      </c>
      <c r="I1004">
        <v>1387.0598144999999</v>
      </c>
      <c r="J1004">
        <v>1370.1629639</v>
      </c>
      <c r="K1004">
        <v>0</v>
      </c>
      <c r="L1004">
        <v>2050</v>
      </c>
      <c r="M1004">
        <v>2050</v>
      </c>
      <c r="N1004">
        <v>0</v>
      </c>
    </row>
    <row r="1005" spans="1:14" x14ac:dyDescent="0.25">
      <c r="A1005">
        <v>578.82342000000006</v>
      </c>
      <c r="B1005" s="1">
        <f>DATE(2011,11,30) + TIME(19,45,43)</f>
        <v>40877.823414351849</v>
      </c>
      <c r="C1005">
        <v>80</v>
      </c>
      <c r="D1005">
        <v>73.637260436999995</v>
      </c>
      <c r="E1005">
        <v>50</v>
      </c>
      <c r="F1005">
        <v>49.957084655999999</v>
      </c>
      <c r="G1005">
        <v>1304.4453125</v>
      </c>
      <c r="H1005">
        <v>1293.6427002</v>
      </c>
      <c r="I1005">
        <v>1387.0030518000001</v>
      </c>
      <c r="J1005">
        <v>1370.1131591999999</v>
      </c>
      <c r="K1005">
        <v>0</v>
      </c>
      <c r="L1005">
        <v>2050</v>
      </c>
      <c r="M1005">
        <v>2050</v>
      </c>
      <c r="N1005">
        <v>0</v>
      </c>
    </row>
    <row r="1006" spans="1:14" x14ac:dyDescent="0.25">
      <c r="A1006">
        <v>579</v>
      </c>
      <c r="B1006" s="1">
        <f>DATE(2011,12,1) + TIME(0,0,0)</f>
        <v>40878</v>
      </c>
      <c r="C1006">
        <v>80</v>
      </c>
      <c r="D1006">
        <v>73.601303100999999</v>
      </c>
      <c r="E1006">
        <v>50</v>
      </c>
      <c r="F1006">
        <v>49.957084655999999</v>
      </c>
      <c r="G1006">
        <v>1304.3358154</v>
      </c>
      <c r="H1006">
        <v>1293.5230713000001</v>
      </c>
      <c r="I1006">
        <v>1386.9479980000001</v>
      </c>
      <c r="J1006">
        <v>1370.0648193</v>
      </c>
      <c r="K1006">
        <v>0</v>
      </c>
      <c r="L1006">
        <v>2050</v>
      </c>
      <c r="M1006">
        <v>2050</v>
      </c>
      <c r="N1006">
        <v>0</v>
      </c>
    </row>
    <row r="1007" spans="1:14" x14ac:dyDescent="0.25">
      <c r="A1007">
        <v>581.173946</v>
      </c>
      <c r="B1007" s="1">
        <f>DATE(2011,12,3) + TIME(4,10,28)</f>
        <v>40880.173935185187</v>
      </c>
      <c r="C1007">
        <v>80</v>
      </c>
      <c r="D1007">
        <v>73.449325561999999</v>
      </c>
      <c r="E1007">
        <v>50</v>
      </c>
      <c r="F1007">
        <v>49.957180022999999</v>
      </c>
      <c r="G1007">
        <v>1304.3206786999999</v>
      </c>
      <c r="H1007">
        <v>1293.4869385</v>
      </c>
      <c r="I1007">
        <v>1386.9437256000001</v>
      </c>
      <c r="J1007">
        <v>1370.0609131000001</v>
      </c>
      <c r="K1007">
        <v>0</v>
      </c>
      <c r="L1007">
        <v>2050</v>
      </c>
      <c r="M1007">
        <v>2050</v>
      </c>
      <c r="N1007">
        <v>0</v>
      </c>
    </row>
    <row r="1008" spans="1:14" x14ac:dyDescent="0.25">
      <c r="A1008">
        <v>583.40031799999997</v>
      </c>
      <c r="B1008" s="1">
        <f>DATE(2011,12,5) + TIME(9,36,27)</f>
        <v>40882.400312500002</v>
      </c>
      <c r="C1008">
        <v>80</v>
      </c>
      <c r="D1008">
        <v>73.286804199000002</v>
      </c>
      <c r="E1008">
        <v>50</v>
      </c>
      <c r="F1008">
        <v>49.957271575999997</v>
      </c>
      <c r="G1008">
        <v>1304.2037353999999</v>
      </c>
      <c r="H1008">
        <v>1293.3422852000001</v>
      </c>
      <c r="I1008">
        <v>1386.8902588000001</v>
      </c>
      <c r="J1008">
        <v>1370.0140381000001</v>
      </c>
      <c r="K1008">
        <v>0</v>
      </c>
      <c r="L1008">
        <v>2050</v>
      </c>
      <c r="M1008">
        <v>2050</v>
      </c>
      <c r="N1008">
        <v>0</v>
      </c>
    </row>
    <row r="1009" spans="1:14" x14ac:dyDescent="0.25">
      <c r="A1009">
        <v>585.69677999999999</v>
      </c>
      <c r="B1009" s="1">
        <f>DATE(2011,12,7) + TIME(16,43,21)</f>
        <v>40884.696770833332</v>
      </c>
      <c r="C1009">
        <v>80</v>
      </c>
      <c r="D1009">
        <v>73.119270325000002</v>
      </c>
      <c r="E1009">
        <v>50</v>
      </c>
      <c r="F1009">
        <v>49.957366942999997</v>
      </c>
      <c r="G1009">
        <v>1304.0802002</v>
      </c>
      <c r="H1009">
        <v>1293.1879882999999</v>
      </c>
      <c r="I1009">
        <v>1386.8371582</v>
      </c>
      <c r="J1009">
        <v>1369.9674072</v>
      </c>
      <c r="K1009">
        <v>0</v>
      </c>
      <c r="L1009">
        <v>2050</v>
      </c>
      <c r="M1009">
        <v>2050</v>
      </c>
      <c r="N1009">
        <v>0</v>
      </c>
    </row>
    <row r="1010" spans="1:14" x14ac:dyDescent="0.25">
      <c r="A1010">
        <v>588.03065100000003</v>
      </c>
      <c r="B1010" s="1">
        <f>DATE(2011,12,10) + TIME(0,44,8)</f>
        <v>40887.030648148146</v>
      </c>
      <c r="C1010">
        <v>80</v>
      </c>
      <c r="D1010">
        <v>72.948776245000005</v>
      </c>
      <c r="E1010">
        <v>50</v>
      </c>
      <c r="F1010">
        <v>49.957462311</v>
      </c>
      <c r="G1010">
        <v>1303.9493408000001</v>
      </c>
      <c r="H1010">
        <v>1293.0238036999999</v>
      </c>
      <c r="I1010">
        <v>1386.7843018000001</v>
      </c>
      <c r="J1010">
        <v>1369.9207764</v>
      </c>
      <c r="K1010">
        <v>0</v>
      </c>
      <c r="L1010">
        <v>2050</v>
      </c>
      <c r="M1010">
        <v>2050</v>
      </c>
      <c r="N1010">
        <v>0</v>
      </c>
    </row>
    <row r="1011" spans="1:14" x14ac:dyDescent="0.25">
      <c r="A1011">
        <v>590.39252999999997</v>
      </c>
      <c r="B1011" s="1">
        <f>DATE(2011,12,12) + TIME(9,25,14)</f>
        <v>40889.392523148148</v>
      </c>
      <c r="C1011">
        <v>80</v>
      </c>
      <c r="D1011">
        <v>72.777061462000006</v>
      </c>
      <c r="E1011">
        <v>50</v>
      </c>
      <c r="F1011">
        <v>49.957557678000001</v>
      </c>
      <c r="G1011">
        <v>1303.8128661999999</v>
      </c>
      <c r="H1011">
        <v>1292.8514404</v>
      </c>
      <c r="I1011">
        <v>1386.7321777</v>
      </c>
      <c r="J1011">
        <v>1369.875</v>
      </c>
      <c r="K1011">
        <v>0</v>
      </c>
      <c r="L1011">
        <v>2050</v>
      </c>
      <c r="M1011">
        <v>2050</v>
      </c>
      <c r="N1011">
        <v>0</v>
      </c>
    </row>
    <row r="1012" spans="1:14" x14ac:dyDescent="0.25">
      <c r="A1012">
        <v>592.78723200000002</v>
      </c>
      <c r="B1012" s="1">
        <f>DATE(2011,12,14) + TIME(18,53,36)</f>
        <v>40891.787222222221</v>
      </c>
      <c r="C1012">
        <v>80</v>
      </c>
      <c r="D1012">
        <v>72.604743958</v>
      </c>
      <c r="E1012">
        <v>50</v>
      </c>
      <c r="F1012">
        <v>49.957653045999997</v>
      </c>
      <c r="G1012">
        <v>1303.6710204999999</v>
      </c>
      <c r="H1012">
        <v>1292.6713867000001</v>
      </c>
      <c r="I1012">
        <v>1386.6811522999999</v>
      </c>
      <c r="J1012">
        <v>1369.8300781</v>
      </c>
      <c r="K1012">
        <v>0</v>
      </c>
      <c r="L1012">
        <v>2050</v>
      </c>
      <c r="M1012">
        <v>2050</v>
      </c>
      <c r="N1012">
        <v>0</v>
      </c>
    </row>
    <row r="1013" spans="1:14" x14ac:dyDescent="0.25">
      <c r="A1013">
        <v>595.21877099999995</v>
      </c>
      <c r="B1013" s="1">
        <f>DATE(2011,12,17) + TIME(5,15,1)</f>
        <v>40894.218761574077</v>
      </c>
      <c r="C1013">
        <v>80</v>
      </c>
      <c r="D1013">
        <v>72.431701660000002</v>
      </c>
      <c r="E1013">
        <v>50</v>
      </c>
      <c r="F1013">
        <v>49.957752227999997</v>
      </c>
      <c r="G1013">
        <v>1303.5236815999999</v>
      </c>
      <c r="H1013">
        <v>1292.4832764</v>
      </c>
      <c r="I1013">
        <v>1386.6309814000001</v>
      </c>
      <c r="J1013">
        <v>1369.7858887</v>
      </c>
      <c r="K1013">
        <v>0</v>
      </c>
      <c r="L1013">
        <v>2050</v>
      </c>
      <c r="M1013">
        <v>2050</v>
      </c>
      <c r="N1013">
        <v>0</v>
      </c>
    </row>
    <row r="1014" spans="1:14" x14ac:dyDescent="0.25">
      <c r="A1014">
        <v>597.67688899999996</v>
      </c>
      <c r="B1014" s="1">
        <f>DATE(2011,12,19) + TIME(16,14,43)</f>
        <v>40896.676886574074</v>
      </c>
      <c r="C1014">
        <v>80</v>
      </c>
      <c r="D1014">
        <v>72.257865906000006</v>
      </c>
      <c r="E1014">
        <v>50</v>
      </c>
      <c r="F1014">
        <v>49.957851410000004</v>
      </c>
      <c r="G1014">
        <v>1303.3701172000001</v>
      </c>
      <c r="H1014">
        <v>1292.2863769999999</v>
      </c>
      <c r="I1014">
        <v>1386.5816649999999</v>
      </c>
      <c r="J1014">
        <v>1369.7424315999999</v>
      </c>
      <c r="K1014">
        <v>0</v>
      </c>
      <c r="L1014">
        <v>2050</v>
      </c>
      <c r="M1014">
        <v>2050</v>
      </c>
      <c r="N1014">
        <v>0</v>
      </c>
    </row>
    <row r="1015" spans="1:14" x14ac:dyDescent="0.25">
      <c r="A1015">
        <v>600.16655100000003</v>
      </c>
      <c r="B1015" s="1">
        <f>DATE(2011,12,22) + TIME(3,59,50)</f>
        <v>40899.166550925926</v>
      </c>
      <c r="C1015">
        <v>80</v>
      </c>
      <c r="D1015">
        <v>72.083282471000004</v>
      </c>
      <c r="E1015">
        <v>50</v>
      </c>
      <c r="F1015">
        <v>49.957954407000003</v>
      </c>
      <c r="G1015">
        <v>1303.2109375</v>
      </c>
      <c r="H1015">
        <v>1292.0812988</v>
      </c>
      <c r="I1015">
        <v>1386.5332031</v>
      </c>
      <c r="J1015">
        <v>1369.6998291</v>
      </c>
      <c r="K1015">
        <v>0</v>
      </c>
      <c r="L1015">
        <v>2050</v>
      </c>
      <c r="M1015">
        <v>2050</v>
      </c>
      <c r="N1015">
        <v>0</v>
      </c>
    </row>
    <row r="1016" spans="1:14" x14ac:dyDescent="0.25">
      <c r="A1016">
        <v>602.69265099999996</v>
      </c>
      <c r="B1016" s="1">
        <f>DATE(2011,12,24) + TIME(16,37,25)</f>
        <v>40901.692650462966</v>
      </c>
      <c r="C1016">
        <v>80</v>
      </c>
      <c r="D1016">
        <v>71.907554626000007</v>
      </c>
      <c r="E1016">
        <v>50</v>
      </c>
      <c r="F1016">
        <v>49.958053589000002</v>
      </c>
      <c r="G1016">
        <v>1303.0456543</v>
      </c>
      <c r="H1016">
        <v>1291.8673096</v>
      </c>
      <c r="I1016">
        <v>1386.4855957</v>
      </c>
      <c r="J1016">
        <v>1369.6578368999999</v>
      </c>
      <c r="K1016">
        <v>0</v>
      </c>
      <c r="L1016">
        <v>2050</v>
      </c>
      <c r="M1016">
        <v>2050</v>
      </c>
      <c r="N1016">
        <v>0</v>
      </c>
    </row>
    <row r="1017" spans="1:14" x14ac:dyDescent="0.25">
      <c r="A1017">
        <v>605.25531100000001</v>
      </c>
      <c r="B1017" s="1">
        <f>DATE(2011,12,27) + TIME(6,7,38)</f>
        <v>40904.255300925928</v>
      </c>
      <c r="C1017">
        <v>80</v>
      </c>
      <c r="D1017">
        <v>71.730270386000001</v>
      </c>
      <c r="E1017">
        <v>50</v>
      </c>
      <c r="F1017">
        <v>49.958156586000001</v>
      </c>
      <c r="G1017">
        <v>1302.8739014</v>
      </c>
      <c r="H1017">
        <v>1291.6439209</v>
      </c>
      <c r="I1017">
        <v>1386.4385986</v>
      </c>
      <c r="J1017">
        <v>1369.6164550999999</v>
      </c>
      <c r="K1017">
        <v>0</v>
      </c>
      <c r="L1017">
        <v>2050</v>
      </c>
      <c r="M1017">
        <v>2050</v>
      </c>
      <c r="N1017">
        <v>0</v>
      </c>
    </row>
    <row r="1018" spans="1:14" x14ac:dyDescent="0.25">
      <c r="A1018">
        <v>607.84647700000005</v>
      </c>
      <c r="B1018" s="1">
        <f>DATE(2011,12,29) + TIME(20,18,55)</f>
        <v>40906.84646990741</v>
      </c>
      <c r="C1018">
        <v>80</v>
      </c>
      <c r="D1018">
        <v>71.551254271999994</v>
      </c>
      <c r="E1018">
        <v>50</v>
      </c>
      <c r="F1018">
        <v>49.958259583</v>
      </c>
      <c r="G1018">
        <v>1302.6953125</v>
      </c>
      <c r="H1018">
        <v>1291.4106445</v>
      </c>
      <c r="I1018">
        <v>1386.3923339999999</v>
      </c>
      <c r="J1018">
        <v>1369.5756836</v>
      </c>
      <c r="K1018">
        <v>0</v>
      </c>
      <c r="L1018">
        <v>2050</v>
      </c>
      <c r="M1018">
        <v>2050</v>
      </c>
      <c r="N1018">
        <v>0</v>
      </c>
    </row>
    <row r="1019" spans="1:14" x14ac:dyDescent="0.25">
      <c r="A1019">
        <v>610</v>
      </c>
      <c r="B1019" s="1">
        <f>DATE(2012,1,1) + TIME(0,0,0)</f>
        <v>40909</v>
      </c>
      <c r="C1019">
        <v>80</v>
      </c>
      <c r="D1019">
        <v>71.380844116000006</v>
      </c>
      <c r="E1019">
        <v>50</v>
      </c>
      <c r="F1019">
        <v>49.958343505999999</v>
      </c>
      <c r="G1019">
        <v>1302.5111084</v>
      </c>
      <c r="H1019">
        <v>1291.1707764</v>
      </c>
      <c r="I1019">
        <v>1386.3465576000001</v>
      </c>
      <c r="J1019">
        <v>1369.5352783000001</v>
      </c>
      <c r="K1019">
        <v>0</v>
      </c>
      <c r="L1019">
        <v>2050</v>
      </c>
      <c r="M1019">
        <v>2050</v>
      </c>
      <c r="N1019">
        <v>0</v>
      </c>
    </row>
    <row r="1020" spans="1:14" x14ac:dyDescent="0.25">
      <c r="A1020">
        <v>612.617344</v>
      </c>
      <c r="B1020" s="1">
        <f>DATE(2012,1,3) + TIME(14,48,58)</f>
        <v>40911.617337962962</v>
      </c>
      <c r="C1020">
        <v>80</v>
      </c>
      <c r="D1020">
        <v>71.214500427000004</v>
      </c>
      <c r="E1020">
        <v>50</v>
      </c>
      <c r="F1020">
        <v>49.958450317</v>
      </c>
      <c r="G1020">
        <v>1302.3499756000001</v>
      </c>
      <c r="H1020">
        <v>1290.9548339999999</v>
      </c>
      <c r="I1020">
        <v>1386.3098144999999</v>
      </c>
      <c r="J1020">
        <v>1369.5029297000001</v>
      </c>
      <c r="K1020">
        <v>0</v>
      </c>
      <c r="L1020">
        <v>2050</v>
      </c>
      <c r="M1020">
        <v>2050</v>
      </c>
      <c r="N1020">
        <v>0</v>
      </c>
    </row>
    <row r="1021" spans="1:14" x14ac:dyDescent="0.25">
      <c r="A1021">
        <v>615.29333499999996</v>
      </c>
      <c r="B1021" s="1">
        <f>DATE(2012,1,6) + TIME(7,2,24)</f>
        <v>40914.293333333335</v>
      </c>
      <c r="C1021">
        <v>80</v>
      </c>
      <c r="D1021">
        <v>71.035064696999996</v>
      </c>
      <c r="E1021">
        <v>50</v>
      </c>
      <c r="F1021">
        <v>49.958557128999999</v>
      </c>
      <c r="G1021">
        <v>1302.1569824000001</v>
      </c>
      <c r="H1021">
        <v>1290.7008057</v>
      </c>
      <c r="I1021">
        <v>1386.2659911999999</v>
      </c>
      <c r="J1021">
        <v>1369.4642334</v>
      </c>
      <c r="K1021">
        <v>0</v>
      </c>
      <c r="L1021">
        <v>2050</v>
      </c>
      <c r="M1021">
        <v>2050</v>
      </c>
      <c r="N1021">
        <v>0</v>
      </c>
    </row>
    <row r="1022" spans="1:14" x14ac:dyDescent="0.25">
      <c r="A1022">
        <v>618.00281900000004</v>
      </c>
      <c r="B1022" s="1">
        <f>DATE(2012,1,9) + TIME(0,4,3)</f>
        <v>40917.002812500003</v>
      </c>
      <c r="C1022">
        <v>80</v>
      </c>
      <c r="D1022">
        <v>70.848922728999995</v>
      </c>
      <c r="E1022">
        <v>50</v>
      </c>
      <c r="F1022">
        <v>49.958663940000001</v>
      </c>
      <c r="G1022">
        <v>1301.9538574000001</v>
      </c>
      <c r="H1022">
        <v>1290.4315185999999</v>
      </c>
      <c r="I1022">
        <v>1386.2224120999999</v>
      </c>
      <c r="J1022">
        <v>1369.4256591999999</v>
      </c>
      <c r="K1022">
        <v>0</v>
      </c>
      <c r="L1022">
        <v>2050</v>
      </c>
      <c r="M1022">
        <v>2050</v>
      </c>
      <c r="N1022">
        <v>0</v>
      </c>
    </row>
    <row r="1023" spans="1:14" x14ac:dyDescent="0.25">
      <c r="A1023">
        <v>620.74688600000002</v>
      </c>
      <c r="B1023" s="1">
        <f>DATE(2012,1,11) + TIME(17,55,30)</f>
        <v>40919.746874999997</v>
      </c>
      <c r="C1023">
        <v>80</v>
      </c>
      <c r="D1023">
        <v>70.658348083000007</v>
      </c>
      <c r="E1023">
        <v>50</v>
      </c>
      <c r="F1023">
        <v>49.958770752</v>
      </c>
      <c r="G1023">
        <v>1301.7430420000001</v>
      </c>
      <c r="H1023">
        <v>1290.1505127</v>
      </c>
      <c r="I1023">
        <v>1386.1793213000001</v>
      </c>
      <c r="J1023">
        <v>1369.3875731999999</v>
      </c>
      <c r="K1023">
        <v>0</v>
      </c>
      <c r="L1023">
        <v>2050</v>
      </c>
      <c r="M1023">
        <v>2050</v>
      </c>
      <c r="N1023">
        <v>0</v>
      </c>
    </row>
    <row r="1024" spans="1:14" x14ac:dyDescent="0.25">
      <c r="A1024">
        <v>623.51892899999996</v>
      </c>
      <c r="B1024" s="1">
        <f>DATE(2012,1,14) + TIME(12,27,15)</f>
        <v>40922.518923611111</v>
      </c>
      <c r="C1024">
        <v>80</v>
      </c>
      <c r="D1024">
        <v>70.463745117000002</v>
      </c>
      <c r="E1024">
        <v>50</v>
      </c>
      <c r="F1024">
        <v>49.958877563000001</v>
      </c>
      <c r="G1024">
        <v>1301.5246582</v>
      </c>
      <c r="H1024">
        <v>1289.8582764</v>
      </c>
      <c r="I1024">
        <v>1386.1367187999999</v>
      </c>
      <c r="J1024">
        <v>1369.3499756000001</v>
      </c>
      <c r="K1024">
        <v>0</v>
      </c>
      <c r="L1024">
        <v>2050</v>
      </c>
      <c r="M1024">
        <v>2050</v>
      </c>
      <c r="N1024">
        <v>0</v>
      </c>
    </row>
    <row r="1025" spans="1:14" x14ac:dyDescent="0.25">
      <c r="A1025">
        <v>626.311959</v>
      </c>
      <c r="B1025" s="1">
        <f>DATE(2012,1,17) + TIME(7,29,13)</f>
        <v>40925.311956018515</v>
      </c>
      <c r="C1025">
        <v>80</v>
      </c>
      <c r="D1025">
        <v>70.265220642000003</v>
      </c>
      <c r="E1025">
        <v>50</v>
      </c>
      <c r="F1025">
        <v>49.958988189999999</v>
      </c>
      <c r="G1025">
        <v>1301.2993164</v>
      </c>
      <c r="H1025">
        <v>1289.5554199000001</v>
      </c>
      <c r="I1025">
        <v>1386.0947266000001</v>
      </c>
      <c r="J1025">
        <v>1369.3127440999999</v>
      </c>
      <c r="K1025">
        <v>0</v>
      </c>
      <c r="L1025">
        <v>2050</v>
      </c>
      <c r="M1025">
        <v>2050</v>
      </c>
      <c r="N1025">
        <v>0</v>
      </c>
    </row>
    <row r="1026" spans="1:14" x14ac:dyDescent="0.25">
      <c r="A1026">
        <v>629.13168599999995</v>
      </c>
      <c r="B1026" s="1">
        <f>DATE(2012,1,20) + TIME(3,9,37)</f>
        <v>40928.131678240738</v>
      </c>
      <c r="C1026">
        <v>80</v>
      </c>
      <c r="D1026">
        <v>70.062667847</v>
      </c>
      <c r="E1026">
        <v>50</v>
      </c>
      <c r="F1026">
        <v>49.959095001000001</v>
      </c>
      <c r="G1026">
        <v>1301.0675048999999</v>
      </c>
      <c r="H1026">
        <v>1289.2425536999999</v>
      </c>
      <c r="I1026">
        <v>1386.0533447</v>
      </c>
      <c r="J1026">
        <v>1369.2762451000001</v>
      </c>
      <c r="K1026">
        <v>0</v>
      </c>
      <c r="L1026">
        <v>2050</v>
      </c>
      <c r="M1026">
        <v>2050</v>
      </c>
      <c r="N1026">
        <v>0</v>
      </c>
    </row>
    <row r="1027" spans="1:14" x14ac:dyDescent="0.25">
      <c r="A1027">
        <v>631.98363199999994</v>
      </c>
      <c r="B1027" s="1">
        <f>DATE(2012,1,22) + TIME(23,36,25)</f>
        <v>40930.983622685184</v>
      </c>
      <c r="C1027">
        <v>80</v>
      </c>
      <c r="D1027">
        <v>69.855209350999999</v>
      </c>
      <c r="E1027">
        <v>50</v>
      </c>
      <c r="F1027">
        <v>49.959205627000003</v>
      </c>
      <c r="G1027">
        <v>1300.8287353999999</v>
      </c>
      <c r="H1027">
        <v>1288.9191894999999</v>
      </c>
      <c r="I1027">
        <v>1386.0125731999999</v>
      </c>
      <c r="J1027">
        <v>1369.2401123</v>
      </c>
      <c r="K1027">
        <v>0</v>
      </c>
      <c r="L1027">
        <v>2050</v>
      </c>
      <c r="M1027">
        <v>2050</v>
      </c>
      <c r="N1027">
        <v>0</v>
      </c>
    </row>
    <row r="1028" spans="1:14" x14ac:dyDescent="0.25">
      <c r="A1028">
        <v>634.87138400000003</v>
      </c>
      <c r="B1028" s="1">
        <f>DATE(2012,1,25) + TIME(20,54,47)</f>
        <v>40933.871377314812</v>
      </c>
      <c r="C1028">
        <v>80</v>
      </c>
      <c r="D1028">
        <v>69.641967773000005</v>
      </c>
      <c r="E1028">
        <v>50</v>
      </c>
      <c r="F1028">
        <v>49.959316254000001</v>
      </c>
      <c r="G1028">
        <v>1300.5825195</v>
      </c>
      <c r="H1028">
        <v>1288.5845947</v>
      </c>
      <c r="I1028">
        <v>1385.972168</v>
      </c>
      <c r="J1028">
        <v>1369.2043457</v>
      </c>
      <c r="K1028">
        <v>0</v>
      </c>
      <c r="L1028">
        <v>2050</v>
      </c>
      <c r="M1028">
        <v>2050</v>
      </c>
      <c r="N1028">
        <v>0</v>
      </c>
    </row>
    <row r="1029" spans="1:14" x14ac:dyDescent="0.25">
      <c r="A1029">
        <v>637.79080499999998</v>
      </c>
      <c r="B1029" s="1">
        <f>DATE(2012,1,28) + TIME(18,58,45)</f>
        <v>40936.790798611109</v>
      </c>
      <c r="C1029">
        <v>80</v>
      </c>
      <c r="D1029">
        <v>69.422248839999995</v>
      </c>
      <c r="E1029">
        <v>50</v>
      </c>
      <c r="F1029">
        <v>49.959426880000002</v>
      </c>
      <c r="G1029">
        <v>1300.3287353999999</v>
      </c>
      <c r="H1029">
        <v>1288.2381591999999</v>
      </c>
      <c r="I1029">
        <v>1385.932251</v>
      </c>
      <c r="J1029">
        <v>1369.1688231999999</v>
      </c>
      <c r="K1029">
        <v>0</v>
      </c>
      <c r="L1029">
        <v>2050</v>
      </c>
      <c r="M1029">
        <v>2050</v>
      </c>
      <c r="N1029">
        <v>0</v>
      </c>
    </row>
    <row r="1030" spans="1:14" x14ac:dyDescent="0.25">
      <c r="A1030">
        <v>640.74736399999995</v>
      </c>
      <c r="B1030" s="1">
        <f>DATE(2012,1,31) + TIME(17,56,12)</f>
        <v>40939.747361111113</v>
      </c>
      <c r="C1030">
        <v>80</v>
      </c>
      <c r="D1030">
        <v>69.195419311999999</v>
      </c>
      <c r="E1030">
        <v>50</v>
      </c>
      <c r="F1030">
        <v>49.959537505999997</v>
      </c>
      <c r="G1030">
        <v>1300.0673827999999</v>
      </c>
      <c r="H1030">
        <v>1287.880249</v>
      </c>
      <c r="I1030">
        <v>1385.8925781</v>
      </c>
      <c r="J1030">
        <v>1369.1336670000001</v>
      </c>
      <c r="K1030">
        <v>0</v>
      </c>
      <c r="L1030">
        <v>2050</v>
      </c>
      <c r="M1030">
        <v>2050</v>
      </c>
      <c r="N1030">
        <v>0</v>
      </c>
    </row>
    <row r="1031" spans="1:14" x14ac:dyDescent="0.25">
      <c r="A1031">
        <v>641</v>
      </c>
      <c r="B1031" s="1">
        <f>DATE(2012,2,1) + TIME(0,0,0)</f>
        <v>40940</v>
      </c>
      <c r="C1031">
        <v>80</v>
      </c>
      <c r="D1031">
        <v>69.131263732999997</v>
      </c>
      <c r="E1031">
        <v>50</v>
      </c>
      <c r="F1031">
        <v>49.959541321000003</v>
      </c>
      <c r="G1031">
        <v>1299.8238524999999</v>
      </c>
      <c r="H1031">
        <v>1287.5808105000001</v>
      </c>
      <c r="I1031">
        <v>1385.8524170000001</v>
      </c>
      <c r="J1031">
        <v>1369.0980225000001</v>
      </c>
      <c r="K1031">
        <v>0</v>
      </c>
      <c r="L1031">
        <v>2050</v>
      </c>
      <c r="M1031">
        <v>2050</v>
      </c>
      <c r="N1031">
        <v>0</v>
      </c>
    </row>
    <row r="1032" spans="1:14" x14ac:dyDescent="0.25">
      <c r="A1032">
        <v>643.99725699999999</v>
      </c>
      <c r="B1032" s="1">
        <f>DATE(2012,2,3) + TIME(23,56,3)</f>
        <v>40942.997256944444</v>
      </c>
      <c r="C1032">
        <v>80</v>
      </c>
      <c r="D1032">
        <v>68.929138183999996</v>
      </c>
      <c r="E1032">
        <v>50</v>
      </c>
      <c r="F1032">
        <v>49.959659576</v>
      </c>
      <c r="G1032">
        <v>1299.7664795000001</v>
      </c>
      <c r="H1032">
        <v>1287.4624022999999</v>
      </c>
      <c r="I1032">
        <v>1385.8498535000001</v>
      </c>
      <c r="J1032">
        <v>1369.0957031</v>
      </c>
      <c r="K1032">
        <v>0</v>
      </c>
      <c r="L1032">
        <v>2050</v>
      </c>
      <c r="M1032">
        <v>2050</v>
      </c>
      <c r="N1032">
        <v>0</v>
      </c>
    </row>
    <row r="1033" spans="1:14" x14ac:dyDescent="0.25">
      <c r="A1033">
        <v>647.02513599999997</v>
      </c>
      <c r="B1033" s="1">
        <f>DATE(2012,2,7) + TIME(0,36,11)</f>
        <v>40946.025127314817</v>
      </c>
      <c r="C1033">
        <v>80</v>
      </c>
      <c r="D1033">
        <v>68.693107604999994</v>
      </c>
      <c r="E1033">
        <v>50</v>
      </c>
      <c r="F1033">
        <v>49.959770202999998</v>
      </c>
      <c r="G1033">
        <v>1299.4951172000001</v>
      </c>
      <c r="H1033">
        <v>1287.0910644999999</v>
      </c>
      <c r="I1033">
        <v>1385.8107910000001</v>
      </c>
      <c r="J1033">
        <v>1369.0610352000001</v>
      </c>
      <c r="K1033">
        <v>0</v>
      </c>
      <c r="L1033">
        <v>2050</v>
      </c>
      <c r="M1033">
        <v>2050</v>
      </c>
      <c r="N1033">
        <v>0</v>
      </c>
    </row>
    <row r="1034" spans="1:14" x14ac:dyDescent="0.25">
      <c r="A1034">
        <v>650.08684300000004</v>
      </c>
      <c r="B1034" s="1">
        <f>DATE(2012,2,10) + TIME(2,5,3)</f>
        <v>40949.086840277778</v>
      </c>
      <c r="C1034">
        <v>80</v>
      </c>
      <c r="D1034">
        <v>68.441658020000006</v>
      </c>
      <c r="E1034">
        <v>50</v>
      </c>
      <c r="F1034">
        <v>49.959884643999999</v>
      </c>
      <c r="G1034">
        <v>1299.2114257999999</v>
      </c>
      <c r="H1034">
        <v>1286.6988524999999</v>
      </c>
      <c r="I1034">
        <v>1385.7720947</v>
      </c>
      <c r="J1034">
        <v>1369.0266113</v>
      </c>
      <c r="K1034">
        <v>0</v>
      </c>
      <c r="L1034">
        <v>2050</v>
      </c>
      <c r="M1034">
        <v>2050</v>
      </c>
      <c r="N1034">
        <v>0</v>
      </c>
    </row>
    <row r="1035" spans="1:14" x14ac:dyDescent="0.25">
      <c r="A1035">
        <v>653.18339800000001</v>
      </c>
      <c r="B1035" s="1">
        <f>DATE(2012,2,13) + TIME(4,24,5)</f>
        <v>40952.183391203704</v>
      </c>
      <c r="C1035">
        <v>80</v>
      </c>
      <c r="D1035">
        <v>68.178688049000002</v>
      </c>
      <c r="E1035">
        <v>50</v>
      </c>
      <c r="F1035">
        <v>49.959999084000003</v>
      </c>
      <c r="G1035">
        <v>1298.9190673999999</v>
      </c>
      <c r="H1035">
        <v>1286.2927245999999</v>
      </c>
      <c r="I1035">
        <v>1385.7335204999999</v>
      </c>
      <c r="J1035">
        <v>1368.9923096</v>
      </c>
      <c r="K1035">
        <v>0</v>
      </c>
      <c r="L1035">
        <v>2050</v>
      </c>
      <c r="M1035">
        <v>2050</v>
      </c>
      <c r="N1035">
        <v>0</v>
      </c>
    </row>
    <row r="1036" spans="1:14" x14ac:dyDescent="0.25">
      <c r="A1036">
        <v>656.31825500000002</v>
      </c>
      <c r="B1036" s="1">
        <f>DATE(2012,2,16) + TIME(7,38,17)</f>
        <v>40955.318252314813</v>
      </c>
      <c r="C1036">
        <v>80</v>
      </c>
      <c r="D1036">
        <v>67.904472350999995</v>
      </c>
      <c r="E1036">
        <v>50</v>
      </c>
      <c r="F1036">
        <v>49.960109711000001</v>
      </c>
      <c r="G1036">
        <v>1298.6188964999999</v>
      </c>
      <c r="H1036">
        <v>1285.8739014</v>
      </c>
      <c r="I1036">
        <v>1385.6951904</v>
      </c>
      <c r="J1036">
        <v>1368.9582519999999</v>
      </c>
      <c r="K1036">
        <v>0</v>
      </c>
      <c r="L1036">
        <v>2050</v>
      </c>
      <c r="M1036">
        <v>2050</v>
      </c>
      <c r="N1036">
        <v>0</v>
      </c>
    </row>
    <row r="1037" spans="1:14" x14ac:dyDescent="0.25">
      <c r="A1037">
        <v>659.49715700000002</v>
      </c>
      <c r="B1037" s="1">
        <f>DATE(2012,2,19) + TIME(11,55,54)</f>
        <v>40958.497152777774</v>
      </c>
      <c r="C1037">
        <v>80</v>
      </c>
      <c r="D1037">
        <v>67.618209839000002</v>
      </c>
      <c r="E1037">
        <v>50</v>
      </c>
      <c r="F1037">
        <v>49.960227965999998</v>
      </c>
      <c r="G1037">
        <v>1298.3107910000001</v>
      </c>
      <c r="H1037">
        <v>1285.4425048999999</v>
      </c>
      <c r="I1037">
        <v>1385.6569824000001</v>
      </c>
      <c r="J1037">
        <v>1368.9241943</v>
      </c>
      <c r="K1037">
        <v>0</v>
      </c>
      <c r="L1037">
        <v>2050</v>
      </c>
      <c r="M1037">
        <v>2050</v>
      </c>
      <c r="N1037">
        <v>0</v>
      </c>
    </row>
    <row r="1038" spans="1:14" x14ac:dyDescent="0.25">
      <c r="A1038">
        <v>662.70944899999995</v>
      </c>
      <c r="B1038" s="1">
        <f>DATE(2012,2,22) + TIME(17,1,36)</f>
        <v>40961.709444444445</v>
      </c>
      <c r="C1038">
        <v>80</v>
      </c>
      <c r="D1038">
        <v>67.319023131999998</v>
      </c>
      <c r="E1038">
        <v>50</v>
      </c>
      <c r="F1038">
        <v>49.960342406999999</v>
      </c>
      <c r="G1038">
        <v>1297.9945068</v>
      </c>
      <c r="H1038">
        <v>1284.9980469</v>
      </c>
      <c r="I1038">
        <v>1385.6188964999999</v>
      </c>
      <c r="J1038">
        <v>1368.8902588000001</v>
      </c>
      <c r="K1038">
        <v>0</v>
      </c>
      <c r="L1038">
        <v>2050</v>
      </c>
      <c r="M1038">
        <v>2050</v>
      </c>
      <c r="N1038">
        <v>0</v>
      </c>
    </row>
    <row r="1039" spans="1:14" x14ac:dyDescent="0.25">
      <c r="A1039">
        <v>665.95096699999999</v>
      </c>
      <c r="B1039" s="1">
        <f>DATE(2012,2,25) + TIME(22,49,23)</f>
        <v>40964.950960648152</v>
      </c>
      <c r="C1039">
        <v>80</v>
      </c>
      <c r="D1039">
        <v>67.006744385000005</v>
      </c>
      <c r="E1039">
        <v>50</v>
      </c>
      <c r="F1039">
        <v>49.960456848</v>
      </c>
      <c r="G1039">
        <v>1297.6710204999999</v>
      </c>
      <c r="H1039">
        <v>1284.5417480000001</v>
      </c>
      <c r="I1039">
        <v>1385.5809326000001</v>
      </c>
      <c r="J1039">
        <v>1368.8563231999999</v>
      </c>
      <c r="K1039">
        <v>0</v>
      </c>
      <c r="L1039">
        <v>2050</v>
      </c>
      <c r="M1039">
        <v>2050</v>
      </c>
      <c r="N1039">
        <v>0</v>
      </c>
    </row>
    <row r="1040" spans="1:14" x14ac:dyDescent="0.25">
      <c r="A1040">
        <v>669.228116</v>
      </c>
      <c r="B1040" s="1">
        <f>DATE(2012,2,29) + TIME(5,28,29)</f>
        <v>40968.228113425925</v>
      </c>
      <c r="C1040">
        <v>80</v>
      </c>
      <c r="D1040">
        <v>66.680892943999993</v>
      </c>
      <c r="E1040">
        <v>50</v>
      </c>
      <c r="F1040">
        <v>49.960575104</v>
      </c>
      <c r="G1040">
        <v>1297.3408202999999</v>
      </c>
      <c r="H1040">
        <v>1284.0742187999999</v>
      </c>
      <c r="I1040">
        <v>1385.5430908000001</v>
      </c>
      <c r="J1040">
        <v>1368.8225098</v>
      </c>
      <c r="K1040">
        <v>0</v>
      </c>
      <c r="L1040">
        <v>2050</v>
      </c>
      <c r="M1040">
        <v>2050</v>
      </c>
      <c r="N1040">
        <v>0</v>
      </c>
    </row>
    <row r="1041" spans="1:14" x14ac:dyDescent="0.25">
      <c r="A1041">
        <v>670</v>
      </c>
      <c r="B1041" s="1">
        <f>DATE(2012,3,1) + TIME(0,0,0)</f>
        <v>40969</v>
      </c>
      <c r="C1041">
        <v>80</v>
      </c>
      <c r="D1041">
        <v>66.482841492000006</v>
      </c>
      <c r="E1041">
        <v>50</v>
      </c>
      <c r="F1041">
        <v>49.960594176999997</v>
      </c>
      <c r="G1041">
        <v>1297.0216064000001</v>
      </c>
      <c r="H1041">
        <v>1283.6529541</v>
      </c>
      <c r="I1041">
        <v>1385.5042725000001</v>
      </c>
      <c r="J1041">
        <v>1368.7877197</v>
      </c>
      <c r="K1041">
        <v>0</v>
      </c>
      <c r="L1041">
        <v>2050</v>
      </c>
      <c r="M1041">
        <v>2050</v>
      </c>
      <c r="N1041">
        <v>0</v>
      </c>
    </row>
    <row r="1042" spans="1:14" x14ac:dyDescent="0.25">
      <c r="A1042">
        <v>673.31906200000003</v>
      </c>
      <c r="B1042" s="1">
        <f>DATE(2012,3,4) + TIME(7,39,26)</f>
        <v>40972.319050925929</v>
      </c>
      <c r="C1042">
        <v>80</v>
      </c>
      <c r="D1042">
        <v>66.231643676999994</v>
      </c>
      <c r="E1042">
        <v>50</v>
      </c>
      <c r="F1042">
        <v>49.960716247999997</v>
      </c>
      <c r="G1042">
        <v>1296.9052733999999</v>
      </c>
      <c r="H1042">
        <v>1283.4449463000001</v>
      </c>
      <c r="I1042">
        <v>1385.4964600000001</v>
      </c>
      <c r="J1042">
        <v>1368.7807617000001</v>
      </c>
      <c r="K1042">
        <v>0</v>
      </c>
      <c r="L1042">
        <v>2050</v>
      </c>
      <c r="M1042">
        <v>2050</v>
      </c>
      <c r="N1042">
        <v>0</v>
      </c>
    </row>
    <row r="1043" spans="1:14" x14ac:dyDescent="0.25">
      <c r="A1043">
        <v>676.69926499999997</v>
      </c>
      <c r="B1043" s="1">
        <f>DATE(2012,3,7) + TIME(16,46,56)</f>
        <v>40975.699259259258</v>
      </c>
      <c r="C1043">
        <v>80</v>
      </c>
      <c r="D1043">
        <v>65.892211914000001</v>
      </c>
      <c r="E1043">
        <v>50</v>
      </c>
      <c r="F1043">
        <v>49.960834503000001</v>
      </c>
      <c r="G1043">
        <v>1296.5744629000001</v>
      </c>
      <c r="H1043">
        <v>1282.9801024999999</v>
      </c>
      <c r="I1043">
        <v>1385.4587402</v>
      </c>
      <c r="J1043">
        <v>1368.7470702999999</v>
      </c>
      <c r="K1043">
        <v>0</v>
      </c>
      <c r="L1043">
        <v>2050</v>
      </c>
      <c r="M1043">
        <v>2050</v>
      </c>
      <c r="N1043">
        <v>0</v>
      </c>
    </row>
    <row r="1044" spans="1:14" x14ac:dyDescent="0.25">
      <c r="A1044">
        <v>680.121533</v>
      </c>
      <c r="B1044" s="1">
        <f>DATE(2012,3,11) + TIME(2,55,0)</f>
        <v>40979.121527777781</v>
      </c>
      <c r="C1044">
        <v>80</v>
      </c>
      <c r="D1044">
        <v>65.518676757999998</v>
      </c>
      <c r="E1044">
        <v>50</v>
      </c>
      <c r="F1044">
        <v>49.960952759000001</v>
      </c>
      <c r="G1044">
        <v>1296.2235106999999</v>
      </c>
      <c r="H1044">
        <v>1282.4790039</v>
      </c>
      <c r="I1044">
        <v>1385.4207764</v>
      </c>
      <c r="J1044">
        <v>1368.7128906</v>
      </c>
      <c r="K1044">
        <v>0</v>
      </c>
      <c r="L1044">
        <v>2050</v>
      </c>
      <c r="M1044">
        <v>2050</v>
      </c>
      <c r="N1044">
        <v>0</v>
      </c>
    </row>
    <row r="1045" spans="1:14" x14ac:dyDescent="0.25">
      <c r="A1045">
        <v>683.58771100000001</v>
      </c>
      <c r="B1045" s="1">
        <f>DATE(2012,3,14) + TIME(14,6,18)</f>
        <v>40982.587708333333</v>
      </c>
      <c r="C1045">
        <v>80</v>
      </c>
      <c r="D1045">
        <v>65.123817443999997</v>
      </c>
      <c r="E1045">
        <v>50</v>
      </c>
      <c r="F1045">
        <v>49.961071013999998</v>
      </c>
      <c r="G1045">
        <v>1295.8630370999999</v>
      </c>
      <c r="H1045">
        <v>1281.9606934000001</v>
      </c>
      <c r="I1045">
        <v>1385.3826904</v>
      </c>
      <c r="J1045">
        <v>1368.6787108999999</v>
      </c>
      <c r="K1045">
        <v>0</v>
      </c>
      <c r="L1045">
        <v>2050</v>
      </c>
      <c r="M1045">
        <v>2050</v>
      </c>
      <c r="N1045">
        <v>0</v>
      </c>
    </row>
    <row r="1046" spans="1:14" x14ac:dyDescent="0.25">
      <c r="A1046">
        <v>687.09947899999997</v>
      </c>
      <c r="B1046" s="1">
        <f>DATE(2012,3,18) + TIME(2,23,14)</f>
        <v>40986.09946759259</v>
      </c>
      <c r="C1046">
        <v>80</v>
      </c>
      <c r="D1046">
        <v>64.710029602000006</v>
      </c>
      <c r="E1046">
        <v>50</v>
      </c>
      <c r="F1046">
        <v>49.961193084999998</v>
      </c>
      <c r="G1046">
        <v>1295.4951172000001</v>
      </c>
      <c r="H1046">
        <v>1281.4293213000001</v>
      </c>
      <c r="I1046">
        <v>1385.3443603999999</v>
      </c>
      <c r="J1046">
        <v>1368.6444091999999</v>
      </c>
      <c r="K1046">
        <v>0</v>
      </c>
      <c r="L1046">
        <v>2050</v>
      </c>
      <c r="M1046">
        <v>2050</v>
      </c>
      <c r="N1046">
        <v>0</v>
      </c>
    </row>
    <row r="1047" spans="1:14" x14ac:dyDescent="0.25">
      <c r="A1047">
        <v>690.65889900000002</v>
      </c>
      <c r="B1047" s="1">
        <f>DATE(2012,3,21) + TIME(15,48,48)</f>
        <v>40989.658888888887</v>
      </c>
      <c r="C1047">
        <v>80</v>
      </c>
      <c r="D1047">
        <v>64.277252196999996</v>
      </c>
      <c r="E1047">
        <v>50</v>
      </c>
      <c r="F1047">
        <v>49.961311340000002</v>
      </c>
      <c r="G1047">
        <v>1295.1204834</v>
      </c>
      <c r="H1047">
        <v>1280.8858643000001</v>
      </c>
      <c r="I1047">
        <v>1385.3059082</v>
      </c>
      <c r="J1047">
        <v>1368.6097411999999</v>
      </c>
      <c r="K1047">
        <v>0</v>
      </c>
      <c r="L1047">
        <v>2050</v>
      </c>
      <c r="M1047">
        <v>2050</v>
      </c>
      <c r="N1047">
        <v>0</v>
      </c>
    </row>
    <row r="1048" spans="1:14" x14ac:dyDescent="0.25">
      <c r="A1048">
        <v>694.26136199999996</v>
      </c>
      <c r="B1048" s="1">
        <f>DATE(2012,3,25) + TIME(6,16,21)</f>
        <v>40993.261354166665</v>
      </c>
      <c r="C1048">
        <v>80</v>
      </c>
      <c r="D1048">
        <v>63.824996947999999</v>
      </c>
      <c r="E1048">
        <v>50</v>
      </c>
      <c r="F1048">
        <v>49.961433411000002</v>
      </c>
      <c r="G1048">
        <v>1294.7391356999999</v>
      </c>
      <c r="H1048">
        <v>1280.3308105000001</v>
      </c>
      <c r="I1048">
        <v>1385.2672118999999</v>
      </c>
      <c r="J1048">
        <v>1368.5748291</v>
      </c>
      <c r="K1048">
        <v>0</v>
      </c>
      <c r="L1048">
        <v>2050</v>
      </c>
      <c r="M1048">
        <v>2050</v>
      </c>
      <c r="N1048">
        <v>0</v>
      </c>
    </row>
    <row r="1049" spans="1:14" x14ac:dyDescent="0.25">
      <c r="A1049">
        <v>697.91514299999994</v>
      </c>
      <c r="B1049" s="1">
        <f>DATE(2012,3,28) + TIME(21,57,48)</f>
        <v>40996.915138888886</v>
      </c>
      <c r="C1049">
        <v>80</v>
      </c>
      <c r="D1049">
        <v>63.353267670000001</v>
      </c>
      <c r="E1049">
        <v>50</v>
      </c>
      <c r="F1049">
        <v>49.961551665999998</v>
      </c>
      <c r="G1049">
        <v>1294.3521728999999</v>
      </c>
      <c r="H1049">
        <v>1279.7648925999999</v>
      </c>
      <c r="I1049">
        <v>1385.2283935999999</v>
      </c>
      <c r="J1049">
        <v>1368.5397949000001</v>
      </c>
      <c r="K1049">
        <v>0</v>
      </c>
      <c r="L1049">
        <v>2050</v>
      </c>
      <c r="M1049">
        <v>2050</v>
      </c>
      <c r="N1049">
        <v>0</v>
      </c>
    </row>
    <row r="1050" spans="1:14" x14ac:dyDescent="0.25">
      <c r="A1050">
        <v>701</v>
      </c>
      <c r="B1050" s="1">
        <f>DATE(2012,4,1) + TIME(0,0,0)</f>
        <v>41000</v>
      </c>
      <c r="C1050">
        <v>80</v>
      </c>
      <c r="D1050">
        <v>62.879692077999998</v>
      </c>
      <c r="E1050">
        <v>50</v>
      </c>
      <c r="F1050">
        <v>49.961654662999997</v>
      </c>
      <c r="G1050">
        <v>1293.9608154</v>
      </c>
      <c r="H1050">
        <v>1279.1948242000001</v>
      </c>
      <c r="I1050">
        <v>1385.1889647999999</v>
      </c>
      <c r="J1050">
        <v>1368.5041504000001</v>
      </c>
      <c r="K1050">
        <v>0</v>
      </c>
      <c r="L1050">
        <v>2050</v>
      </c>
      <c r="M1050">
        <v>2050</v>
      </c>
      <c r="N1050">
        <v>0</v>
      </c>
    </row>
    <row r="1051" spans="1:14" x14ac:dyDescent="0.25">
      <c r="A1051">
        <v>704.71351200000004</v>
      </c>
      <c r="B1051" s="1">
        <f>DATE(2012,4,4) + TIME(17,7,27)</f>
        <v>41003.713506944441</v>
      </c>
      <c r="C1051">
        <v>80</v>
      </c>
      <c r="D1051">
        <v>62.422966002999999</v>
      </c>
      <c r="E1051">
        <v>50</v>
      </c>
      <c r="F1051">
        <v>49.961776733000001</v>
      </c>
      <c r="G1051">
        <v>1293.6201172000001</v>
      </c>
      <c r="H1051">
        <v>1278.6838379000001</v>
      </c>
      <c r="I1051">
        <v>1385.1561279</v>
      </c>
      <c r="J1051">
        <v>1368.4743652</v>
      </c>
      <c r="K1051">
        <v>0</v>
      </c>
      <c r="L1051">
        <v>2050</v>
      </c>
      <c r="M1051">
        <v>2050</v>
      </c>
      <c r="N1051">
        <v>0</v>
      </c>
    </row>
    <row r="1052" spans="1:14" x14ac:dyDescent="0.25">
      <c r="A1052">
        <v>708.52879600000006</v>
      </c>
      <c r="B1052" s="1">
        <f>DATE(2012,4,8) + TIME(12,41,27)</f>
        <v>41007.528784722221</v>
      </c>
      <c r="C1052">
        <v>80</v>
      </c>
      <c r="D1052">
        <v>61.906501769999998</v>
      </c>
      <c r="E1052">
        <v>50</v>
      </c>
      <c r="F1052">
        <v>49.961898804</v>
      </c>
      <c r="G1052">
        <v>1293.2263184000001</v>
      </c>
      <c r="H1052">
        <v>1278.1040039</v>
      </c>
      <c r="I1052">
        <v>1385.1164550999999</v>
      </c>
      <c r="J1052">
        <v>1368.4385986</v>
      </c>
      <c r="K1052">
        <v>0</v>
      </c>
      <c r="L1052">
        <v>2050</v>
      </c>
      <c r="M1052">
        <v>2050</v>
      </c>
      <c r="N1052">
        <v>0</v>
      </c>
    </row>
    <row r="1053" spans="1:14" x14ac:dyDescent="0.25">
      <c r="A1053">
        <v>712.40488100000005</v>
      </c>
      <c r="B1053" s="1">
        <f>DATE(2012,4,12) + TIME(9,43,1)</f>
        <v>41011.404872685183</v>
      </c>
      <c r="C1053">
        <v>80</v>
      </c>
      <c r="D1053">
        <v>61.357410430999998</v>
      </c>
      <c r="E1053">
        <v>50</v>
      </c>
      <c r="F1053">
        <v>49.962024689000003</v>
      </c>
      <c r="G1053">
        <v>1292.8188477000001</v>
      </c>
      <c r="H1053">
        <v>1277.4992675999999</v>
      </c>
      <c r="I1053">
        <v>1385.0759277</v>
      </c>
      <c r="J1053">
        <v>1368.4017334</v>
      </c>
      <c r="K1053">
        <v>0</v>
      </c>
      <c r="L1053">
        <v>2050</v>
      </c>
      <c r="M1053">
        <v>2050</v>
      </c>
      <c r="N1053">
        <v>0</v>
      </c>
    </row>
    <row r="1054" spans="1:14" x14ac:dyDescent="0.25">
      <c r="A1054">
        <v>716.35250900000005</v>
      </c>
      <c r="B1054" s="1">
        <f>DATE(2012,4,16) + TIME(8,27,36)</f>
        <v>41015.352500000001</v>
      </c>
      <c r="C1054">
        <v>80</v>
      </c>
      <c r="D1054">
        <v>60.785228729000004</v>
      </c>
      <c r="E1054">
        <v>50</v>
      </c>
      <c r="F1054">
        <v>49.962150573999999</v>
      </c>
      <c r="G1054">
        <v>1292.4049072</v>
      </c>
      <c r="H1054">
        <v>1276.8814697</v>
      </c>
      <c r="I1054">
        <v>1385.0349120999999</v>
      </c>
      <c r="J1054">
        <v>1368.3643798999999</v>
      </c>
      <c r="K1054">
        <v>0</v>
      </c>
      <c r="L1054">
        <v>2050</v>
      </c>
      <c r="M1054">
        <v>2050</v>
      </c>
      <c r="N1054">
        <v>0</v>
      </c>
    </row>
    <row r="1055" spans="1:14" x14ac:dyDescent="0.25">
      <c r="A1055">
        <v>720.35262599999999</v>
      </c>
      <c r="B1055" s="1">
        <f>DATE(2012,4,20) + TIME(8,27,46)</f>
        <v>41019.35261574074</v>
      </c>
      <c r="C1055">
        <v>80</v>
      </c>
      <c r="D1055">
        <v>60.191497802999997</v>
      </c>
      <c r="E1055">
        <v>50</v>
      </c>
      <c r="F1055">
        <v>49.962276459000002</v>
      </c>
      <c r="G1055">
        <v>1291.9853516000001</v>
      </c>
      <c r="H1055">
        <v>1276.2526855000001</v>
      </c>
      <c r="I1055">
        <v>1384.9931641000001</v>
      </c>
      <c r="J1055">
        <v>1368.3264160000001</v>
      </c>
      <c r="K1055">
        <v>0</v>
      </c>
      <c r="L1055">
        <v>2050</v>
      </c>
      <c r="M1055">
        <v>2050</v>
      </c>
      <c r="N1055">
        <v>0</v>
      </c>
    </row>
    <row r="1056" spans="1:14" x14ac:dyDescent="0.25">
      <c r="A1056">
        <v>724.41053799999997</v>
      </c>
      <c r="B1056" s="1">
        <f>DATE(2012,4,24) + TIME(9,51,10)</f>
        <v>41023.410532407404</v>
      </c>
      <c r="C1056">
        <v>80</v>
      </c>
      <c r="D1056">
        <v>59.577693939</v>
      </c>
      <c r="E1056">
        <v>50</v>
      </c>
      <c r="F1056">
        <v>49.962402343999997</v>
      </c>
      <c r="G1056">
        <v>1291.5627440999999</v>
      </c>
      <c r="H1056">
        <v>1275.6162108999999</v>
      </c>
      <c r="I1056">
        <v>1384.9510498</v>
      </c>
      <c r="J1056">
        <v>1368.2879639</v>
      </c>
      <c r="K1056">
        <v>0</v>
      </c>
      <c r="L1056">
        <v>2050</v>
      </c>
      <c r="M1056">
        <v>2050</v>
      </c>
      <c r="N1056">
        <v>0</v>
      </c>
    </row>
    <row r="1057" spans="1:14" x14ac:dyDescent="0.25">
      <c r="A1057">
        <v>728.53602799999999</v>
      </c>
      <c r="B1057" s="1">
        <f>DATE(2012,4,28) + TIME(12,51,52)</f>
        <v>41027.53601851852</v>
      </c>
      <c r="C1057">
        <v>80</v>
      </c>
      <c r="D1057">
        <v>58.944786071999999</v>
      </c>
      <c r="E1057">
        <v>50</v>
      </c>
      <c r="F1057">
        <v>49.962528229</v>
      </c>
      <c r="G1057">
        <v>1291.1376952999999</v>
      </c>
      <c r="H1057">
        <v>1274.9729004000001</v>
      </c>
      <c r="I1057">
        <v>1384.9082031</v>
      </c>
      <c r="J1057">
        <v>1368.2487793</v>
      </c>
      <c r="K1057">
        <v>0</v>
      </c>
      <c r="L1057">
        <v>2050</v>
      </c>
      <c r="M1057">
        <v>2050</v>
      </c>
      <c r="N1057">
        <v>0</v>
      </c>
    </row>
    <row r="1058" spans="1:14" x14ac:dyDescent="0.25">
      <c r="A1058">
        <v>731</v>
      </c>
      <c r="B1058" s="1">
        <f>DATE(2012,5,1) + TIME(0,0,0)</f>
        <v>41030</v>
      </c>
      <c r="C1058">
        <v>80</v>
      </c>
      <c r="D1058">
        <v>58.362529754999997</v>
      </c>
      <c r="E1058">
        <v>50</v>
      </c>
      <c r="F1058">
        <v>49.962600707999997</v>
      </c>
      <c r="G1058">
        <v>1290.7139893000001</v>
      </c>
      <c r="H1058">
        <v>1274.3474120999999</v>
      </c>
      <c r="I1058">
        <v>1384.8643798999999</v>
      </c>
      <c r="J1058">
        <v>1368.2086182</v>
      </c>
      <c r="K1058">
        <v>0</v>
      </c>
      <c r="L1058">
        <v>2050</v>
      </c>
      <c r="M1058">
        <v>2050</v>
      </c>
      <c r="N1058">
        <v>0</v>
      </c>
    </row>
    <row r="1059" spans="1:14" x14ac:dyDescent="0.25">
      <c r="A1059">
        <v>731.000001</v>
      </c>
      <c r="B1059" s="1">
        <f>DATE(2012,5,1) + TIME(0,0,0)</f>
        <v>41030</v>
      </c>
      <c r="C1059">
        <v>80</v>
      </c>
      <c r="D1059">
        <v>58.362705231</v>
      </c>
      <c r="E1059">
        <v>50</v>
      </c>
      <c r="F1059">
        <v>49.962490082000002</v>
      </c>
      <c r="G1059">
        <v>1315.5026855000001</v>
      </c>
      <c r="H1059">
        <v>1291.7562256000001</v>
      </c>
      <c r="I1059">
        <v>1367.3115233999999</v>
      </c>
      <c r="J1059">
        <v>1344.6262207</v>
      </c>
      <c r="K1059">
        <v>2875</v>
      </c>
      <c r="L1059">
        <v>0</v>
      </c>
      <c r="M1059">
        <v>0</v>
      </c>
      <c r="N1059">
        <v>2875</v>
      </c>
    </row>
    <row r="1060" spans="1:14" x14ac:dyDescent="0.25">
      <c r="A1060">
        <v>731.00000399999999</v>
      </c>
      <c r="B1060" s="1">
        <f>DATE(2012,5,1) + TIME(0,0,0)</f>
        <v>41030</v>
      </c>
      <c r="C1060">
        <v>80</v>
      </c>
      <c r="D1060">
        <v>58.363166808999999</v>
      </c>
      <c r="E1060">
        <v>50</v>
      </c>
      <c r="F1060">
        <v>49.962188720999997</v>
      </c>
      <c r="G1060">
        <v>1317.9523925999999</v>
      </c>
      <c r="H1060">
        <v>1294.4790039</v>
      </c>
      <c r="I1060">
        <v>1364.9185791</v>
      </c>
      <c r="J1060">
        <v>1342.2322998</v>
      </c>
      <c r="K1060">
        <v>2875</v>
      </c>
      <c r="L1060">
        <v>0</v>
      </c>
      <c r="M1060">
        <v>0</v>
      </c>
      <c r="N1060">
        <v>2875</v>
      </c>
    </row>
    <row r="1061" spans="1:14" x14ac:dyDescent="0.25">
      <c r="A1061">
        <v>731.00001299999997</v>
      </c>
      <c r="B1061" s="1">
        <f>DATE(2012,5,1) + TIME(0,0,1)</f>
        <v>41030.000011574077</v>
      </c>
      <c r="C1061">
        <v>80</v>
      </c>
      <c r="D1061">
        <v>58.364257811999998</v>
      </c>
      <c r="E1061">
        <v>50</v>
      </c>
      <c r="F1061">
        <v>49.961509704999997</v>
      </c>
      <c r="G1061">
        <v>1323.4392089999999</v>
      </c>
      <c r="H1061">
        <v>1300.3509521000001</v>
      </c>
      <c r="I1061">
        <v>1359.550293</v>
      </c>
      <c r="J1061">
        <v>1336.8626709</v>
      </c>
      <c r="K1061">
        <v>2875</v>
      </c>
      <c r="L1061">
        <v>0</v>
      </c>
      <c r="M1061">
        <v>0</v>
      </c>
      <c r="N1061">
        <v>2875</v>
      </c>
    </row>
    <row r="1062" spans="1:14" x14ac:dyDescent="0.25">
      <c r="A1062">
        <v>731.00004000000001</v>
      </c>
      <c r="B1062" s="1">
        <f>DATE(2012,5,1) + TIME(0,0,3)</f>
        <v>41030.000034722223</v>
      </c>
      <c r="C1062">
        <v>80</v>
      </c>
      <c r="D1062">
        <v>58.366439819</v>
      </c>
      <c r="E1062">
        <v>50</v>
      </c>
      <c r="F1062">
        <v>49.960376740000001</v>
      </c>
      <c r="G1062">
        <v>1332.6130370999999</v>
      </c>
      <c r="H1062">
        <v>1309.7113036999999</v>
      </c>
      <c r="I1062">
        <v>1350.5765381000001</v>
      </c>
      <c r="J1062">
        <v>1327.8909911999999</v>
      </c>
      <c r="K1062">
        <v>2875</v>
      </c>
      <c r="L1062">
        <v>0</v>
      </c>
      <c r="M1062">
        <v>0</v>
      </c>
      <c r="N1062">
        <v>2875</v>
      </c>
    </row>
    <row r="1063" spans="1:14" x14ac:dyDescent="0.25">
      <c r="A1063">
        <v>731.00012100000004</v>
      </c>
      <c r="B1063" s="1">
        <f>DATE(2012,5,1) + TIME(0,0,10)</f>
        <v>41030.000115740739</v>
      </c>
      <c r="C1063">
        <v>80</v>
      </c>
      <c r="D1063">
        <v>58.370796204000001</v>
      </c>
      <c r="E1063">
        <v>50</v>
      </c>
      <c r="F1063">
        <v>49.958984375</v>
      </c>
      <c r="G1063">
        <v>1343.9027100000001</v>
      </c>
      <c r="H1063">
        <v>1320.8962402</v>
      </c>
      <c r="I1063">
        <v>1339.6195068</v>
      </c>
      <c r="J1063">
        <v>1316.9421387</v>
      </c>
      <c r="K1063">
        <v>2875</v>
      </c>
      <c r="L1063">
        <v>0</v>
      </c>
      <c r="M1063">
        <v>0</v>
      </c>
      <c r="N1063">
        <v>2875</v>
      </c>
    </row>
    <row r="1064" spans="1:14" x14ac:dyDescent="0.25">
      <c r="A1064">
        <v>731.00036399999999</v>
      </c>
      <c r="B1064" s="1">
        <f>DATE(2012,5,1) + TIME(0,0,31)</f>
        <v>41030.000358796293</v>
      </c>
      <c r="C1064">
        <v>80</v>
      </c>
      <c r="D1064">
        <v>58.381050109999997</v>
      </c>
      <c r="E1064">
        <v>50</v>
      </c>
      <c r="F1064">
        <v>49.957519531000003</v>
      </c>
      <c r="G1064">
        <v>1355.7030029</v>
      </c>
      <c r="H1064">
        <v>1332.5343018000001</v>
      </c>
      <c r="I1064">
        <v>1328.3348389</v>
      </c>
      <c r="J1064">
        <v>1305.6723632999999</v>
      </c>
      <c r="K1064">
        <v>2875</v>
      </c>
      <c r="L1064">
        <v>0</v>
      </c>
      <c r="M1064">
        <v>0</v>
      </c>
      <c r="N1064">
        <v>2875</v>
      </c>
    </row>
    <row r="1065" spans="1:14" x14ac:dyDescent="0.25">
      <c r="A1065">
        <v>731.00109299999997</v>
      </c>
      <c r="B1065" s="1">
        <f>DATE(2012,5,1) + TIME(0,1,34)</f>
        <v>41030.001087962963</v>
      </c>
      <c r="C1065">
        <v>80</v>
      </c>
      <c r="D1065">
        <v>58.408985137999998</v>
      </c>
      <c r="E1065">
        <v>50</v>
      </c>
      <c r="F1065">
        <v>49.955963134999998</v>
      </c>
      <c r="G1065">
        <v>1367.8660889</v>
      </c>
      <c r="H1065">
        <v>1344.5329589999999</v>
      </c>
      <c r="I1065">
        <v>1317.0410156</v>
      </c>
      <c r="J1065">
        <v>1294.395874</v>
      </c>
      <c r="K1065">
        <v>2875</v>
      </c>
      <c r="L1065">
        <v>0</v>
      </c>
      <c r="M1065">
        <v>0</v>
      </c>
      <c r="N1065">
        <v>2875</v>
      </c>
    </row>
    <row r="1066" spans="1:14" x14ac:dyDescent="0.25">
      <c r="A1066">
        <v>731.00328000000002</v>
      </c>
      <c r="B1066" s="1">
        <f>DATE(2012,5,1) + TIME(0,4,43)</f>
        <v>41030.003275462965</v>
      </c>
      <c r="C1066">
        <v>80</v>
      </c>
      <c r="D1066">
        <v>58.490112304999997</v>
      </c>
      <c r="E1066">
        <v>50</v>
      </c>
      <c r="F1066">
        <v>49.954101561999998</v>
      </c>
      <c r="G1066">
        <v>1380.7816161999999</v>
      </c>
      <c r="H1066">
        <v>1357.2822266000001</v>
      </c>
      <c r="I1066">
        <v>1305.5510254000001</v>
      </c>
      <c r="J1066">
        <v>1282.8934326000001</v>
      </c>
      <c r="K1066">
        <v>2875</v>
      </c>
      <c r="L1066">
        <v>0</v>
      </c>
      <c r="M1066">
        <v>0</v>
      </c>
      <c r="N1066">
        <v>2875</v>
      </c>
    </row>
    <row r="1067" spans="1:14" x14ac:dyDescent="0.25">
      <c r="A1067">
        <v>731.00984100000005</v>
      </c>
      <c r="B1067" s="1">
        <f>DATE(2012,5,1) + TIME(0,14,10)</f>
        <v>41030.009837962964</v>
      </c>
      <c r="C1067">
        <v>80</v>
      </c>
      <c r="D1067">
        <v>58.729331969999997</v>
      </c>
      <c r="E1067">
        <v>50</v>
      </c>
      <c r="F1067">
        <v>49.951412200999997</v>
      </c>
      <c r="G1067">
        <v>1393.8745117000001</v>
      </c>
      <c r="H1067">
        <v>1370.2823486</v>
      </c>
      <c r="I1067">
        <v>1293.9860839999999</v>
      </c>
      <c r="J1067">
        <v>1271.2714844</v>
      </c>
      <c r="K1067">
        <v>2875</v>
      </c>
      <c r="L1067">
        <v>0</v>
      </c>
      <c r="M1067">
        <v>0</v>
      </c>
      <c r="N1067">
        <v>2875</v>
      </c>
    </row>
    <row r="1068" spans="1:14" x14ac:dyDescent="0.25">
      <c r="A1068">
        <v>731.02952400000004</v>
      </c>
      <c r="B1068" s="1">
        <f>DATE(2012,5,1) + TIME(0,42,30)</f>
        <v>41030.029513888891</v>
      </c>
      <c r="C1068">
        <v>80</v>
      </c>
      <c r="D1068">
        <v>59.422962189000003</v>
      </c>
      <c r="E1068">
        <v>50</v>
      </c>
      <c r="F1068">
        <v>49.946575164999999</v>
      </c>
      <c r="G1068">
        <v>1404.3076172000001</v>
      </c>
      <c r="H1068">
        <v>1380.8621826000001</v>
      </c>
      <c r="I1068">
        <v>1284.5390625</v>
      </c>
      <c r="J1068">
        <v>1261.7744141000001</v>
      </c>
      <c r="K1068">
        <v>2875</v>
      </c>
      <c r="L1068">
        <v>0</v>
      </c>
      <c r="M1068">
        <v>0</v>
      </c>
      <c r="N1068">
        <v>2875</v>
      </c>
    </row>
    <row r="1069" spans="1:14" x14ac:dyDescent="0.25">
      <c r="A1069">
        <v>731.05030699999998</v>
      </c>
      <c r="B1069" s="1">
        <f>DATE(2012,5,1) + TIME(1,12,26)</f>
        <v>41030.050300925926</v>
      </c>
      <c r="C1069">
        <v>80</v>
      </c>
      <c r="D1069">
        <v>60.130451202000003</v>
      </c>
      <c r="E1069">
        <v>50</v>
      </c>
      <c r="F1069">
        <v>49.942321776999997</v>
      </c>
      <c r="G1069">
        <v>1408.0612793</v>
      </c>
      <c r="H1069">
        <v>1384.8273925999999</v>
      </c>
      <c r="I1069">
        <v>1281.1820068</v>
      </c>
      <c r="J1069">
        <v>1258.4017334</v>
      </c>
      <c r="K1069">
        <v>2875</v>
      </c>
      <c r="L1069">
        <v>0</v>
      </c>
      <c r="M1069">
        <v>0</v>
      </c>
      <c r="N1069">
        <v>2875</v>
      </c>
    </row>
    <row r="1070" spans="1:14" x14ac:dyDescent="0.25">
      <c r="A1070">
        <v>731.07154200000002</v>
      </c>
      <c r="B1070" s="1">
        <f>DATE(2012,5,1) + TIME(1,43,1)</f>
        <v>41030.071539351855</v>
      </c>
      <c r="C1070">
        <v>80</v>
      </c>
      <c r="D1070">
        <v>60.827877045000001</v>
      </c>
      <c r="E1070">
        <v>50</v>
      </c>
      <c r="F1070">
        <v>49.938282012999998</v>
      </c>
      <c r="G1070">
        <v>1409.4700928</v>
      </c>
      <c r="H1070">
        <v>1386.4608154</v>
      </c>
      <c r="I1070">
        <v>1279.9606934000001</v>
      </c>
      <c r="J1070">
        <v>1257.1748047000001</v>
      </c>
      <c r="K1070">
        <v>2875</v>
      </c>
      <c r="L1070">
        <v>0</v>
      </c>
      <c r="M1070">
        <v>0</v>
      </c>
      <c r="N1070">
        <v>2875</v>
      </c>
    </row>
    <row r="1071" spans="1:14" x14ac:dyDescent="0.25">
      <c r="A1071">
        <v>731.09320300000002</v>
      </c>
      <c r="B1071" s="1">
        <f>DATE(2012,5,1) + TIME(2,14,12)</f>
        <v>41030.093194444446</v>
      </c>
      <c r="C1071">
        <v>80</v>
      </c>
      <c r="D1071">
        <v>61.514144897000001</v>
      </c>
      <c r="E1071">
        <v>50</v>
      </c>
      <c r="F1071">
        <v>49.934303284000002</v>
      </c>
      <c r="G1071">
        <v>1409.942749</v>
      </c>
      <c r="H1071">
        <v>1387.1564940999999</v>
      </c>
      <c r="I1071">
        <v>1279.5380858999999</v>
      </c>
      <c r="J1071">
        <v>1256.7497559000001</v>
      </c>
      <c r="K1071">
        <v>2875</v>
      </c>
      <c r="L1071">
        <v>0</v>
      </c>
      <c r="M1071">
        <v>0</v>
      </c>
      <c r="N1071">
        <v>2875</v>
      </c>
    </row>
    <row r="1072" spans="1:14" x14ac:dyDescent="0.25">
      <c r="A1072">
        <v>731.11529700000006</v>
      </c>
      <c r="B1072" s="1">
        <f>DATE(2012,5,1) + TIME(2,46,1)</f>
        <v>41030.115289351852</v>
      </c>
      <c r="C1072">
        <v>80</v>
      </c>
      <c r="D1072">
        <v>62.188850403000004</v>
      </c>
      <c r="E1072">
        <v>50</v>
      </c>
      <c r="F1072">
        <v>49.930320739999999</v>
      </c>
      <c r="G1072">
        <v>1410.0047606999999</v>
      </c>
      <c r="H1072">
        <v>1387.4359131000001</v>
      </c>
      <c r="I1072">
        <v>1279.4174805</v>
      </c>
      <c r="J1072">
        <v>1256.6279297000001</v>
      </c>
      <c r="K1072">
        <v>2875</v>
      </c>
      <c r="L1072">
        <v>0</v>
      </c>
      <c r="M1072">
        <v>0</v>
      </c>
      <c r="N1072">
        <v>2875</v>
      </c>
    </row>
    <row r="1073" spans="1:14" x14ac:dyDescent="0.25">
      <c r="A1073">
        <v>731.13783999999998</v>
      </c>
      <c r="B1073" s="1">
        <f>DATE(2012,5,1) + TIME(3,18,29)</f>
        <v>41030.137835648151</v>
      </c>
      <c r="C1073">
        <v>80</v>
      </c>
      <c r="D1073">
        <v>62.851913451999998</v>
      </c>
      <c r="E1073">
        <v>50</v>
      </c>
      <c r="F1073">
        <v>49.926311493</v>
      </c>
      <c r="G1073">
        <v>1409.8773193</v>
      </c>
      <c r="H1073">
        <v>1387.5189209</v>
      </c>
      <c r="I1073">
        <v>1279.4044189000001</v>
      </c>
      <c r="J1073">
        <v>1256.6141356999999</v>
      </c>
      <c r="K1073">
        <v>2875</v>
      </c>
      <c r="L1073">
        <v>0</v>
      </c>
      <c r="M1073">
        <v>0</v>
      </c>
      <c r="N1073">
        <v>2875</v>
      </c>
    </row>
    <row r="1074" spans="1:14" x14ac:dyDescent="0.25">
      <c r="A1074">
        <v>731.16085199999998</v>
      </c>
      <c r="B1074" s="1">
        <f>DATE(2012,5,1) + TIME(3,51,37)</f>
        <v>41030.160844907405</v>
      </c>
      <c r="C1074">
        <v>80</v>
      </c>
      <c r="D1074">
        <v>63.503345490000001</v>
      </c>
      <c r="E1074">
        <v>50</v>
      </c>
      <c r="F1074">
        <v>49.922267914000003</v>
      </c>
      <c r="G1074">
        <v>1409.6608887</v>
      </c>
      <c r="H1074">
        <v>1387.5057373</v>
      </c>
      <c r="I1074">
        <v>1279.4233397999999</v>
      </c>
      <c r="J1074">
        <v>1256.6324463000001</v>
      </c>
      <c r="K1074">
        <v>2875</v>
      </c>
      <c r="L1074">
        <v>0</v>
      </c>
      <c r="M1074">
        <v>0</v>
      </c>
      <c r="N1074">
        <v>2875</v>
      </c>
    </row>
    <row r="1075" spans="1:14" x14ac:dyDescent="0.25">
      <c r="A1075">
        <v>731.18435699999998</v>
      </c>
      <c r="B1075" s="1">
        <f>DATE(2012,5,1) + TIME(4,25,28)</f>
        <v>41030.184351851851</v>
      </c>
      <c r="C1075">
        <v>80</v>
      </c>
      <c r="D1075">
        <v>64.143211364999999</v>
      </c>
      <c r="E1075">
        <v>50</v>
      </c>
      <c r="F1075">
        <v>49.918174743999998</v>
      </c>
      <c r="G1075">
        <v>1409.402832</v>
      </c>
      <c r="H1075">
        <v>1387.4440918</v>
      </c>
      <c r="I1075">
        <v>1279.4467772999999</v>
      </c>
      <c r="J1075">
        <v>1256.6555175999999</v>
      </c>
      <c r="K1075">
        <v>2875</v>
      </c>
      <c r="L1075">
        <v>0</v>
      </c>
      <c r="M1075">
        <v>0</v>
      </c>
      <c r="N1075">
        <v>2875</v>
      </c>
    </row>
    <row r="1076" spans="1:14" x14ac:dyDescent="0.25">
      <c r="A1076">
        <v>731.20837700000004</v>
      </c>
      <c r="B1076" s="1">
        <f>DATE(2012,5,1) + TIME(5,0,3)</f>
        <v>41030.208368055559</v>
      </c>
      <c r="C1076">
        <v>80</v>
      </c>
      <c r="D1076">
        <v>64.771453856999997</v>
      </c>
      <c r="E1076">
        <v>50</v>
      </c>
      <c r="F1076">
        <v>49.914035796999997</v>
      </c>
      <c r="G1076">
        <v>1409.1270752</v>
      </c>
      <c r="H1076">
        <v>1387.3576660000001</v>
      </c>
      <c r="I1076">
        <v>1279.4664307</v>
      </c>
      <c r="J1076">
        <v>1256.6746826000001</v>
      </c>
      <c r="K1076">
        <v>2875</v>
      </c>
      <c r="L1076">
        <v>0</v>
      </c>
      <c r="M1076">
        <v>0</v>
      </c>
      <c r="N1076">
        <v>2875</v>
      </c>
    </row>
    <row r="1077" spans="1:14" x14ac:dyDescent="0.25">
      <c r="A1077">
        <v>731.23294299999998</v>
      </c>
      <c r="B1077" s="1">
        <f>DATE(2012,5,1) + TIME(5,35,26)</f>
        <v>41030.232939814814</v>
      </c>
      <c r="C1077">
        <v>80</v>
      </c>
      <c r="D1077">
        <v>65.388305664000001</v>
      </c>
      <c r="E1077">
        <v>50</v>
      </c>
      <c r="F1077">
        <v>49.909847259999999</v>
      </c>
      <c r="G1077">
        <v>1408.8454589999999</v>
      </c>
      <c r="H1077">
        <v>1387.2586670000001</v>
      </c>
      <c r="I1077">
        <v>1279.4807129000001</v>
      </c>
      <c r="J1077">
        <v>1256.6884766000001</v>
      </c>
      <c r="K1077">
        <v>2875</v>
      </c>
      <c r="L1077">
        <v>0</v>
      </c>
      <c r="M1077">
        <v>0</v>
      </c>
      <c r="N1077">
        <v>2875</v>
      </c>
    </row>
    <row r="1078" spans="1:14" x14ac:dyDescent="0.25">
      <c r="A1078">
        <v>731.25808700000005</v>
      </c>
      <c r="B1078" s="1">
        <f>DATE(2012,5,1) + TIME(6,11,38)</f>
        <v>41030.2580787037</v>
      </c>
      <c r="C1078">
        <v>80</v>
      </c>
      <c r="D1078">
        <v>65.993804932000003</v>
      </c>
      <c r="E1078">
        <v>50</v>
      </c>
      <c r="F1078">
        <v>49.905601501</v>
      </c>
      <c r="G1078">
        <v>1408.5643310999999</v>
      </c>
      <c r="H1078">
        <v>1387.1539307</v>
      </c>
      <c r="I1078">
        <v>1279.4903564000001</v>
      </c>
      <c r="J1078">
        <v>1256.6976318</v>
      </c>
      <c r="K1078">
        <v>2875</v>
      </c>
      <c r="L1078">
        <v>0</v>
      </c>
      <c r="M1078">
        <v>0</v>
      </c>
      <c r="N1078">
        <v>2875</v>
      </c>
    </row>
    <row r="1079" spans="1:14" x14ac:dyDescent="0.25">
      <c r="A1079">
        <v>731.28384000000005</v>
      </c>
      <c r="B1079" s="1">
        <f>DATE(2012,5,1) + TIME(6,48,43)</f>
        <v>41030.283831018518</v>
      </c>
      <c r="C1079">
        <v>80</v>
      </c>
      <c r="D1079">
        <v>66.587951660000002</v>
      </c>
      <c r="E1079">
        <v>50</v>
      </c>
      <c r="F1079">
        <v>49.901298523000001</v>
      </c>
      <c r="G1079">
        <v>1408.2868652</v>
      </c>
      <c r="H1079">
        <v>1387.0467529</v>
      </c>
      <c r="I1079">
        <v>1279.4964600000001</v>
      </c>
      <c r="J1079">
        <v>1256.7033690999999</v>
      </c>
      <c r="K1079">
        <v>2875</v>
      </c>
      <c r="L1079">
        <v>0</v>
      </c>
      <c r="M1079">
        <v>0</v>
      </c>
      <c r="N1079">
        <v>2875</v>
      </c>
    </row>
    <row r="1080" spans="1:14" x14ac:dyDescent="0.25">
      <c r="A1080">
        <v>731.31023900000002</v>
      </c>
      <c r="B1080" s="1">
        <f>DATE(2012,5,1) + TIME(7,26,44)</f>
        <v>41030.310231481482</v>
      </c>
      <c r="C1080">
        <v>80</v>
      </c>
      <c r="D1080">
        <v>67.170768738000007</v>
      </c>
      <c r="E1080">
        <v>50</v>
      </c>
      <c r="F1080">
        <v>49.896930695000002</v>
      </c>
      <c r="G1080">
        <v>1408.0151367000001</v>
      </c>
      <c r="H1080">
        <v>1386.9392089999999</v>
      </c>
      <c r="I1080">
        <v>1279.5003661999999</v>
      </c>
      <c r="J1080">
        <v>1256.7066649999999</v>
      </c>
      <c r="K1080">
        <v>2875</v>
      </c>
      <c r="L1080">
        <v>0</v>
      </c>
      <c r="M1080">
        <v>0</v>
      </c>
      <c r="N1080">
        <v>2875</v>
      </c>
    </row>
    <row r="1081" spans="1:14" x14ac:dyDescent="0.25">
      <c r="A1081">
        <v>731.33732199999997</v>
      </c>
      <c r="B1081" s="1">
        <f>DATE(2012,5,1) + TIME(8,5,44)</f>
        <v>41030.337314814817</v>
      </c>
      <c r="C1081">
        <v>80</v>
      </c>
      <c r="D1081">
        <v>67.742294311999999</v>
      </c>
      <c r="E1081">
        <v>50</v>
      </c>
      <c r="F1081">
        <v>49.892498015999998</v>
      </c>
      <c r="G1081">
        <v>1407.7497559000001</v>
      </c>
      <c r="H1081">
        <v>1386.8325195</v>
      </c>
      <c r="I1081">
        <v>1279.5025635</v>
      </c>
      <c r="J1081">
        <v>1256.7084961</v>
      </c>
      <c r="K1081">
        <v>2875</v>
      </c>
      <c r="L1081">
        <v>0</v>
      </c>
      <c r="M1081">
        <v>0</v>
      </c>
      <c r="N1081">
        <v>2875</v>
      </c>
    </row>
    <row r="1082" spans="1:14" x14ac:dyDescent="0.25">
      <c r="A1082">
        <v>731.36513100000002</v>
      </c>
      <c r="B1082" s="1">
        <f>DATE(2012,5,1) + TIME(8,45,47)</f>
        <v>41030.365127314813</v>
      </c>
      <c r="C1082">
        <v>80</v>
      </c>
      <c r="D1082">
        <v>68.302520752000007</v>
      </c>
      <c r="E1082">
        <v>50</v>
      </c>
      <c r="F1082">
        <v>49.887992859000001</v>
      </c>
      <c r="G1082">
        <v>1407.4910889</v>
      </c>
      <c r="H1082">
        <v>1386.7271728999999</v>
      </c>
      <c r="I1082">
        <v>1279.5039062000001</v>
      </c>
      <c r="J1082">
        <v>1256.7092285000001</v>
      </c>
      <c r="K1082">
        <v>2875</v>
      </c>
      <c r="L1082">
        <v>0</v>
      </c>
      <c r="M1082">
        <v>0</v>
      </c>
      <c r="N1082">
        <v>2875</v>
      </c>
    </row>
    <row r="1083" spans="1:14" x14ac:dyDescent="0.25">
      <c r="A1083">
        <v>731.39371000000006</v>
      </c>
      <c r="B1083" s="1">
        <f>DATE(2012,5,1) + TIME(9,26,56)</f>
        <v>41030.393703703703</v>
      </c>
      <c r="C1083">
        <v>80</v>
      </c>
      <c r="D1083">
        <v>68.851470946999996</v>
      </c>
      <c r="E1083">
        <v>50</v>
      </c>
      <c r="F1083">
        <v>49.883407593000001</v>
      </c>
      <c r="G1083">
        <v>1407.2393798999999</v>
      </c>
      <c r="H1083">
        <v>1386.6234131000001</v>
      </c>
      <c r="I1083">
        <v>1279.5045166</v>
      </c>
      <c r="J1083">
        <v>1256.7093506000001</v>
      </c>
      <c r="K1083">
        <v>2875</v>
      </c>
      <c r="L1083">
        <v>0</v>
      </c>
      <c r="M1083">
        <v>0</v>
      </c>
      <c r="N1083">
        <v>2875</v>
      </c>
    </row>
    <row r="1084" spans="1:14" x14ac:dyDescent="0.25">
      <c r="A1084">
        <v>731.42310799999996</v>
      </c>
      <c r="B1084" s="1">
        <f>DATE(2012,5,1) + TIME(10,9,16)</f>
        <v>41030.423101851855</v>
      </c>
      <c r="C1084">
        <v>80</v>
      </c>
      <c r="D1084">
        <v>69.389114379999995</v>
      </c>
      <c r="E1084">
        <v>50</v>
      </c>
      <c r="F1084">
        <v>49.878746032999999</v>
      </c>
      <c r="G1084">
        <v>1406.9945068</v>
      </c>
      <c r="H1084">
        <v>1386.5213623</v>
      </c>
      <c r="I1084">
        <v>1279.5046387</v>
      </c>
      <c r="J1084">
        <v>1256.7089844</v>
      </c>
      <c r="K1084">
        <v>2875</v>
      </c>
      <c r="L1084">
        <v>0</v>
      </c>
      <c r="M1084">
        <v>0</v>
      </c>
      <c r="N1084">
        <v>2875</v>
      </c>
    </row>
    <row r="1085" spans="1:14" x14ac:dyDescent="0.25">
      <c r="A1085">
        <v>731.45337900000004</v>
      </c>
      <c r="B1085" s="1">
        <f>DATE(2012,5,1) + TIME(10,52,51)</f>
        <v>41030.453368055554</v>
      </c>
      <c r="C1085">
        <v>80</v>
      </c>
      <c r="D1085">
        <v>69.915443420000003</v>
      </c>
      <c r="E1085">
        <v>50</v>
      </c>
      <c r="F1085">
        <v>49.873992919999999</v>
      </c>
      <c r="G1085">
        <v>1406.7562256000001</v>
      </c>
      <c r="H1085">
        <v>1386.4210204999999</v>
      </c>
      <c r="I1085">
        <v>1279.5046387</v>
      </c>
      <c r="J1085">
        <v>1256.708374</v>
      </c>
      <c r="K1085">
        <v>2875</v>
      </c>
      <c r="L1085">
        <v>0</v>
      </c>
      <c r="M1085">
        <v>0</v>
      </c>
      <c r="N1085">
        <v>2875</v>
      </c>
    </row>
    <row r="1086" spans="1:14" x14ac:dyDescent="0.25">
      <c r="A1086">
        <v>731.48458900000003</v>
      </c>
      <c r="B1086" s="1">
        <f>DATE(2012,5,1) + TIME(11,37,48)</f>
        <v>41030.484583333331</v>
      </c>
      <c r="C1086">
        <v>80</v>
      </c>
      <c r="D1086">
        <v>70.430213928000001</v>
      </c>
      <c r="E1086">
        <v>50</v>
      </c>
      <c r="F1086">
        <v>49.869144439999999</v>
      </c>
      <c r="G1086">
        <v>1406.5241699000001</v>
      </c>
      <c r="H1086">
        <v>1386.3223877</v>
      </c>
      <c r="I1086">
        <v>1279.5042725000001</v>
      </c>
      <c r="J1086">
        <v>1256.7075195</v>
      </c>
      <c r="K1086">
        <v>2875</v>
      </c>
      <c r="L1086">
        <v>0</v>
      </c>
      <c r="M1086">
        <v>0</v>
      </c>
      <c r="N1086">
        <v>2875</v>
      </c>
    </row>
    <row r="1087" spans="1:14" x14ac:dyDescent="0.25">
      <c r="A1087">
        <v>731.51680299999998</v>
      </c>
      <c r="B1087" s="1">
        <f>DATE(2012,5,1) + TIME(12,24,11)</f>
        <v>41030.516793981478</v>
      </c>
      <c r="C1087">
        <v>80</v>
      </c>
      <c r="D1087">
        <v>70.933647156000006</v>
      </c>
      <c r="E1087">
        <v>50</v>
      </c>
      <c r="F1087">
        <v>49.864196776999997</v>
      </c>
      <c r="G1087">
        <v>1406.2982178</v>
      </c>
      <c r="H1087">
        <v>1386.2252197</v>
      </c>
      <c r="I1087">
        <v>1279.5039062000001</v>
      </c>
      <c r="J1087">
        <v>1256.706543</v>
      </c>
      <c r="K1087">
        <v>2875</v>
      </c>
      <c r="L1087">
        <v>0</v>
      </c>
      <c r="M1087">
        <v>0</v>
      </c>
      <c r="N1087">
        <v>2875</v>
      </c>
    </row>
    <row r="1088" spans="1:14" x14ac:dyDescent="0.25">
      <c r="A1088">
        <v>731.55008599999996</v>
      </c>
      <c r="B1088" s="1">
        <f>DATE(2012,5,1) + TIME(13,12,7)</f>
        <v>41030.550081018519</v>
      </c>
      <c r="C1088">
        <v>80</v>
      </c>
      <c r="D1088">
        <v>71.425621032999999</v>
      </c>
      <c r="E1088">
        <v>50</v>
      </c>
      <c r="F1088">
        <v>49.859134674000003</v>
      </c>
      <c r="G1088">
        <v>1406.0780029</v>
      </c>
      <c r="H1088">
        <v>1386.1295166</v>
      </c>
      <c r="I1088">
        <v>1279.503418</v>
      </c>
      <c r="J1088">
        <v>1256.7054443</v>
      </c>
      <c r="K1088">
        <v>2875</v>
      </c>
      <c r="L1088">
        <v>0</v>
      </c>
      <c r="M1088">
        <v>0</v>
      </c>
      <c r="N1088">
        <v>2875</v>
      </c>
    </row>
    <row r="1089" spans="1:14" x14ac:dyDescent="0.25">
      <c r="A1089">
        <v>731.58451500000001</v>
      </c>
      <c r="B1089" s="1">
        <f>DATE(2012,5,1) + TIME(14,1,42)</f>
        <v>41030.584513888891</v>
      </c>
      <c r="C1089">
        <v>80</v>
      </c>
      <c r="D1089">
        <v>71.906074524000005</v>
      </c>
      <c r="E1089">
        <v>50</v>
      </c>
      <c r="F1089">
        <v>49.853958130000002</v>
      </c>
      <c r="G1089">
        <v>1405.8634033000001</v>
      </c>
      <c r="H1089">
        <v>1386.0351562000001</v>
      </c>
      <c r="I1089">
        <v>1279.5028076000001</v>
      </c>
      <c r="J1089">
        <v>1256.7043457</v>
      </c>
      <c r="K1089">
        <v>2875</v>
      </c>
      <c r="L1089">
        <v>0</v>
      </c>
      <c r="M1089">
        <v>0</v>
      </c>
      <c r="N1089">
        <v>2875</v>
      </c>
    </row>
    <row r="1090" spans="1:14" x14ac:dyDescent="0.25">
      <c r="A1090">
        <v>731.62017700000001</v>
      </c>
      <c r="B1090" s="1">
        <f>DATE(2012,5,1) + TIME(14,53,3)</f>
        <v>41030.620173611111</v>
      </c>
      <c r="C1090">
        <v>80</v>
      </c>
      <c r="D1090">
        <v>72.374931334999999</v>
      </c>
      <c r="E1090">
        <v>50</v>
      </c>
      <c r="F1090">
        <v>49.848655700999998</v>
      </c>
      <c r="G1090">
        <v>1405.6540527</v>
      </c>
      <c r="H1090">
        <v>1385.9418945</v>
      </c>
      <c r="I1090">
        <v>1279.5020752</v>
      </c>
      <c r="J1090">
        <v>1256.7030029</v>
      </c>
      <c r="K1090">
        <v>2875</v>
      </c>
      <c r="L1090">
        <v>0</v>
      </c>
      <c r="M1090">
        <v>0</v>
      </c>
      <c r="N1090">
        <v>2875</v>
      </c>
    </row>
    <row r="1091" spans="1:14" x14ac:dyDescent="0.25">
      <c r="A1091">
        <v>731.65716799999996</v>
      </c>
      <c r="B1091" s="1">
        <f>DATE(2012,5,1) + TIME(15,46,19)</f>
        <v>41030.657164351855</v>
      </c>
      <c r="C1091">
        <v>80</v>
      </c>
      <c r="D1091">
        <v>72.832099915000001</v>
      </c>
      <c r="E1091">
        <v>50</v>
      </c>
      <c r="F1091">
        <v>49.843212127999998</v>
      </c>
      <c r="G1091">
        <v>1405.4495850000001</v>
      </c>
      <c r="H1091">
        <v>1385.8497314000001</v>
      </c>
      <c r="I1091">
        <v>1279.5013428</v>
      </c>
      <c r="J1091">
        <v>1256.7016602000001</v>
      </c>
      <c r="K1091">
        <v>2875</v>
      </c>
      <c r="L1091">
        <v>0</v>
      </c>
      <c r="M1091">
        <v>0</v>
      </c>
      <c r="N1091">
        <v>2875</v>
      </c>
    </row>
    <row r="1092" spans="1:14" x14ac:dyDescent="0.25">
      <c r="A1092">
        <v>731.69559600000002</v>
      </c>
      <c r="B1092" s="1">
        <f>DATE(2012,5,1) + TIME(16,41,39)</f>
        <v>41030.695590277777</v>
      </c>
      <c r="C1092">
        <v>80</v>
      </c>
      <c r="D1092">
        <v>73.277488708000007</v>
      </c>
      <c r="E1092">
        <v>50</v>
      </c>
      <c r="F1092">
        <v>49.837619781000001</v>
      </c>
      <c r="G1092">
        <v>1405.2498779</v>
      </c>
      <c r="H1092">
        <v>1385.7583007999999</v>
      </c>
      <c r="I1092">
        <v>1279.5004882999999</v>
      </c>
      <c r="J1092">
        <v>1256.7003173999999</v>
      </c>
      <c r="K1092">
        <v>2875</v>
      </c>
      <c r="L1092">
        <v>0</v>
      </c>
      <c r="M1092">
        <v>0</v>
      </c>
      <c r="N1092">
        <v>2875</v>
      </c>
    </row>
    <row r="1093" spans="1:14" x14ac:dyDescent="0.25">
      <c r="A1093">
        <v>731.73558200000002</v>
      </c>
      <c r="B1093" s="1">
        <f>DATE(2012,5,1) + TIME(17,39,14)</f>
        <v>41030.735578703701</v>
      </c>
      <c r="C1093">
        <v>80</v>
      </c>
      <c r="D1093">
        <v>73.710975646999998</v>
      </c>
      <c r="E1093">
        <v>50</v>
      </c>
      <c r="F1093">
        <v>49.831871032999999</v>
      </c>
      <c r="G1093">
        <v>1405.0545654</v>
      </c>
      <c r="H1093">
        <v>1385.6676024999999</v>
      </c>
      <c r="I1093">
        <v>1279.4996338000001</v>
      </c>
      <c r="J1093">
        <v>1256.6987305</v>
      </c>
      <c r="K1093">
        <v>2875</v>
      </c>
      <c r="L1093">
        <v>0</v>
      </c>
      <c r="M1093">
        <v>0</v>
      </c>
      <c r="N1093">
        <v>2875</v>
      </c>
    </row>
    <row r="1094" spans="1:14" x14ac:dyDescent="0.25">
      <c r="A1094">
        <v>731.77726199999995</v>
      </c>
      <c r="B1094" s="1">
        <f>DATE(2012,5,1) + TIME(18,39,15)</f>
        <v>41030.777256944442</v>
      </c>
      <c r="C1094">
        <v>80</v>
      </c>
      <c r="D1094">
        <v>74.132438660000005</v>
      </c>
      <c r="E1094">
        <v>50</v>
      </c>
      <c r="F1094">
        <v>49.825939177999999</v>
      </c>
      <c r="G1094">
        <v>1404.8632812000001</v>
      </c>
      <c r="H1094">
        <v>1385.5775146000001</v>
      </c>
      <c r="I1094">
        <v>1279.4987793</v>
      </c>
      <c r="J1094">
        <v>1256.6971435999999</v>
      </c>
      <c r="K1094">
        <v>2875</v>
      </c>
      <c r="L1094">
        <v>0</v>
      </c>
      <c r="M1094">
        <v>0</v>
      </c>
      <c r="N1094">
        <v>2875</v>
      </c>
    </row>
    <row r="1095" spans="1:14" x14ac:dyDescent="0.25">
      <c r="A1095">
        <v>731.82078899999999</v>
      </c>
      <c r="B1095" s="1">
        <f>DATE(2012,5,1) + TIME(19,41,56)</f>
        <v>41030.820787037039</v>
      </c>
      <c r="C1095">
        <v>80</v>
      </c>
      <c r="D1095">
        <v>74.541740417</v>
      </c>
      <c r="E1095">
        <v>50</v>
      </c>
      <c r="F1095">
        <v>49.819820403999998</v>
      </c>
      <c r="G1095">
        <v>1404.6759033000001</v>
      </c>
      <c r="H1095">
        <v>1385.4876709</v>
      </c>
      <c r="I1095">
        <v>1279.4976807</v>
      </c>
      <c r="J1095">
        <v>1256.6955565999999</v>
      </c>
      <c r="K1095">
        <v>2875</v>
      </c>
      <c r="L1095">
        <v>0</v>
      </c>
      <c r="M1095">
        <v>0</v>
      </c>
      <c r="N1095">
        <v>2875</v>
      </c>
    </row>
    <row r="1096" spans="1:14" x14ac:dyDescent="0.25">
      <c r="A1096">
        <v>731.86634100000003</v>
      </c>
      <c r="B1096" s="1">
        <f>DATE(2012,5,1) + TIME(20,47,31)</f>
        <v>41030.866331018522</v>
      </c>
      <c r="C1096">
        <v>80</v>
      </c>
      <c r="D1096">
        <v>74.938751221000004</v>
      </c>
      <c r="E1096">
        <v>50</v>
      </c>
      <c r="F1096">
        <v>49.813488006999997</v>
      </c>
      <c r="G1096">
        <v>1404.4920654</v>
      </c>
      <c r="H1096">
        <v>1385.3980713000001</v>
      </c>
      <c r="I1096">
        <v>1279.496582</v>
      </c>
      <c r="J1096">
        <v>1256.6937256000001</v>
      </c>
      <c r="K1096">
        <v>2875</v>
      </c>
      <c r="L1096">
        <v>0</v>
      </c>
      <c r="M1096">
        <v>0</v>
      </c>
      <c r="N1096">
        <v>2875</v>
      </c>
    </row>
    <row r="1097" spans="1:14" x14ac:dyDescent="0.25">
      <c r="A1097">
        <v>731.91414799999995</v>
      </c>
      <c r="B1097" s="1">
        <f>DATE(2012,5,1) + TIME(21,56,22)</f>
        <v>41030.914143518516</v>
      </c>
      <c r="C1097">
        <v>80</v>
      </c>
      <c r="D1097">
        <v>75.323272704999994</v>
      </c>
      <c r="E1097">
        <v>50</v>
      </c>
      <c r="F1097">
        <v>49.806922913000001</v>
      </c>
      <c r="G1097">
        <v>1404.3114014</v>
      </c>
      <c r="H1097">
        <v>1385.3083495999999</v>
      </c>
      <c r="I1097">
        <v>1279.4954834</v>
      </c>
      <c r="J1097">
        <v>1256.6918945</v>
      </c>
      <c r="K1097">
        <v>2875</v>
      </c>
      <c r="L1097">
        <v>0</v>
      </c>
      <c r="M1097">
        <v>0</v>
      </c>
      <c r="N1097">
        <v>2875</v>
      </c>
    </row>
    <row r="1098" spans="1:14" x14ac:dyDescent="0.25">
      <c r="A1098">
        <v>731.96441500000003</v>
      </c>
      <c r="B1098" s="1">
        <f>DATE(2012,5,1) + TIME(23,8,45)</f>
        <v>41030.964409722219</v>
      </c>
      <c r="C1098">
        <v>80</v>
      </c>
      <c r="D1098">
        <v>75.695068359000004</v>
      </c>
      <c r="E1098">
        <v>50</v>
      </c>
      <c r="F1098">
        <v>49.800102234000001</v>
      </c>
      <c r="G1098">
        <v>1404.1337891000001</v>
      </c>
      <c r="H1098">
        <v>1385.2183838000001</v>
      </c>
      <c r="I1098">
        <v>1279.4942627</v>
      </c>
      <c r="J1098">
        <v>1256.6899414</v>
      </c>
      <c r="K1098">
        <v>2875</v>
      </c>
      <c r="L1098">
        <v>0</v>
      </c>
      <c r="M1098">
        <v>0</v>
      </c>
      <c r="N1098">
        <v>2875</v>
      </c>
    </row>
    <row r="1099" spans="1:14" x14ac:dyDescent="0.25">
      <c r="A1099">
        <v>732.01740900000004</v>
      </c>
      <c r="B1099" s="1">
        <f>DATE(2012,5,2) + TIME(0,25,4)</f>
        <v>41031.017407407409</v>
      </c>
      <c r="C1099">
        <v>80</v>
      </c>
      <c r="D1099">
        <v>76.053970336999996</v>
      </c>
      <c r="E1099">
        <v>50</v>
      </c>
      <c r="F1099">
        <v>49.792995453000003</v>
      </c>
      <c r="G1099">
        <v>1403.9588623</v>
      </c>
      <c r="H1099">
        <v>1385.1280518000001</v>
      </c>
      <c r="I1099">
        <v>1279.4929199000001</v>
      </c>
      <c r="J1099">
        <v>1256.6878661999999</v>
      </c>
      <c r="K1099">
        <v>2875</v>
      </c>
      <c r="L1099">
        <v>0</v>
      </c>
      <c r="M1099">
        <v>0</v>
      </c>
      <c r="N1099">
        <v>2875</v>
      </c>
    </row>
    <row r="1100" spans="1:14" x14ac:dyDescent="0.25">
      <c r="A1100">
        <v>732.07344399999999</v>
      </c>
      <c r="B1100" s="1">
        <f>DATE(2012,5,2) + TIME(1,45,45)</f>
        <v>41031.073437500003</v>
      </c>
      <c r="C1100">
        <v>80</v>
      </c>
      <c r="D1100">
        <v>76.399772643999995</v>
      </c>
      <c r="E1100">
        <v>50</v>
      </c>
      <c r="F1100">
        <v>49.785575866999999</v>
      </c>
      <c r="G1100">
        <v>1403.7862548999999</v>
      </c>
      <c r="H1100">
        <v>1385.0369873</v>
      </c>
      <c r="I1100">
        <v>1279.4915771000001</v>
      </c>
      <c r="J1100">
        <v>1256.6856689000001</v>
      </c>
      <c r="K1100">
        <v>2875</v>
      </c>
      <c r="L1100">
        <v>0</v>
      </c>
      <c r="M1100">
        <v>0</v>
      </c>
      <c r="N1100">
        <v>2875</v>
      </c>
    </row>
    <row r="1101" spans="1:14" x14ac:dyDescent="0.25">
      <c r="A1101">
        <v>732.13288999999997</v>
      </c>
      <c r="B1101" s="1">
        <f>DATE(2012,5,2) + TIME(3,11,21)</f>
        <v>41031.132881944446</v>
      </c>
      <c r="C1101">
        <v>80</v>
      </c>
      <c r="D1101">
        <v>76.732223511000001</v>
      </c>
      <c r="E1101">
        <v>50</v>
      </c>
      <c r="F1101">
        <v>49.777801513999997</v>
      </c>
      <c r="G1101">
        <v>1403.6157227000001</v>
      </c>
      <c r="H1101">
        <v>1384.9451904</v>
      </c>
      <c r="I1101">
        <v>1279.4901123</v>
      </c>
      <c r="J1101">
        <v>1256.6834716999999</v>
      </c>
      <c r="K1101">
        <v>2875</v>
      </c>
      <c r="L1101">
        <v>0</v>
      </c>
      <c r="M1101">
        <v>0</v>
      </c>
      <c r="N1101">
        <v>2875</v>
      </c>
    </row>
    <row r="1102" spans="1:14" x14ac:dyDescent="0.25">
      <c r="A1102">
        <v>732.19617200000005</v>
      </c>
      <c r="B1102" s="1">
        <f>DATE(2012,5,2) + TIME(4,42,29)</f>
        <v>41031.196168981478</v>
      </c>
      <c r="C1102">
        <v>80</v>
      </c>
      <c r="D1102">
        <v>77.051002502000003</v>
      </c>
      <c r="E1102">
        <v>50</v>
      </c>
      <c r="F1102">
        <v>49.769634246999999</v>
      </c>
      <c r="G1102">
        <v>1403.4468993999999</v>
      </c>
      <c r="H1102">
        <v>1384.8521728999999</v>
      </c>
      <c r="I1102">
        <v>1279.4885254000001</v>
      </c>
      <c r="J1102">
        <v>1256.6810303</v>
      </c>
      <c r="K1102">
        <v>2875</v>
      </c>
      <c r="L1102">
        <v>0</v>
      </c>
      <c r="M1102">
        <v>0</v>
      </c>
      <c r="N1102">
        <v>2875</v>
      </c>
    </row>
    <row r="1103" spans="1:14" x14ac:dyDescent="0.25">
      <c r="A1103">
        <v>732.263824</v>
      </c>
      <c r="B1103" s="1">
        <f>DATE(2012,5,2) + TIME(6,19,54)</f>
        <v>41031.263819444444</v>
      </c>
      <c r="C1103">
        <v>80</v>
      </c>
      <c r="D1103">
        <v>77.355880737000007</v>
      </c>
      <c r="E1103">
        <v>50</v>
      </c>
      <c r="F1103">
        <v>49.76102066</v>
      </c>
      <c r="G1103">
        <v>1403.2794189000001</v>
      </c>
      <c r="H1103">
        <v>1384.7575684000001</v>
      </c>
      <c r="I1103">
        <v>1279.4868164</v>
      </c>
      <c r="J1103">
        <v>1256.6784668</v>
      </c>
      <c r="K1103">
        <v>2875</v>
      </c>
      <c r="L1103">
        <v>0</v>
      </c>
      <c r="M1103">
        <v>0</v>
      </c>
      <c r="N1103">
        <v>2875</v>
      </c>
    </row>
    <row r="1104" spans="1:14" x14ac:dyDescent="0.25">
      <c r="A1104">
        <v>732.33648700000003</v>
      </c>
      <c r="B1104" s="1">
        <f>DATE(2012,5,2) + TIME(8,4,32)</f>
        <v>41031.336481481485</v>
      </c>
      <c r="C1104">
        <v>80</v>
      </c>
      <c r="D1104">
        <v>77.646537781000006</v>
      </c>
      <c r="E1104">
        <v>50</v>
      </c>
      <c r="F1104">
        <v>49.751892089999998</v>
      </c>
      <c r="G1104">
        <v>1403.112793</v>
      </c>
      <c r="H1104">
        <v>1384.6612548999999</v>
      </c>
      <c r="I1104">
        <v>1279.4851074000001</v>
      </c>
      <c r="J1104">
        <v>1256.6756591999999</v>
      </c>
      <c r="K1104">
        <v>2875</v>
      </c>
      <c r="L1104">
        <v>0</v>
      </c>
      <c r="M1104">
        <v>0</v>
      </c>
      <c r="N1104">
        <v>2875</v>
      </c>
    </row>
    <row r="1105" spans="1:14" x14ac:dyDescent="0.25">
      <c r="A1105">
        <v>732.41494699999998</v>
      </c>
      <c r="B1105" s="1">
        <f>DATE(2012,5,2) + TIME(9,57,31)</f>
        <v>41031.414942129632</v>
      </c>
      <c r="C1105">
        <v>80</v>
      </c>
      <c r="D1105">
        <v>77.922630310000002</v>
      </c>
      <c r="E1105">
        <v>50</v>
      </c>
      <c r="F1105">
        <v>49.742179870999998</v>
      </c>
      <c r="G1105">
        <v>1402.9466553</v>
      </c>
      <c r="H1105">
        <v>1384.5627440999999</v>
      </c>
      <c r="I1105">
        <v>1279.4831543</v>
      </c>
      <c r="J1105">
        <v>1256.6727295000001</v>
      </c>
      <c r="K1105">
        <v>2875</v>
      </c>
      <c r="L1105">
        <v>0</v>
      </c>
      <c r="M1105">
        <v>0</v>
      </c>
      <c r="N1105">
        <v>2875</v>
      </c>
    </row>
    <row r="1106" spans="1:14" x14ac:dyDescent="0.25">
      <c r="A1106">
        <v>732.500182</v>
      </c>
      <c r="B1106" s="1">
        <f>DATE(2012,5,2) + TIME(12,0,15)</f>
        <v>41031.500173611108</v>
      </c>
      <c r="C1106">
        <v>80</v>
      </c>
      <c r="D1106">
        <v>78.183792113999999</v>
      </c>
      <c r="E1106">
        <v>50</v>
      </c>
      <c r="F1106">
        <v>49.731781005999999</v>
      </c>
      <c r="G1106">
        <v>1402.7803954999999</v>
      </c>
      <c r="H1106">
        <v>1384.4615478999999</v>
      </c>
      <c r="I1106">
        <v>1279.480957</v>
      </c>
      <c r="J1106">
        <v>1256.6695557</v>
      </c>
      <c r="K1106">
        <v>2875</v>
      </c>
      <c r="L1106">
        <v>0</v>
      </c>
      <c r="M1106">
        <v>0</v>
      </c>
      <c r="N1106">
        <v>2875</v>
      </c>
    </row>
    <row r="1107" spans="1:14" x14ac:dyDescent="0.25">
      <c r="A1107">
        <v>732.58868500000005</v>
      </c>
      <c r="B1107" s="1">
        <f>DATE(2012,5,2) + TIME(14,7,42)</f>
        <v>41031.588680555556</v>
      </c>
      <c r="C1107">
        <v>80</v>
      </c>
      <c r="D1107">
        <v>78.418746948000006</v>
      </c>
      <c r="E1107">
        <v>50</v>
      </c>
      <c r="F1107">
        <v>49.721092224000003</v>
      </c>
      <c r="G1107">
        <v>1402.6196289</v>
      </c>
      <c r="H1107">
        <v>1384.3601074000001</v>
      </c>
      <c r="I1107">
        <v>1279.4786377</v>
      </c>
      <c r="J1107">
        <v>1256.6661377</v>
      </c>
      <c r="K1107">
        <v>2875</v>
      </c>
      <c r="L1107">
        <v>0</v>
      </c>
      <c r="M1107">
        <v>0</v>
      </c>
      <c r="N1107">
        <v>2875</v>
      </c>
    </row>
    <row r="1108" spans="1:14" x14ac:dyDescent="0.25">
      <c r="A1108">
        <v>732.677322</v>
      </c>
      <c r="B1108" s="1">
        <f>DATE(2012,5,2) + TIME(16,15,20)</f>
        <v>41031.677314814813</v>
      </c>
      <c r="C1108">
        <v>80</v>
      </c>
      <c r="D1108">
        <v>78.622596740999995</v>
      </c>
      <c r="E1108">
        <v>50</v>
      </c>
      <c r="F1108">
        <v>49.710445403999998</v>
      </c>
      <c r="G1108">
        <v>1402.4686279</v>
      </c>
      <c r="H1108">
        <v>1384.2617187999999</v>
      </c>
      <c r="I1108">
        <v>1279.4761963000001</v>
      </c>
      <c r="J1108">
        <v>1256.6625977000001</v>
      </c>
      <c r="K1108">
        <v>2875</v>
      </c>
      <c r="L1108">
        <v>0</v>
      </c>
      <c r="M1108">
        <v>0</v>
      </c>
      <c r="N1108">
        <v>2875</v>
      </c>
    </row>
    <row r="1109" spans="1:14" x14ac:dyDescent="0.25">
      <c r="A1109">
        <v>732.76646600000004</v>
      </c>
      <c r="B1109" s="1">
        <f>DATE(2012,5,2) + TIME(18,23,42)</f>
        <v>41031.766458333332</v>
      </c>
      <c r="C1109">
        <v>80</v>
      </c>
      <c r="D1109">
        <v>78.800079346000004</v>
      </c>
      <c r="E1109">
        <v>50</v>
      </c>
      <c r="F1109">
        <v>49.699798584</v>
      </c>
      <c r="G1109">
        <v>1402.3269043</v>
      </c>
      <c r="H1109">
        <v>1384.1672363</v>
      </c>
      <c r="I1109">
        <v>1279.4736327999999</v>
      </c>
      <c r="J1109">
        <v>1256.6590576000001</v>
      </c>
      <c r="K1109">
        <v>2875</v>
      </c>
      <c r="L1109">
        <v>0</v>
      </c>
      <c r="M1109">
        <v>0</v>
      </c>
      <c r="N1109">
        <v>2875</v>
      </c>
    </row>
    <row r="1110" spans="1:14" x14ac:dyDescent="0.25">
      <c r="A1110">
        <v>732.85633600000006</v>
      </c>
      <c r="B1110" s="1">
        <f>DATE(2012,5,2) + TIME(20,33,7)</f>
        <v>41031.85633101852</v>
      </c>
      <c r="C1110">
        <v>80</v>
      </c>
      <c r="D1110">
        <v>78.954811096</v>
      </c>
      <c r="E1110">
        <v>50</v>
      </c>
      <c r="F1110">
        <v>49.689125060999999</v>
      </c>
      <c r="G1110">
        <v>1402.1932373</v>
      </c>
      <c r="H1110">
        <v>1384.0762939000001</v>
      </c>
      <c r="I1110">
        <v>1279.4710693</v>
      </c>
      <c r="J1110">
        <v>1256.6555175999999</v>
      </c>
      <c r="K1110">
        <v>2875</v>
      </c>
      <c r="L1110">
        <v>0</v>
      </c>
      <c r="M1110">
        <v>0</v>
      </c>
      <c r="N1110">
        <v>2875</v>
      </c>
    </row>
    <row r="1111" spans="1:14" x14ac:dyDescent="0.25">
      <c r="A1111">
        <v>732.94714599999998</v>
      </c>
      <c r="B1111" s="1">
        <f>DATE(2012,5,2) + TIME(22,43,53)</f>
        <v>41031.947141203702</v>
      </c>
      <c r="C1111">
        <v>80</v>
      </c>
      <c r="D1111">
        <v>79.089851378999995</v>
      </c>
      <c r="E1111">
        <v>50</v>
      </c>
      <c r="F1111">
        <v>49.678405761999997</v>
      </c>
      <c r="G1111">
        <v>1402.0664062000001</v>
      </c>
      <c r="H1111">
        <v>1383.9881591999999</v>
      </c>
      <c r="I1111">
        <v>1279.4685059000001</v>
      </c>
      <c r="J1111">
        <v>1256.6519774999999</v>
      </c>
      <c r="K1111">
        <v>2875</v>
      </c>
      <c r="L1111">
        <v>0</v>
      </c>
      <c r="M1111">
        <v>0</v>
      </c>
      <c r="N1111">
        <v>2875</v>
      </c>
    </row>
    <row r="1112" spans="1:14" x14ac:dyDescent="0.25">
      <c r="A1112">
        <v>733.03910800000006</v>
      </c>
      <c r="B1112" s="1">
        <f>DATE(2012,5,3) + TIME(0,56,18)</f>
        <v>41032.039097222223</v>
      </c>
      <c r="C1112">
        <v>80</v>
      </c>
      <c r="D1112">
        <v>79.207771300999994</v>
      </c>
      <c r="E1112">
        <v>50</v>
      </c>
      <c r="F1112">
        <v>49.667613983000003</v>
      </c>
      <c r="G1112">
        <v>1401.9455565999999</v>
      </c>
      <c r="H1112">
        <v>1383.9025879000001</v>
      </c>
      <c r="I1112">
        <v>1279.4659423999999</v>
      </c>
      <c r="J1112">
        <v>1256.6483154</v>
      </c>
      <c r="K1112">
        <v>2875</v>
      </c>
      <c r="L1112">
        <v>0</v>
      </c>
      <c r="M1112">
        <v>0</v>
      </c>
      <c r="N1112">
        <v>2875</v>
      </c>
    </row>
    <row r="1113" spans="1:14" x14ac:dyDescent="0.25">
      <c r="A1113">
        <v>733.132428</v>
      </c>
      <c r="B1113" s="1">
        <f>DATE(2012,5,3) + TIME(3,10,41)</f>
        <v>41032.132418981484</v>
      </c>
      <c r="C1113">
        <v>80</v>
      </c>
      <c r="D1113">
        <v>79.310752868999998</v>
      </c>
      <c r="E1113">
        <v>50</v>
      </c>
      <c r="F1113">
        <v>49.656730652</v>
      </c>
      <c r="G1113">
        <v>1401.8299560999999</v>
      </c>
      <c r="H1113">
        <v>1383.8193358999999</v>
      </c>
      <c r="I1113">
        <v>1279.4632568</v>
      </c>
      <c r="J1113">
        <v>1256.6446533000001</v>
      </c>
      <c r="K1113">
        <v>2875</v>
      </c>
      <c r="L1113">
        <v>0</v>
      </c>
      <c r="M1113">
        <v>0</v>
      </c>
      <c r="N1113">
        <v>2875</v>
      </c>
    </row>
    <row r="1114" spans="1:14" x14ac:dyDescent="0.25">
      <c r="A1114">
        <v>733.22733400000004</v>
      </c>
      <c r="B1114" s="1">
        <f>DATE(2012,5,3) + TIME(5,27,21)</f>
        <v>41032.227326388886</v>
      </c>
      <c r="C1114">
        <v>80</v>
      </c>
      <c r="D1114">
        <v>79.400695800999998</v>
      </c>
      <c r="E1114">
        <v>50</v>
      </c>
      <c r="F1114">
        <v>49.645725249999998</v>
      </c>
      <c r="G1114">
        <v>1401.7189940999999</v>
      </c>
      <c r="H1114">
        <v>1383.7380370999999</v>
      </c>
      <c r="I1114">
        <v>1279.4605713000001</v>
      </c>
      <c r="J1114">
        <v>1256.6409911999999</v>
      </c>
      <c r="K1114">
        <v>2875</v>
      </c>
      <c r="L1114">
        <v>0</v>
      </c>
      <c r="M1114">
        <v>0</v>
      </c>
      <c r="N1114">
        <v>2875</v>
      </c>
    </row>
    <row r="1115" spans="1:14" x14ac:dyDescent="0.25">
      <c r="A1115">
        <v>733.32405200000005</v>
      </c>
      <c r="B1115" s="1">
        <f>DATE(2012,5,3) + TIME(7,46,38)</f>
        <v>41032.324050925927</v>
      </c>
      <c r="C1115">
        <v>80</v>
      </c>
      <c r="D1115">
        <v>79.479209900000001</v>
      </c>
      <c r="E1115">
        <v>50</v>
      </c>
      <c r="F1115">
        <v>49.634582520000002</v>
      </c>
      <c r="G1115">
        <v>1401.6118164</v>
      </c>
      <c r="H1115">
        <v>1383.6583252</v>
      </c>
      <c r="I1115">
        <v>1279.4577637</v>
      </c>
      <c r="J1115">
        <v>1256.6370850000001</v>
      </c>
      <c r="K1115">
        <v>2875</v>
      </c>
      <c r="L1115">
        <v>0</v>
      </c>
      <c r="M1115">
        <v>0</v>
      </c>
      <c r="N1115">
        <v>2875</v>
      </c>
    </row>
    <row r="1116" spans="1:14" x14ac:dyDescent="0.25">
      <c r="A1116">
        <v>733.42278199999998</v>
      </c>
      <c r="B1116" s="1">
        <f>DATE(2012,5,3) + TIME(10,8,48)</f>
        <v>41032.422777777778</v>
      </c>
      <c r="C1116">
        <v>80</v>
      </c>
      <c r="D1116">
        <v>79.547668457</v>
      </c>
      <c r="E1116">
        <v>50</v>
      </c>
      <c r="F1116">
        <v>49.623275757000002</v>
      </c>
      <c r="G1116">
        <v>1401.5081786999999</v>
      </c>
      <c r="H1116">
        <v>1383.5802002</v>
      </c>
      <c r="I1116">
        <v>1279.4549560999999</v>
      </c>
      <c r="J1116">
        <v>1256.6333007999999</v>
      </c>
      <c r="K1116">
        <v>2875</v>
      </c>
      <c r="L1116">
        <v>0</v>
      </c>
      <c r="M1116">
        <v>0</v>
      </c>
      <c r="N1116">
        <v>2875</v>
      </c>
    </row>
    <row r="1117" spans="1:14" x14ac:dyDescent="0.25">
      <c r="A1117">
        <v>733.52376200000003</v>
      </c>
      <c r="B1117" s="1">
        <f>DATE(2012,5,3) + TIME(12,34,13)</f>
        <v>41032.523761574077</v>
      </c>
      <c r="C1117">
        <v>80</v>
      </c>
      <c r="D1117">
        <v>79.607299804999997</v>
      </c>
      <c r="E1117">
        <v>50</v>
      </c>
      <c r="F1117">
        <v>49.611785888999997</v>
      </c>
      <c r="G1117">
        <v>1401.4074707</v>
      </c>
      <c r="H1117">
        <v>1383.5031738</v>
      </c>
      <c r="I1117">
        <v>1279.4521483999999</v>
      </c>
      <c r="J1117">
        <v>1256.6292725000001</v>
      </c>
      <c r="K1117">
        <v>2875</v>
      </c>
      <c r="L1117">
        <v>0</v>
      </c>
      <c r="M1117">
        <v>0</v>
      </c>
      <c r="N1117">
        <v>2875</v>
      </c>
    </row>
    <row r="1118" spans="1:14" x14ac:dyDescent="0.25">
      <c r="A1118">
        <v>733.62724600000001</v>
      </c>
      <c r="B1118" s="1">
        <f>DATE(2012,5,3) + TIME(15,3,14)</f>
        <v>41032.627245370371</v>
      </c>
      <c r="C1118">
        <v>80</v>
      </c>
      <c r="D1118">
        <v>79.659164429</v>
      </c>
      <c r="E1118">
        <v>50</v>
      </c>
      <c r="F1118">
        <v>49.600082397000001</v>
      </c>
      <c r="G1118">
        <v>1401.3093262</v>
      </c>
      <c r="H1118">
        <v>1383.4272461</v>
      </c>
      <c r="I1118">
        <v>1279.4492187999999</v>
      </c>
      <c r="J1118">
        <v>1256.6252440999999</v>
      </c>
      <c r="K1118">
        <v>2875</v>
      </c>
      <c r="L1118">
        <v>0</v>
      </c>
      <c r="M1118">
        <v>0</v>
      </c>
      <c r="N1118">
        <v>2875</v>
      </c>
    </row>
    <row r="1119" spans="1:14" x14ac:dyDescent="0.25">
      <c r="A1119">
        <v>733.73350600000003</v>
      </c>
      <c r="B1119" s="1">
        <f>DATE(2012,5,3) + TIME(17,36,14)</f>
        <v>41032.733495370368</v>
      </c>
      <c r="C1119">
        <v>80</v>
      </c>
      <c r="D1119">
        <v>79.704193114999995</v>
      </c>
      <c r="E1119">
        <v>50</v>
      </c>
      <c r="F1119">
        <v>49.588138579999999</v>
      </c>
      <c r="G1119">
        <v>1401.2132568</v>
      </c>
      <c r="H1119">
        <v>1383.3521728999999</v>
      </c>
      <c r="I1119">
        <v>1279.4461670000001</v>
      </c>
      <c r="J1119">
        <v>1256.6210937999999</v>
      </c>
      <c r="K1119">
        <v>2875</v>
      </c>
      <c r="L1119">
        <v>0</v>
      </c>
      <c r="M1119">
        <v>0</v>
      </c>
      <c r="N1119">
        <v>2875</v>
      </c>
    </row>
    <row r="1120" spans="1:14" x14ac:dyDescent="0.25">
      <c r="A1120">
        <v>733.84283800000003</v>
      </c>
      <c r="B1120" s="1">
        <f>DATE(2012,5,3) + TIME(20,13,41)</f>
        <v>41032.842835648145</v>
      </c>
      <c r="C1120">
        <v>80</v>
      </c>
      <c r="D1120">
        <v>79.743202209000003</v>
      </c>
      <c r="E1120">
        <v>50</v>
      </c>
      <c r="F1120">
        <v>49.575931549000003</v>
      </c>
      <c r="G1120">
        <v>1401.1190185999999</v>
      </c>
      <c r="H1120">
        <v>1383.277832</v>
      </c>
      <c r="I1120">
        <v>1279.4429932</v>
      </c>
      <c r="J1120">
        <v>1256.6168213000001</v>
      </c>
      <c r="K1120">
        <v>2875</v>
      </c>
      <c r="L1120">
        <v>0</v>
      </c>
      <c r="M1120">
        <v>0</v>
      </c>
      <c r="N1120">
        <v>2875</v>
      </c>
    </row>
    <row r="1121" spans="1:14" x14ac:dyDescent="0.25">
      <c r="A1121">
        <v>733.95556599999998</v>
      </c>
      <c r="B1121" s="1">
        <f>DATE(2012,5,3) + TIME(22,56,0)</f>
        <v>41032.955555555556</v>
      </c>
      <c r="C1121">
        <v>80</v>
      </c>
      <c r="D1121">
        <v>79.776916503999999</v>
      </c>
      <c r="E1121">
        <v>50</v>
      </c>
      <c r="F1121">
        <v>49.563426970999998</v>
      </c>
      <c r="G1121">
        <v>1401.0263672000001</v>
      </c>
      <c r="H1121">
        <v>1383.2038574000001</v>
      </c>
      <c r="I1121">
        <v>1279.4398193</v>
      </c>
      <c r="J1121">
        <v>1256.6124268000001</v>
      </c>
      <c r="K1121">
        <v>2875</v>
      </c>
      <c r="L1121">
        <v>0</v>
      </c>
      <c r="M1121">
        <v>0</v>
      </c>
      <c r="N1121">
        <v>2875</v>
      </c>
    </row>
    <row r="1122" spans="1:14" x14ac:dyDescent="0.25">
      <c r="A1122">
        <v>734.07204899999999</v>
      </c>
      <c r="B1122" s="1">
        <f>DATE(2012,5,4) + TIME(1,43,45)</f>
        <v>41033.072048611109</v>
      </c>
      <c r="C1122">
        <v>80</v>
      </c>
      <c r="D1122">
        <v>79.805976868000002</v>
      </c>
      <c r="E1122">
        <v>50</v>
      </c>
      <c r="F1122">
        <v>49.550586699999997</v>
      </c>
      <c r="G1122">
        <v>1400.9346923999999</v>
      </c>
      <c r="H1122">
        <v>1383.130249</v>
      </c>
      <c r="I1122">
        <v>1279.4365233999999</v>
      </c>
      <c r="J1122">
        <v>1256.6079102000001</v>
      </c>
      <c r="K1122">
        <v>2875</v>
      </c>
      <c r="L1122">
        <v>0</v>
      </c>
      <c r="M1122">
        <v>0</v>
      </c>
      <c r="N1122">
        <v>2875</v>
      </c>
    </row>
    <row r="1123" spans="1:14" x14ac:dyDescent="0.25">
      <c r="A1123">
        <v>734.19268699999998</v>
      </c>
      <c r="B1123" s="1">
        <f>DATE(2012,5,4) + TIME(4,37,28)</f>
        <v>41033.192685185182</v>
      </c>
      <c r="C1123">
        <v>80</v>
      </c>
      <c r="D1123">
        <v>79.830947875999996</v>
      </c>
      <c r="E1123">
        <v>50</v>
      </c>
      <c r="F1123">
        <v>49.537380218999999</v>
      </c>
      <c r="G1123">
        <v>1400.8439940999999</v>
      </c>
      <c r="H1123">
        <v>1383.0567627</v>
      </c>
      <c r="I1123">
        <v>1279.4331055</v>
      </c>
      <c r="J1123">
        <v>1256.6031493999999</v>
      </c>
      <c r="K1123">
        <v>2875</v>
      </c>
      <c r="L1123">
        <v>0</v>
      </c>
      <c r="M1123">
        <v>0</v>
      </c>
      <c r="N1123">
        <v>2875</v>
      </c>
    </row>
    <row r="1124" spans="1:14" x14ac:dyDescent="0.25">
      <c r="A1124">
        <v>734.31793900000002</v>
      </c>
      <c r="B1124" s="1">
        <f>DATE(2012,5,4) + TIME(7,37,49)</f>
        <v>41033.317928240744</v>
      </c>
      <c r="C1124">
        <v>80</v>
      </c>
      <c r="D1124">
        <v>79.852333068999997</v>
      </c>
      <c r="E1124">
        <v>50</v>
      </c>
      <c r="F1124">
        <v>49.523765564000001</v>
      </c>
      <c r="G1124">
        <v>1400.7537841999999</v>
      </c>
      <c r="H1124">
        <v>1382.9832764</v>
      </c>
      <c r="I1124">
        <v>1279.4294434000001</v>
      </c>
      <c r="J1124">
        <v>1256.5982666</v>
      </c>
      <c r="K1124">
        <v>2875</v>
      </c>
      <c r="L1124">
        <v>0</v>
      </c>
      <c r="M1124">
        <v>0</v>
      </c>
      <c r="N1124">
        <v>2875</v>
      </c>
    </row>
    <row r="1125" spans="1:14" x14ac:dyDescent="0.25">
      <c r="A1125">
        <v>734.44838000000004</v>
      </c>
      <c r="B1125" s="1">
        <f>DATE(2012,5,4) + TIME(10,45,40)</f>
        <v>41033.448379629626</v>
      </c>
      <c r="C1125">
        <v>80</v>
      </c>
      <c r="D1125">
        <v>79.870582580999994</v>
      </c>
      <c r="E1125">
        <v>50</v>
      </c>
      <c r="F1125">
        <v>49.509681702000002</v>
      </c>
      <c r="G1125">
        <v>1400.6639404</v>
      </c>
      <c r="H1125">
        <v>1382.9095459</v>
      </c>
      <c r="I1125">
        <v>1279.4257812000001</v>
      </c>
      <c r="J1125">
        <v>1256.5932617000001</v>
      </c>
      <c r="K1125">
        <v>2875</v>
      </c>
      <c r="L1125">
        <v>0</v>
      </c>
      <c r="M1125">
        <v>0</v>
      </c>
      <c r="N1125">
        <v>2875</v>
      </c>
    </row>
    <row r="1126" spans="1:14" x14ac:dyDescent="0.25">
      <c r="A1126">
        <v>734.584518</v>
      </c>
      <c r="B1126" s="1">
        <f>DATE(2012,5,4) + TIME(14,1,42)</f>
        <v>41033.584513888891</v>
      </c>
      <c r="C1126">
        <v>80</v>
      </c>
      <c r="D1126">
        <v>79.886077881000006</v>
      </c>
      <c r="E1126">
        <v>50</v>
      </c>
      <c r="F1126">
        <v>49.495090484999999</v>
      </c>
      <c r="G1126">
        <v>1400.5738524999999</v>
      </c>
      <c r="H1126">
        <v>1382.8353271000001</v>
      </c>
      <c r="I1126">
        <v>1279.421875</v>
      </c>
      <c r="J1126">
        <v>1256.5878906</v>
      </c>
      <c r="K1126">
        <v>2875</v>
      </c>
      <c r="L1126">
        <v>0</v>
      </c>
      <c r="M1126">
        <v>0</v>
      </c>
      <c r="N1126">
        <v>2875</v>
      </c>
    </row>
    <row r="1127" spans="1:14" x14ac:dyDescent="0.25">
      <c r="A1127">
        <v>734.72694300000001</v>
      </c>
      <c r="B1127" s="1">
        <f>DATE(2012,5,4) + TIME(17,26,47)</f>
        <v>41033.72693287037</v>
      </c>
      <c r="C1127">
        <v>80</v>
      </c>
      <c r="D1127">
        <v>79.899169921999999</v>
      </c>
      <c r="E1127">
        <v>50</v>
      </c>
      <c r="F1127">
        <v>49.479938507</v>
      </c>
      <c r="G1127">
        <v>1400.4835204999999</v>
      </c>
      <c r="H1127">
        <v>1382.7604980000001</v>
      </c>
      <c r="I1127">
        <v>1279.4178466999999</v>
      </c>
      <c r="J1127">
        <v>1256.5823975000001</v>
      </c>
      <c r="K1127">
        <v>2875</v>
      </c>
      <c r="L1127">
        <v>0</v>
      </c>
      <c r="M1127">
        <v>0</v>
      </c>
      <c r="N1127">
        <v>2875</v>
      </c>
    </row>
    <row r="1128" spans="1:14" x14ac:dyDescent="0.25">
      <c r="A1128">
        <v>734.87446999999997</v>
      </c>
      <c r="B1128" s="1">
        <f>DATE(2012,5,4) + TIME(20,59,14)</f>
        <v>41033.874467592592</v>
      </c>
      <c r="C1128">
        <v>80</v>
      </c>
      <c r="D1128">
        <v>79.910057068</v>
      </c>
      <c r="E1128">
        <v>50</v>
      </c>
      <c r="F1128">
        <v>49.464324951000002</v>
      </c>
      <c r="G1128">
        <v>1400.3927002</v>
      </c>
      <c r="H1128">
        <v>1382.6850586</v>
      </c>
      <c r="I1128">
        <v>1279.4135742000001</v>
      </c>
      <c r="J1128">
        <v>1256.5766602000001</v>
      </c>
      <c r="K1128">
        <v>2875</v>
      </c>
      <c r="L1128">
        <v>0</v>
      </c>
      <c r="M1128">
        <v>0</v>
      </c>
      <c r="N1128">
        <v>2875</v>
      </c>
    </row>
    <row r="1129" spans="1:14" x14ac:dyDescent="0.25">
      <c r="A1129">
        <v>735.02769799999999</v>
      </c>
      <c r="B1129" s="1">
        <f>DATE(2012,5,5) + TIME(0,39,53)</f>
        <v>41034.027696759258</v>
      </c>
      <c r="C1129">
        <v>80</v>
      </c>
      <c r="D1129">
        <v>79.919075011999993</v>
      </c>
      <c r="E1129">
        <v>50</v>
      </c>
      <c r="F1129">
        <v>49.448204040999997</v>
      </c>
      <c r="G1129">
        <v>1400.302124</v>
      </c>
      <c r="H1129">
        <v>1382.609375</v>
      </c>
      <c r="I1129">
        <v>1279.4090576000001</v>
      </c>
      <c r="J1129">
        <v>1256.5706786999999</v>
      </c>
      <c r="K1129">
        <v>2875</v>
      </c>
      <c r="L1129">
        <v>0</v>
      </c>
      <c r="M1129">
        <v>0</v>
      </c>
      <c r="N1129">
        <v>2875</v>
      </c>
    </row>
    <row r="1130" spans="1:14" x14ac:dyDescent="0.25">
      <c r="A1130">
        <v>735.18729800000006</v>
      </c>
      <c r="B1130" s="1">
        <f>DATE(2012,5,5) + TIME(4,29,42)</f>
        <v>41034.187291666669</v>
      </c>
      <c r="C1130">
        <v>80</v>
      </c>
      <c r="D1130">
        <v>79.926528931000007</v>
      </c>
      <c r="E1130">
        <v>50</v>
      </c>
      <c r="F1130">
        <v>49.431514739999997</v>
      </c>
      <c r="G1130">
        <v>1400.2113036999999</v>
      </c>
      <c r="H1130">
        <v>1382.5334473</v>
      </c>
      <c r="I1130">
        <v>1279.4044189000001</v>
      </c>
      <c r="J1130">
        <v>1256.5644531</v>
      </c>
      <c r="K1130">
        <v>2875</v>
      </c>
      <c r="L1130">
        <v>0</v>
      </c>
      <c r="M1130">
        <v>0</v>
      </c>
      <c r="N1130">
        <v>2875</v>
      </c>
    </row>
    <row r="1131" spans="1:14" x14ac:dyDescent="0.25">
      <c r="A1131">
        <v>735.35391000000004</v>
      </c>
      <c r="B1131" s="1">
        <f>DATE(2012,5,5) + TIME(8,29,37)</f>
        <v>41034.353900462964</v>
      </c>
      <c r="C1131">
        <v>80</v>
      </c>
      <c r="D1131">
        <v>79.932647704999994</v>
      </c>
      <c r="E1131">
        <v>50</v>
      </c>
      <c r="F1131">
        <v>49.414203643999997</v>
      </c>
      <c r="G1131">
        <v>1400.1201172000001</v>
      </c>
      <c r="H1131">
        <v>1382.4571533000001</v>
      </c>
      <c r="I1131">
        <v>1279.3996582</v>
      </c>
      <c r="J1131">
        <v>1256.5579834</v>
      </c>
      <c r="K1131">
        <v>2875</v>
      </c>
      <c r="L1131">
        <v>0</v>
      </c>
      <c r="M1131">
        <v>0</v>
      </c>
      <c r="N1131">
        <v>2875</v>
      </c>
    </row>
    <row r="1132" spans="1:14" x14ac:dyDescent="0.25">
      <c r="A1132">
        <v>735.52828599999998</v>
      </c>
      <c r="B1132" s="1">
        <f>DATE(2012,5,5) + TIME(12,40,43)</f>
        <v>41034.528275462966</v>
      </c>
      <c r="C1132">
        <v>80</v>
      </c>
      <c r="D1132">
        <v>79.937644958000007</v>
      </c>
      <c r="E1132">
        <v>50</v>
      </c>
      <c r="F1132">
        <v>49.396209716999998</v>
      </c>
      <c r="G1132">
        <v>1400.0281981999999</v>
      </c>
      <c r="H1132">
        <v>1382.3800048999999</v>
      </c>
      <c r="I1132">
        <v>1279.3945312000001</v>
      </c>
      <c r="J1132">
        <v>1256.5511475000001</v>
      </c>
      <c r="K1132">
        <v>2875</v>
      </c>
      <c r="L1132">
        <v>0</v>
      </c>
      <c r="M1132">
        <v>0</v>
      </c>
      <c r="N1132">
        <v>2875</v>
      </c>
    </row>
    <row r="1133" spans="1:14" x14ac:dyDescent="0.25">
      <c r="A1133">
        <v>735.70923300000004</v>
      </c>
      <c r="B1133" s="1">
        <f>DATE(2012,5,5) + TIME(17,1,17)</f>
        <v>41034.709224537037</v>
      </c>
      <c r="C1133">
        <v>80</v>
      </c>
      <c r="D1133">
        <v>79.941673279</v>
      </c>
      <c r="E1133">
        <v>50</v>
      </c>
      <c r="F1133">
        <v>49.377628326</v>
      </c>
      <c r="G1133">
        <v>1399.9354248</v>
      </c>
      <c r="H1133">
        <v>1382.3020019999999</v>
      </c>
      <c r="I1133">
        <v>1279.3892822</v>
      </c>
      <c r="J1133">
        <v>1256.5440673999999</v>
      </c>
      <c r="K1133">
        <v>2875</v>
      </c>
      <c r="L1133">
        <v>0</v>
      </c>
      <c r="M1133">
        <v>0</v>
      </c>
      <c r="N1133">
        <v>2875</v>
      </c>
    </row>
    <row r="1134" spans="1:14" x14ac:dyDescent="0.25">
      <c r="A1134">
        <v>735.89067999999997</v>
      </c>
      <c r="B1134" s="1">
        <f>DATE(2012,5,5) + TIME(21,22,34)</f>
        <v>41034.8906712963</v>
      </c>
      <c r="C1134">
        <v>80</v>
      </c>
      <c r="D1134">
        <v>79.944824218999997</v>
      </c>
      <c r="E1134">
        <v>50</v>
      </c>
      <c r="F1134">
        <v>49.358951568999998</v>
      </c>
      <c r="G1134">
        <v>1399.8425293</v>
      </c>
      <c r="H1134">
        <v>1382.2238769999999</v>
      </c>
      <c r="I1134">
        <v>1279.3836670000001</v>
      </c>
      <c r="J1134">
        <v>1256.5367432</v>
      </c>
      <c r="K1134">
        <v>2875</v>
      </c>
      <c r="L1134">
        <v>0</v>
      </c>
      <c r="M1134">
        <v>0</v>
      </c>
      <c r="N1134">
        <v>2875</v>
      </c>
    </row>
    <row r="1135" spans="1:14" x14ac:dyDescent="0.25">
      <c r="A1135">
        <v>736.07313999999997</v>
      </c>
      <c r="B1135" s="1">
        <f>DATE(2012,5,6) + TIME(1,45,19)</f>
        <v>41035.073136574072</v>
      </c>
      <c r="C1135">
        <v>80</v>
      </c>
      <c r="D1135">
        <v>79.947288513000004</v>
      </c>
      <c r="E1135">
        <v>50</v>
      </c>
      <c r="F1135">
        <v>49.340167999000002</v>
      </c>
      <c r="G1135">
        <v>1399.7524414</v>
      </c>
      <c r="H1135">
        <v>1382.1480713000001</v>
      </c>
      <c r="I1135">
        <v>1279.3780518000001</v>
      </c>
      <c r="J1135">
        <v>1256.5294189000001</v>
      </c>
      <c r="K1135">
        <v>2875</v>
      </c>
      <c r="L1135">
        <v>0</v>
      </c>
      <c r="M1135">
        <v>0</v>
      </c>
      <c r="N1135">
        <v>2875</v>
      </c>
    </row>
    <row r="1136" spans="1:14" x14ac:dyDescent="0.25">
      <c r="A1136">
        <v>736.25716199999999</v>
      </c>
      <c r="B1136" s="1">
        <f>DATE(2012,5,6) + TIME(6,10,18)</f>
        <v>41035.257152777776</v>
      </c>
      <c r="C1136">
        <v>80</v>
      </c>
      <c r="D1136">
        <v>79.949234008999994</v>
      </c>
      <c r="E1136">
        <v>50</v>
      </c>
      <c r="F1136">
        <v>49.321247100999997</v>
      </c>
      <c r="G1136">
        <v>1399.6646728999999</v>
      </c>
      <c r="H1136">
        <v>1382.0742187999999</v>
      </c>
      <c r="I1136">
        <v>1279.3723144999999</v>
      </c>
      <c r="J1136">
        <v>1256.5219727000001</v>
      </c>
      <c r="K1136">
        <v>2875</v>
      </c>
      <c r="L1136">
        <v>0</v>
      </c>
      <c r="M1136">
        <v>0</v>
      </c>
      <c r="N1136">
        <v>2875</v>
      </c>
    </row>
    <row r="1137" spans="1:14" x14ac:dyDescent="0.25">
      <c r="A1137">
        <v>736.44316900000001</v>
      </c>
      <c r="B1137" s="1">
        <f>DATE(2012,5,6) + TIME(10,38,9)</f>
        <v>41035.443159722221</v>
      </c>
      <c r="C1137">
        <v>80</v>
      </c>
      <c r="D1137">
        <v>79.950775145999998</v>
      </c>
      <c r="E1137">
        <v>50</v>
      </c>
      <c r="F1137">
        <v>49.302169800000001</v>
      </c>
      <c r="G1137">
        <v>1399.5788574000001</v>
      </c>
      <c r="H1137">
        <v>1382.0020752</v>
      </c>
      <c r="I1137">
        <v>1279.3666992000001</v>
      </c>
      <c r="J1137">
        <v>1256.5145264</v>
      </c>
      <c r="K1137">
        <v>2875</v>
      </c>
      <c r="L1137">
        <v>0</v>
      </c>
      <c r="M1137">
        <v>0</v>
      </c>
      <c r="N1137">
        <v>2875</v>
      </c>
    </row>
    <row r="1138" spans="1:14" x14ac:dyDescent="0.25">
      <c r="A1138">
        <v>736.63161000000002</v>
      </c>
      <c r="B1138" s="1">
        <f>DATE(2012,5,6) + TIME(15,9,31)</f>
        <v>41035.631608796299</v>
      </c>
      <c r="C1138">
        <v>80</v>
      </c>
      <c r="D1138">
        <v>79.952003478999998</v>
      </c>
      <c r="E1138">
        <v>50</v>
      </c>
      <c r="F1138">
        <v>49.282905579000001</v>
      </c>
      <c r="G1138">
        <v>1399.4946289</v>
      </c>
      <c r="H1138">
        <v>1381.9312743999999</v>
      </c>
      <c r="I1138">
        <v>1279.3609618999999</v>
      </c>
      <c r="J1138">
        <v>1256.5068358999999</v>
      </c>
      <c r="K1138">
        <v>2875</v>
      </c>
      <c r="L1138">
        <v>0</v>
      </c>
      <c r="M1138">
        <v>0</v>
      </c>
      <c r="N1138">
        <v>2875</v>
      </c>
    </row>
    <row r="1139" spans="1:14" x14ac:dyDescent="0.25">
      <c r="A1139">
        <v>736.82295399999998</v>
      </c>
      <c r="B1139" s="1">
        <f>DATE(2012,5,6) + TIME(19,45,3)</f>
        <v>41035.822951388887</v>
      </c>
      <c r="C1139">
        <v>80</v>
      </c>
      <c r="D1139">
        <v>79.952972411999994</v>
      </c>
      <c r="E1139">
        <v>50</v>
      </c>
      <c r="F1139">
        <v>49.263423920000001</v>
      </c>
      <c r="G1139">
        <v>1399.4117432</v>
      </c>
      <c r="H1139">
        <v>1381.8615723</v>
      </c>
      <c r="I1139">
        <v>1279.3551024999999</v>
      </c>
      <c r="J1139">
        <v>1256.4991454999999</v>
      </c>
      <c r="K1139">
        <v>2875</v>
      </c>
      <c r="L1139">
        <v>0</v>
      </c>
      <c r="M1139">
        <v>0</v>
      </c>
      <c r="N1139">
        <v>2875</v>
      </c>
    </row>
    <row r="1140" spans="1:14" x14ac:dyDescent="0.25">
      <c r="A1140">
        <v>737.01768700000002</v>
      </c>
      <c r="B1140" s="1">
        <f>DATE(2012,5,7) + TIME(0,25,28)</f>
        <v>41036.017685185187</v>
      </c>
      <c r="C1140">
        <v>80</v>
      </c>
      <c r="D1140">
        <v>79.953758239999999</v>
      </c>
      <c r="E1140">
        <v>50</v>
      </c>
      <c r="F1140">
        <v>49.243682861000003</v>
      </c>
      <c r="G1140">
        <v>1399.3299560999999</v>
      </c>
      <c r="H1140">
        <v>1381.7929687999999</v>
      </c>
      <c r="I1140">
        <v>1279.3491211</v>
      </c>
      <c r="J1140">
        <v>1256.4913329999999</v>
      </c>
      <c r="K1140">
        <v>2875</v>
      </c>
      <c r="L1140">
        <v>0</v>
      </c>
      <c r="M1140">
        <v>0</v>
      </c>
      <c r="N1140">
        <v>2875</v>
      </c>
    </row>
    <row r="1141" spans="1:14" x14ac:dyDescent="0.25">
      <c r="A1141">
        <v>737.21631500000001</v>
      </c>
      <c r="B1141" s="1">
        <f>DATE(2012,5,7) + TIME(5,11,29)</f>
        <v>41036.216307870367</v>
      </c>
      <c r="C1141">
        <v>80</v>
      </c>
      <c r="D1141">
        <v>79.954383849999999</v>
      </c>
      <c r="E1141">
        <v>50</v>
      </c>
      <c r="F1141">
        <v>49.223651885999999</v>
      </c>
      <c r="G1141">
        <v>1399.2490233999999</v>
      </c>
      <c r="H1141">
        <v>1381.7249756000001</v>
      </c>
      <c r="I1141">
        <v>1279.3431396000001</v>
      </c>
      <c r="J1141">
        <v>1256.4833983999999</v>
      </c>
      <c r="K1141">
        <v>2875</v>
      </c>
      <c r="L1141">
        <v>0</v>
      </c>
      <c r="M1141">
        <v>0</v>
      </c>
      <c r="N1141">
        <v>2875</v>
      </c>
    </row>
    <row r="1142" spans="1:14" x14ac:dyDescent="0.25">
      <c r="A1142">
        <v>737.41937700000005</v>
      </c>
      <c r="B1142" s="1">
        <f>DATE(2012,5,7) + TIME(10,3,54)</f>
        <v>41036.419374999998</v>
      </c>
      <c r="C1142">
        <v>80</v>
      </c>
      <c r="D1142">
        <v>79.954895019999995</v>
      </c>
      <c r="E1142">
        <v>50</v>
      </c>
      <c r="F1142">
        <v>49.203285217000001</v>
      </c>
      <c r="G1142">
        <v>1399.1685791</v>
      </c>
      <c r="H1142">
        <v>1381.6574707</v>
      </c>
      <c r="I1142">
        <v>1279.3369141000001</v>
      </c>
      <c r="J1142">
        <v>1256.4752197</v>
      </c>
      <c r="K1142">
        <v>2875</v>
      </c>
      <c r="L1142">
        <v>0</v>
      </c>
      <c r="M1142">
        <v>0</v>
      </c>
      <c r="N1142">
        <v>2875</v>
      </c>
    </row>
    <row r="1143" spans="1:14" x14ac:dyDescent="0.25">
      <c r="A1143">
        <v>737.62744999999995</v>
      </c>
      <c r="B1143" s="1">
        <f>DATE(2012,5,7) + TIME(15,3,31)</f>
        <v>41036.627442129633</v>
      </c>
      <c r="C1143">
        <v>80</v>
      </c>
      <c r="D1143">
        <v>79.955307007000002</v>
      </c>
      <c r="E1143">
        <v>50</v>
      </c>
      <c r="F1143">
        <v>49.182533264</v>
      </c>
      <c r="G1143">
        <v>1399.088501</v>
      </c>
      <c r="H1143">
        <v>1381.5904541</v>
      </c>
      <c r="I1143">
        <v>1279.3306885</v>
      </c>
      <c r="J1143">
        <v>1256.4669189000001</v>
      </c>
      <c r="K1143">
        <v>2875</v>
      </c>
      <c r="L1143">
        <v>0</v>
      </c>
      <c r="M1143">
        <v>0</v>
      </c>
      <c r="N1143">
        <v>2875</v>
      </c>
    </row>
    <row r="1144" spans="1:14" x14ac:dyDescent="0.25">
      <c r="A1144">
        <v>737.84116700000004</v>
      </c>
      <c r="B1144" s="1">
        <f>DATE(2012,5,7) + TIME(20,11,16)</f>
        <v>41036.841157407405</v>
      </c>
      <c r="C1144">
        <v>80</v>
      </c>
      <c r="D1144">
        <v>79.955642699999999</v>
      </c>
      <c r="E1144">
        <v>50</v>
      </c>
      <c r="F1144">
        <v>49.161346436000002</v>
      </c>
      <c r="G1144">
        <v>1399.0086670000001</v>
      </c>
      <c r="H1144">
        <v>1381.5235596</v>
      </c>
      <c r="I1144">
        <v>1279.3242187999999</v>
      </c>
      <c r="J1144">
        <v>1256.458374</v>
      </c>
      <c r="K1144">
        <v>2875</v>
      </c>
      <c r="L1144">
        <v>0</v>
      </c>
      <c r="M1144">
        <v>0</v>
      </c>
      <c r="N1144">
        <v>2875</v>
      </c>
    </row>
    <row r="1145" spans="1:14" x14ac:dyDescent="0.25">
      <c r="A1145">
        <v>738.06122000000005</v>
      </c>
      <c r="B1145" s="1">
        <f>DATE(2012,5,8) + TIME(1,28,9)</f>
        <v>41037.061215277776</v>
      </c>
      <c r="C1145">
        <v>80</v>
      </c>
      <c r="D1145">
        <v>79.955917357999994</v>
      </c>
      <c r="E1145">
        <v>50</v>
      </c>
      <c r="F1145">
        <v>49.139667510999999</v>
      </c>
      <c r="G1145">
        <v>1398.9287108999999</v>
      </c>
      <c r="H1145">
        <v>1381.4566649999999</v>
      </c>
      <c r="I1145">
        <v>1279.3175048999999</v>
      </c>
      <c r="J1145">
        <v>1256.4495850000001</v>
      </c>
      <c r="K1145">
        <v>2875</v>
      </c>
      <c r="L1145">
        <v>0</v>
      </c>
      <c r="M1145">
        <v>0</v>
      </c>
      <c r="N1145">
        <v>2875</v>
      </c>
    </row>
    <row r="1146" spans="1:14" x14ac:dyDescent="0.25">
      <c r="A1146">
        <v>738.28847199999996</v>
      </c>
      <c r="B1146" s="1">
        <f>DATE(2012,5,8) + TIME(6,55,23)</f>
        <v>41037.288460648146</v>
      </c>
      <c r="C1146">
        <v>80</v>
      </c>
      <c r="D1146">
        <v>79.956138611</v>
      </c>
      <c r="E1146">
        <v>50</v>
      </c>
      <c r="F1146">
        <v>49.117431641000003</v>
      </c>
      <c r="G1146">
        <v>1398.8485106999999</v>
      </c>
      <c r="H1146">
        <v>1381.3895264</v>
      </c>
      <c r="I1146">
        <v>1279.3106689000001</v>
      </c>
      <c r="J1146">
        <v>1256.4405518000001</v>
      </c>
      <c r="K1146">
        <v>2875</v>
      </c>
      <c r="L1146">
        <v>0</v>
      </c>
      <c r="M1146">
        <v>0</v>
      </c>
      <c r="N1146">
        <v>2875</v>
      </c>
    </row>
    <row r="1147" spans="1:14" x14ac:dyDescent="0.25">
      <c r="A1147">
        <v>738.52377999999999</v>
      </c>
      <c r="B1147" s="1">
        <f>DATE(2012,5,8) + TIME(12,34,14)</f>
        <v>41037.523773148147</v>
      </c>
      <c r="C1147">
        <v>80</v>
      </c>
      <c r="D1147">
        <v>79.956321716000005</v>
      </c>
      <c r="E1147">
        <v>50</v>
      </c>
      <c r="F1147">
        <v>49.094562531000001</v>
      </c>
      <c r="G1147">
        <v>1398.7678223</v>
      </c>
      <c r="H1147">
        <v>1381.3221435999999</v>
      </c>
      <c r="I1147">
        <v>1279.3035889</v>
      </c>
      <c r="J1147">
        <v>1256.4311522999999</v>
      </c>
      <c r="K1147">
        <v>2875</v>
      </c>
      <c r="L1147">
        <v>0</v>
      </c>
      <c r="M1147">
        <v>0</v>
      </c>
      <c r="N1147">
        <v>2875</v>
      </c>
    </row>
    <row r="1148" spans="1:14" x14ac:dyDescent="0.25">
      <c r="A1148">
        <v>738.76464299999998</v>
      </c>
      <c r="B1148" s="1">
        <f>DATE(2012,5,8) + TIME(18,21,5)</f>
        <v>41037.764641203707</v>
      </c>
      <c r="C1148">
        <v>80</v>
      </c>
      <c r="D1148">
        <v>79.956474303999997</v>
      </c>
      <c r="E1148">
        <v>50</v>
      </c>
      <c r="F1148">
        <v>49.071231842000003</v>
      </c>
      <c r="G1148">
        <v>1398.6864014</v>
      </c>
      <c r="H1148">
        <v>1381.2541504000001</v>
      </c>
      <c r="I1148">
        <v>1279.2961425999999</v>
      </c>
      <c r="J1148">
        <v>1256.4215088000001</v>
      </c>
      <c r="K1148">
        <v>2875</v>
      </c>
      <c r="L1148">
        <v>0</v>
      </c>
      <c r="M1148">
        <v>0</v>
      </c>
      <c r="N1148">
        <v>2875</v>
      </c>
    </row>
    <row r="1149" spans="1:14" x14ac:dyDescent="0.25">
      <c r="A1149">
        <v>739.01165300000002</v>
      </c>
      <c r="B1149" s="1">
        <f>DATE(2012,5,9) + TIME(0,16,46)</f>
        <v>41038.011643518519</v>
      </c>
      <c r="C1149">
        <v>80</v>
      </c>
      <c r="D1149">
        <v>79.956596375000004</v>
      </c>
      <c r="E1149">
        <v>50</v>
      </c>
      <c r="F1149">
        <v>49.047409058</v>
      </c>
      <c r="G1149">
        <v>1398.6052245999999</v>
      </c>
      <c r="H1149">
        <v>1381.1862793</v>
      </c>
      <c r="I1149">
        <v>1279.2885742000001</v>
      </c>
      <c r="J1149">
        <v>1256.411499</v>
      </c>
      <c r="K1149">
        <v>2875</v>
      </c>
      <c r="L1149">
        <v>0</v>
      </c>
      <c r="M1149">
        <v>0</v>
      </c>
      <c r="N1149">
        <v>2875</v>
      </c>
    </row>
    <row r="1150" spans="1:14" x14ac:dyDescent="0.25">
      <c r="A1150">
        <v>739.26551199999994</v>
      </c>
      <c r="B1150" s="1">
        <f>DATE(2012,5,9) + TIME(6,22,20)</f>
        <v>41038.265509259261</v>
      </c>
      <c r="C1150">
        <v>80</v>
      </c>
      <c r="D1150">
        <v>79.956695557000003</v>
      </c>
      <c r="E1150">
        <v>50</v>
      </c>
      <c r="F1150">
        <v>49.023048400999997</v>
      </c>
      <c r="G1150">
        <v>1398.5239257999999</v>
      </c>
      <c r="H1150">
        <v>1381.1185303</v>
      </c>
      <c r="I1150">
        <v>1279.2807617000001</v>
      </c>
      <c r="J1150">
        <v>1256.4013672000001</v>
      </c>
      <c r="K1150">
        <v>2875</v>
      </c>
      <c r="L1150">
        <v>0</v>
      </c>
      <c r="M1150">
        <v>0</v>
      </c>
      <c r="N1150">
        <v>2875</v>
      </c>
    </row>
    <row r="1151" spans="1:14" x14ac:dyDescent="0.25">
      <c r="A1151">
        <v>739.52699299999995</v>
      </c>
      <c r="B1151" s="1">
        <f>DATE(2012,5,9) + TIME(12,38,52)</f>
        <v>41038.526990740742</v>
      </c>
      <c r="C1151">
        <v>80</v>
      </c>
      <c r="D1151">
        <v>79.956771850999999</v>
      </c>
      <c r="E1151">
        <v>50</v>
      </c>
      <c r="F1151">
        <v>48.998088836999997</v>
      </c>
      <c r="G1151">
        <v>1398.4425048999999</v>
      </c>
      <c r="H1151">
        <v>1381.0506591999999</v>
      </c>
      <c r="I1151">
        <v>1279.2728271000001</v>
      </c>
      <c r="J1151">
        <v>1256.3908690999999</v>
      </c>
      <c r="K1151">
        <v>2875</v>
      </c>
      <c r="L1151">
        <v>0</v>
      </c>
      <c r="M1151">
        <v>0</v>
      </c>
      <c r="N1151">
        <v>2875</v>
      </c>
    </row>
    <row r="1152" spans="1:14" x14ac:dyDescent="0.25">
      <c r="A1152">
        <v>739.79695600000002</v>
      </c>
      <c r="B1152" s="1">
        <f>DATE(2012,5,9) + TIME(19,7,37)</f>
        <v>41038.796956018516</v>
      </c>
      <c r="C1152">
        <v>80</v>
      </c>
      <c r="D1152">
        <v>79.956840514999996</v>
      </c>
      <c r="E1152">
        <v>50</v>
      </c>
      <c r="F1152">
        <v>48.972473145000002</v>
      </c>
      <c r="G1152">
        <v>1398.3608397999999</v>
      </c>
      <c r="H1152">
        <v>1380.9826660000001</v>
      </c>
      <c r="I1152">
        <v>1279.2645264</v>
      </c>
      <c r="J1152">
        <v>1256.3800048999999</v>
      </c>
      <c r="K1152">
        <v>2875</v>
      </c>
      <c r="L1152">
        <v>0</v>
      </c>
      <c r="M1152">
        <v>0</v>
      </c>
      <c r="N1152">
        <v>2875</v>
      </c>
    </row>
    <row r="1153" spans="1:14" x14ac:dyDescent="0.25">
      <c r="A1153">
        <v>740.07653300000004</v>
      </c>
      <c r="B1153" s="1">
        <f>DATE(2012,5,10) + TIME(1,50,12)</f>
        <v>41039.076527777775</v>
      </c>
      <c r="C1153">
        <v>80</v>
      </c>
      <c r="D1153">
        <v>79.956893921000002</v>
      </c>
      <c r="E1153">
        <v>50</v>
      </c>
      <c r="F1153">
        <v>48.946117401000002</v>
      </c>
      <c r="G1153">
        <v>1398.2784423999999</v>
      </c>
      <c r="H1153">
        <v>1380.9141846</v>
      </c>
      <c r="I1153">
        <v>1279.2559814000001</v>
      </c>
      <c r="J1153">
        <v>1256.3687743999999</v>
      </c>
      <c r="K1153">
        <v>2875</v>
      </c>
      <c r="L1153">
        <v>0</v>
      </c>
      <c r="M1153">
        <v>0</v>
      </c>
      <c r="N1153">
        <v>2875</v>
      </c>
    </row>
    <row r="1154" spans="1:14" x14ac:dyDescent="0.25">
      <c r="A1154">
        <v>740.36250099999995</v>
      </c>
      <c r="B1154" s="1">
        <f>DATE(2012,5,10) + TIME(8,42,0)</f>
        <v>41039.362500000003</v>
      </c>
      <c r="C1154">
        <v>80</v>
      </c>
      <c r="D1154">
        <v>79.956932068</v>
      </c>
      <c r="E1154">
        <v>50</v>
      </c>
      <c r="F1154">
        <v>48.919227599999999</v>
      </c>
      <c r="G1154">
        <v>1398.1954346</v>
      </c>
      <c r="H1154">
        <v>1380.8449707</v>
      </c>
      <c r="I1154">
        <v>1279.2470702999999</v>
      </c>
      <c r="J1154">
        <v>1256.3571777</v>
      </c>
      <c r="K1154">
        <v>2875</v>
      </c>
      <c r="L1154">
        <v>0</v>
      </c>
      <c r="M1154">
        <v>0</v>
      </c>
      <c r="N1154">
        <v>2875</v>
      </c>
    </row>
    <row r="1155" spans="1:14" x14ac:dyDescent="0.25">
      <c r="A1155">
        <v>740.650172</v>
      </c>
      <c r="B1155" s="1">
        <f>DATE(2012,5,10) + TIME(15,36,14)</f>
        <v>41039.65016203704</v>
      </c>
      <c r="C1155">
        <v>80</v>
      </c>
      <c r="D1155">
        <v>79.956962584999999</v>
      </c>
      <c r="E1155">
        <v>50</v>
      </c>
      <c r="F1155">
        <v>48.892131804999998</v>
      </c>
      <c r="G1155">
        <v>1398.1124268000001</v>
      </c>
      <c r="H1155">
        <v>1380.7761230000001</v>
      </c>
      <c r="I1155">
        <v>1279.2379149999999</v>
      </c>
      <c r="J1155">
        <v>1256.3453368999999</v>
      </c>
      <c r="K1155">
        <v>2875</v>
      </c>
      <c r="L1155">
        <v>0</v>
      </c>
      <c r="M1155">
        <v>0</v>
      </c>
      <c r="N1155">
        <v>2875</v>
      </c>
    </row>
    <row r="1156" spans="1:14" x14ac:dyDescent="0.25">
      <c r="A1156">
        <v>740.94032000000004</v>
      </c>
      <c r="B1156" s="1">
        <f>DATE(2012,5,10) + TIME(22,34,3)</f>
        <v>41039.940312500003</v>
      </c>
      <c r="C1156">
        <v>80</v>
      </c>
      <c r="D1156">
        <v>79.956985474000007</v>
      </c>
      <c r="E1156">
        <v>50</v>
      </c>
      <c r="F1156">
        <v>48.864830017000003</v>
      </c>
      <c r="G1156">
        <v>1398.0311279</v>
      </c>
      <c r="H1156">
        <v>1380.7084961</v>
      </c>
      <c r="I1156">
        <v>1279.2287598</v>
      </c>
      <c r="J1156">
        <v>1256.333374</v>
      </c>
      <c r="K1156">
        <v>2875</v>
      </c>
      <c r="L1156">
        <v>0</v>
      </c>
      <c r="M1156">
        <v>0</v>
      </c>
      <c r="N1156">
        <v>2875</v>
      </c>
    </row>
    <row r="1157" spans="1:14" x14ac:dyDescent="0.25">
      <c r="A1157">
        <v>741.23372400000005</v>
      </c>
      <c r="B1157" s="1">
        <f>DATE(2012,5,11) + TIME(5,36,33)</f>
        <v>41040.233715277776</v>
      </c>
      <c r="C1157">
        <v>80</v>
      </c>
      <c r="D1157">
        <v>79.957000731999997</v>
      </c>
      <c r="E1157">
        <v>50</v>
      </c>
      <c r="F1157">
        <v>48.837291718000003</v>
      </c>
      <c r="G1157">
        <v>1397.9509277</v>
      </c>
      <c r="H1157">
        <v>1380.6419678</v>
      </c>
      <c r="I1157">
        <v>1279.2194824000001</v>
      </c>
      <c r="J1157">
        <v>1256.3212891000001</v>
      </c>
      <c r="K1157">
        <v>2875</v>
      </c>
      <c r="L1157">
        <v>0</v>
      </c>
      <c r="M1157">
        <v>0</v>
      </c>
      <c r="N1157">
        <v>2875</v>
      </c>
    </row>
    <row r="1158" spans="1:14" x14ac:dyDescent="0.25">
      <c r="A1158">
        <v>741.53116699999998</v>
      </c>
      <c r="B1158" s="1">
        <f>DATE(2012,5,11) + TIME(12,44,52)</f>
        <v>41040.531157407408</v>
      </c>
      <c r="C1158">
        <v>80</v>
      </c>
      <c r="D1158">
        <v>79.957015991000006</v>
      </c>
      <c r="E1158">
        <v>50</v>
      </c>
      <c r="F1158">
        <v>48.809490203999999</v>
      </c>
      <c r="G1158">
        <v>1397.8718262</v>
      </c>
      <c r="H1158">
        <v>1380.5762939000001</v>
      </c>
      <c r="I1158">
        <v>1279.2100829999999</v>
      </c>
      <c r="J1158">
        <v>1256.309082</v>
      </c>
      <c r="K1158">
        <v>2875</v>
      </c>
      <c r="L1158">
        <v>0</v>
      </c>
      <c r="M1158">
        <v>0</v>
      </c>
      <c r="N1158">
        <v>2875</v>
      </c>
    </row>
    <row r="1159" spans="1:14" x14ac:dyDescent="0.25">
      <c r="A1159">
        <v>741.83345099999997</v>
      </c>
      <c r="B1159" s="1">
        <f>DATE(2012,5,11) + TIME(20,0,10)</f>
        <v>41040.833449074074</v>
      </c>
      <c r="C1159">
        <v>80</v>
      </c>
      <c r="D1159">
        <v>79.957023621000005</v>
      </c>
      <c r="E1159">
        <v>50</v>
      </c>
      <c r="F1159">
        <v>48.781372070000003</v>
      </c>
      <c r="G1159">
        <v>1397.793457</v>
      </c>
      <c r="H1159">
        <v>1380.5113524999999</v>
      </c>
      <c r="I1159">
        <v>1279.2004394999999</v>
      </c>
      <c r="J1159">
        <v>1256.2966309000001</v>
      </c>
      <c r="K1159">
        <v>2875</v>
      </c>
      <c r="L1159">
        <v>0</v>
      </c>
      <c r="M1159">
        <v>0</v>
      </c>
      <c r="N1159">
        <v>2875</v>
      </c>
    </row>
    <row r="1160" spans="1:14" x14ac:dyDescent="0.25">
      <c r="A1160">
        <v>742.14068199999997</v>
      </c>
      <c r="B1160" s="1">
        <f>DATE(2012,5,12) + TIME(3,22,34)</f>
        <v>41041.1406712963</v>
      </c>
      <c r="C1160">
        <v>80</v>
      </c>
      <c r="D1160">
        <v>79.957023621000005</v>
      </c>
      <c r="E1160">
        <v>50</v>
      </c>
      <c r="F1160">
        <v>48.752933501999998</v>
      </c>
      <c r="G1160">
        <v>1397.7156981999999</v>
      </c>
      <c r="H1160">
        <v>1380.4467772999999</v>
      </c>
      <c r="I1160">
        <v>1279.1907959</v>
      </c>
      <c r="J1160">
        <v>1256.2839355000001</v>
      </c>
      <c r="K1160">
        <v>2875</v>
      </c>
      <c r="L1160">
        <v>0</v>
      </c>
      <c r="M1160">
        <v>0</v>
      </c>
      <c r="N1160">
        <v>2875</v>
      </c>
    </row>
    <row r="1161" spans="1:14" x14ac:dyDescent="0.25">
      <c r="A1161">
        <v>742.45345499999996</v>
      </c>
      <c r="B1161" s="1">
        <f>DATE(2012,5,12) + TIME(10,52,58)</f>
        <v>41041.453449074077</v>
      </c>
      <c r="C1161">
        <v>80</v>
      </c>
      <c r="D1161">
        <v>79.957023621000005</v>
      </c>
      <c r="E1161">
        <v>50</v>
      </c>
      <c r="F1161">
        <v>48.724132537999999</v>
      </c>
      <c r="G1161">
        <v>1397.6383057</v>
      </c>
      <c r="H1161">
        <v>1380.3826904</v>
      </c>
      <c r="I1161">
        <v>1279.1807861</v>
      </c>
      <c r="J1161">
        <v>1256.2709961</v>
      </c>
      <c r="K1161">
        <v>2875</v>
      </c>
      <c r="L1161">
        <v>0</v>
      </c>
      <c r="M1161">
        <v>0</v>
      </c>
      <c r="N1161">
        <v>2875</v>
      </c>
    </row>
    <row r="1162" spans="1:14" x14ac:dyDescent="0.25">
      <c r="A1162">
        <v>742.77261499999997</v>
      </c>
      <c r="B1162" s="1">
        <f>DATE(2012,5,12) + TIME(18,32,33)</f>
        <v>41041.772604166668</v>
      </c>
      <c r="C1162">
        <v>80</v>
      </c>
      <c r="D1162">
        <v>79.957015991000006</v>
      </c>
      <c r="E1162">
        <v>50</v>
      </c>
      <c r="F1162">
        <v>48.694911957000002</v>
      </c>
      <c r="G1162">
        <v>1397.5612793</v>
      </c>
      <c r="H1162">
        <v>1380.3188477000001</v>
      </c>
      <c r="I1162">
        <v>1279.1707764</v>
      </c>
      <c r="J1162">
        <v>1256.2578125</v>
      </c>
      <c r="K1162">
        <v>2875</v>
      </c>
      <c r="L1162">
        <v>0</v>
      </c>
      <c r="M1162">
        <v>0</v>
      </c>
      <c r="N1162">
        <v>2875</v>
      </c>
    </row>
    <row r="1163" spans="1:14" x14ac:dyDescent="0.25">
      <c r="A1163">
        <v>743.099063</v>
      </c>
      <c r="B1163" s="1">
        <f>DATE(2012,5,13) + TIME(2,22,39)</f>
        <v>41042.099062499998</v>
      </c>
      <c r="C1163">
        <v>80</v>
      </c>
      <c r="D1163">
        <v>79.957008361999996</v>
      </c>
      <c r="E1163">
        <v>50</v>
      </c>
      <c r="F1163">
        <v>48.665210723999998</v>
      </c>
      <c r="G1163">
        <v>1397.484375</v>
      </c>
      <c r="H1163">
        <v>1380.255249</v>
      </c>
      <c r="I1163">
        <v>1279.1604004000001</v>
      </c>
      <c r="J1163">
        <v>1256.2443848</v>
      </c>
      <c r="K1163">
        <v>2875</v>
      </c>
      <c r="L1163">
        <v>0</v>
      </c>
      <c r="M1163">
        <v>0</v>
      </c>
      <c r="N1163">
        <v>2875</v>
      </c>
    </row>
    <row r="1164" spans="1:14" x14ac:dyDescent="0.25">
      <c r="A1164">
        <v>743.43377599999997</v>
      </c>
      <c r="B1164" s="1">
        <f>DATE(2012,5,13) + TIME(10,24,38)</f>
        <v>41042.43377314815</v>
      </c>
      <c r="C1164">
        <v>80</v>
      </c>
      <c r="D1164">
        <v>79.957000731999997</v>
      </c>
      <c r="E1164">
        <v>50</v>
      </c>
      <c r="F1164">
        <v>48.634956359999997</v>
      </c>
      <c r="G1164">
        <v>1397.4074707</v>
      </c>
      <c r="H1164">
        <v>1380.1915283000001</v>
      </c>
      <c r="I1164">
        <v>1279.1497803</v>
      </c>
      <c r="J1164">
        <v>1256.2305908000001</v>
      </c>
      <c r="K1164">
        <v>2875</v>
      </c>
      <c r="L1164">
        <v>0</v>
      </c>
      <c r="M1164">
        <v>0</v>
      </c>
      <c r="N1164">
        <v>2875</v>
      </c>
    </row>
    <row r="1165" spans="1:14" x14ac:dyDescent="0.25">
      <c r="A1165">
        <v>743.77782999999999</v>
      </c>
      <c r="B1165" s="1">
        <f>DATE(2012,5,13) + TIME(18,40,4)</f>
        <v>41042.777824074074</v>
      </c>
      <c r="C1165">
        <v>80</v>
      </c>
      <c r="D1165">
        <v>79.956993103000002</v>
      </c>
      <c r="E1165">
        <v>50</v>
      </c>
      <c r="F1165">
        <v>48.604064940999997</v>
      </c>
      <c r="G1165">
        <v>1397.3303223</v>
      </c>
      <c r="H1165">
        <v>1380.1276855000001</v>
      </c>
      <c r="I1165">
        <v>1279.1389160000001</v>
      </c>
      <c r="J1165">
        <v>1256.2164307</v>
      </c>
      <c r="K1165">
        <v>2875</v>
      </c>
      <c r="L1165">
        <v>0</v>
      </c>
      <c r="M1165">
        <v>0</v>
      </c>
      <c r="N1165">
        <v>2875</v>
      </c>
    </row>
    <row r="1166" spans="1:14" x14ac:dyDescent="0.25">
      <c r="A1166">
        <v>744.13245400000005</v>
      </c>
      <c r="B1166" s="1">
        <f>DATE(2012,5,14) + TIME(3,10,44)</f>
        <v>41043.132453703707</v>
      </c>
      <c r="C1166">
        <v>80</v>
      </c>
      <c r="D1166">
        <v>79.956985474000007</v>
      </c>
      <c r="E1166">
        <v>50</v>
      </c>
      <c r="F1166">
        <v>48.572452544999997</v>
      </c>
      <c r="G1166">
        <v>1397.2526855000001</v>
      </c>
      <c r="H1166">
        <v>1380.0633545000001</v>
      </c>
      <c r="I1166">
        <v>1279.1276855000001</v>
      </c>
      <c r="J1166">
        <v>1256.2017822</v>
      </c>
      <c r="K1166">
        <v>2875</v>
      </c>
      <c r="L1166">
        <v>0</v>
      </c>
      <c r="M1166">
        <v>0</v>
      </c>
      <c r="N1166">
        <v>2875</v>
      </c>
    </row>
    <row r="1167" spans="1:14" x14ac:dyDescent="0.25">
      <c r="A1167">
        <v>744.49915299999998</v>
      </c>
      <c r="B1167" s="1">
        <f>DATE(2012,5,14) + TIME(11,58,46)</f>
        <v>41043.499143518522</v>
      </c>
      <c r="C1167">
        <v>80</v>
      </c>
      <c r="D1167">
        <v>79.956970214999998</v>
      </c>
      <c r="E1167">
        <v>50</v>
      </c>
      <c r="F1167">
        <v>48.540008544999999</v>
      </c>
      <c r="G1167">
        <v>1397.1744385</v>
      </c>
      <c r="H1167">
        <v>1379.9986572</v>
      </c>
      <c r="I1167">
        <v>1279.1160889</v>
      </c>
      <c r="J1167">
        <v>1256.1866454999999</v>
      </c>
      <c r="K1167">
        <v>2875</v>
      </c>
      <c r="L1167">
        <v>0</v>
      </c>
      <c r="M1167">
        <v>0</v>
      </c>
      <c r="N1167">
        <v>2875</v>
      </c>
    </row>
    <row r="1168" spans="1:14" x14ac:dyDescent="0.25">
      <c r="A1168">
        <v>744.87221999999997</v>
      </c>
      <c r="B1168" s="1">
        <f>DATE(2012,5,14) + TIME(20,55,59)</f>
        <v>41043.872210648151</v>
      </c>
      <c r="C1168">
        <v>80</v>
      </c>
      <c r="D1168">
        <v>79.956954956000004</v>
      </c>
      <c r="E1168">
        <v>50</v>
      </c>
      <c r="F1168">
        <v>48.507038115999997</v>
      </c>
      <c r="G1168">
        <v>1397.0950928</v>
      </c>
      <c r="H1168">
        <v>1379.9331055</v>
      </c>
      <c r="I1168">
        <v>1279.1038818</v>
      </c>
      <c r="J1168">
        <v>1256.1710204999999</v>
      </c>
      <c r="K1168">
        <v>2875</v>
      </c>
      <c r="L1168">
        <v>0</v>
      </c>
      <c r="M1168">
        <v>0</v>
      </c>
      <c r="N1168">
        <v>2875</v>
      </c>
    </row>
    <row r="1169" spans="1:14" x14ac:dyDescent="0.25">
      <c r="A1169">
        <v>745.25191400000006</v>
      </c>
      <c r="B1169" s="1">
        <f>DATE(2012,5,15) + TIME(6,2,45)</f>
        <v>41044.251909722225</v>
      </c>
      <c r="C1169">
        <v>80</v>
      </c>
      <c r="D1169">
        <v>79.956947326999995</v>
      </c>
      <c r="E1169">
        <v>50</v>
      </c>
      <c r="F1169">
        <v>48.473564148000001</v>
      </c>
      <c r="G1169">
        <v>1397.0162353999999</v>
      </c>
      <c r="H1169">
        <v>1379.8677978999999</v>
      </c>
      <c r="I1169">
        <v>1279.0915527</v>
      </c>
      <c r="J1169">
        <v>1256.1550293</v>
      </c>
      <c r="K1169">
        <v>2875</v>
      </c>
      <c r="L1169">
        <v>0</v>
      </c>
      <c r="M1169">
        <v>0</v>
      </c>
      <c r="N1169">
        <v>2875</v>
      </c>
    </row>
    <row r="1170" spans="1:14" x14ac:dyDescent="0.25">
      <c r="A1170">
        <v>745.63641399999995</v>
      </c>
      <c r="B1170" s="1">
        <f>DATE(2012,5,15) + TIME(15,16,26)</f>
        <v>41044.636412037034</v>
      </c>
      <c r="C1170">
        <v>80</v>
      </c>
      <c r="D1170">
        <v>79.956932068</v>
      </c>
      <c r="E1170">
        <v>50</v>
      </c>
      <c r="F1170">
        <v>48.439723968999999</v>
      </c>
      <c r="G1170">
        <v>1396.9376221</v>
      </c>
      <c r="H1170">
        <v>1379.8028564000001</v>
      </c>
      <c r="I1170">
        <v>1279.0789795000001</v>
      </c>
      <c r="J1170">
        <v>1256.1386719</v>
      </c>
      <c r="K1170">
        <v>2875</v>
      </c>
      <c r="L1170">
        <v>0</v>
      </c>
      <c r="M1170">
        <v>0</v>
      </c>
      <c r="N1170">
        <v>2875</v>
      </c>
    </row>
    <row r="1171" spans="1:14" x14ac:dyDescent="0.25">
      <c r="A1171">
        <v>746.02469399999995</v>
      </c>
      <c r="B1171" s="1">
        <f>DATE(2012,5,16) + TIME(0,35,33)</f>
        <v>41045.024687500001</v>
      </c>
      <c r="C1171">
        <v>80</v>
      </c>
      <c r="D1171">
        <v>79.956916809000006</v>
      </c>
      <c r="E1171">
        <v>50</v>
      </c>
      <c r="F1171">
        <v>48.405605315999999</v>
      </c>
      <c r="G1171">
        <v>1396.8597411999999</v>
      </c>
      <c r="H1171">
        <v>1379.7384033000001</v>
      </c>
      <c r="I1171">
        <v>1279.0661620999999</v>
      </c>
      <c r="J1171">
        <v>1256.1220702999999</v>
      </c>
      <c r="K1171">
        <v>2875</v>
      </c>
      <c r="L1171">
        <v>0</v>
      </c>
      <c r="M1171">
        <v>0</v>
      </c>
      <c r="N1171">
        <v>2875</v>
      </c>
    </row>
    <row r="1172" spans="1:14" x14ac:dyDescent="0.25">
      <c r="A1172">
        <v>746.41784500000006</v>
      </c>
      <c r="B1172" s="1">
        <f>DATE(2012,5,16) + TIME(10,1,41)</f>
        <v>41045.41783564815</v>
      </c>
      <c r="C1172">
        <v>80</v>
      </c>
      <c r="D1172">
        <v>79.956901549999998</v>
      </c>
      <c r="E1172">
        <v>50</v>
      </c>
      <c r="F1172">
        <v>48.371189117</v>
      </c>
      <c r="G1172">
        <v>1396.7827147999999</v>
      </c>
      <c r="H1172">
        <v>1379.6746826000001</v>
      </c>
      <c r="I1172">
        <v>1279.0532227000001</v>
      </c>
      <c r="J1172">
        <v>1256.1053466999999</v>
      </c>
      <c r="K1172">
        <v>2875</v>
      </c>
      <c r="L1172">
        <v>0</v>
      </c>
      <c r="M1172">
        <v>0</v>
      </c>
      <c r="N1172">
        <v>2875</v>
      </c>
    </row>
    <row r="1173" spans="1:14" x14ac:dyDescent="0.25">
      <c r="A1173">
        <v>746.81576800000005</v>
      </c>
      <c r="B1173" s="1">
        <f>DATE(2012,5,16) + TIME(19,34,42)</f>
        <v>41045.815763888888</v>
      </c>
      <c r="C1173">
        <v>80</v>
      </c>
      <c r="D1173">
        <v>79.956886291999993</v>
      </c>
      <c r="E1173">
        <v>50</v>
      </c>
      <c r="F1173">
        <v>48.336494446000003</v>
      </c>
      <c r="G1173">
        <v>1396.7062988</v>
      </c>
      <c r="H1173">
        <v>1379.6115723</v>
      </c>
      <c r="I1173">
        <v>1279.0400391000001</v>
      </c>
      <c r="J1173">
        <v>1256.0882568</v>
      </c>
      <c r="K1173">
        <v>2875</v>
      </c>
      <c r="L1173">
        <v>0</v>
      </c>
      <c r="M1173">
        <v>0</v>
      </c>
      <c r="N1173">
        <v>2875</v>
      </c>
    </row>
    <row r="1174" spans="1:14" x14ac:dyDescent="0.25">
      <c r="A1174">
        <v>747.21762699999999</v>
      </c>
      <c r="B1174" s="1">
        <f>DATE(2012,5,17) + TIME(5,13,22)</f>
        <v>41046.217615740738</v>
      </c>
      <c r="C1174">
        <v>80</v>
      </c>
      <c r="D1174">
        <v>79.956871032999999</v>
      </c>
      <c r="E1174">
        <v>50</v>
      </c>
      <c r="F1174">
        <v>48.301578522</v>
      </c>
      <c r="G1174">
        <v>1396.6304932</v>
      </c>
      <c r="H1174">
        <v>1379.5488281</v>
      </c>
      <c r="I1174">
        <v>1279.0266113</v>
      </c>
      <c r="J1174">
        <v>1256.0709228999999</v>
      </c>
      <c r="K1174">
        <v>2875</v>
      </c>
      <c r="L1174">
        <v>0</v>
      </c>
      <c r="M1174">
        <v>0</v>
      </c>
      <c r="N1174">
        <v>2875</v>
      </c>
    </row>
    <row r="1175" spans="1:14" x14ac:dyDescent="0.25">
      <c r="A1175">
        <v>747.62445400000001</v>
      </c>
      <c r="B1175" s="1">
        <f>DATE(2012,5,17) + TIME(14,59,12)</f>
        <v>41046.624444444446</v>
      </c>
      <c r="C1175">
        <v>80</v>
      </c>
      <c r="D1175">
        <v>79.956855774000005</v>
      </c>
      <c r="E1175">
        <v>50</v>
      </c>
      <c r="F1175">
        <v>48.266399384000003</v>
      </c>
      <c r="G1175">
        <v>1396.5554199000001</v>
      </c>
      <c r="H1175">
        <v>1379.4868164</v>
      </c>
      <c r="I1175">
        <v>1279.0130615</v>
      </c>
      <c r="J1175">
        <v>1256.0533447</v>
      </c>
      <c r="K1175">
        <v>2875</v>
      </c>
      <c r="L1175">
        <v>0</v>
      </c>
      <c r="M1175">
        <v>0</v>
      </c>
      <c r="N1175">
        <v>2875</v>
      </c>
    </row>
    <row r="1176" spans="1:14" x14ac:dyDescent="0.25">
      <c r="A1176">
        <v>748.03729899999996</v>
      </c>
      <c r="B1176" s="1">
        <f>DATE(2012,5,18) + TIME(0,53,42)</f>
        <v>41047.037291666667</v>
      </c>
      <c r="C1176">
        <v>80</v>
      </c>
      <c r="D1176">
        <v>79.956840514999996</v>
      </c>
      <c r="E1176">
        <v>50</v>
      </c>
      <c r="F1176">
        <v>48.230899811</v>
      </c>
      <c r="G1176">
        <v>1396.480957</v>
      </c>
      <c r="H1176">
        <v>1379.4251709</v>
      </c>
      <c r="I1176">
        <v>1278.9992675999999</v>
      </c>
      <c r="J1176">
        <v>1256.0354004000001</v>
      </c>
      <c r="K1176">
        <v>2875</v>
      </c>
      <c r="L1176">
        <v>0</v>
      </c>
      <c r="M1176">
        <v>0</v>
      </c>
      <c r="N1176">
        <v>2875</v>
      </c>
    </row>
    <row r="1177" spans="1:14" x14ac:dyDescent="0.25">
      <c r="A1177">
        <v>748.45725500000003</v>
      </c>
      <c r="B1177" s="1">
        <f>DATE(2012,5,18) + TIME(10,58,26)</f>
        <v>41047.457245370373</v>
      </c>
      <c r="C1177">
        <v>80</v>
      </c>
      <c r="D1177">
        <v>79.956825256000002</v>
      </c>
      <c r="E1177">
        <v>50</v>
      </c>
      <c r="F1177">
        <v>48.195014954000001</v>
      </c>
      <c r="G1177">
        <v>1396.4067382999999</v>
      </c>
      <c r="H1177">
        <v>1379.3638916</v>
      </c>
      <c r="I1177">
        <v>1278.9852295000001</v>
      </c>
      <c r="J1177">
        <v>1256.0172118999999</v>
      </c>
      <c r="K1177">
        <v>2875</v>
      </c>
      <c r="L1177">
        <v>0</v>
      </c>
      <c r="M1177">
        <v>0</v>
      </c>
      <c r="N1177">
        <v>2875</v>
      </c>
    </row>
    <row r="1178" spans="1:14" x14ac:dyDescent="0.25">
      <c r="A1178">
        <v>748.885492</v>
      </c>
      <c r="B1178" s="1">
        <f>DATE(2012,5,18) + TIME(21,15,6)</f>
        <v>41047.88548611111</v>
      </c>
      <c r="C1178">
        <v>80</v>
      </c>
      <c r="D1178">
        <v>79.956809997999997</v>
      </c>
      <c r="E1178">
        <v>50</v>
      </c>
      <c r="F1178">
        <v>48.158660888999997</v>
      </c>
      <c r="G1178">
        <v>1396.3327637</v>
      </c>
      <c r="H1178">
        <v>1379.3027344</v>
      </c>
      <c r="I1178">
        <v>1278.9709473</v>
      </c>
      <c r="J1178">
        <v>1255.9985352000001</v>
      </c>
      <c r="K1178">
        <v>2875</v>
      </c>
      <c r="L1178">
        <v>0</v>
      </c>
      <c r="M1178">
        <v>0</v>
      </c>
      <c r="N1178">
        <v>2875</v>
      </c>
    </row>
    <row r="1179" spans="1:14" x14ac:dyDescent="0.25">
      <c r="A1179">
        <v>749.32326899999998</v>
      </c>
      <c r="B1179" s="1">
        <f>DATE(2012,5,19) + TIME(7,45,30)</f>
        <v>41048.323263888888</v>
      </c>
      <c r="C1179">
        <v>80</v>
      </c>
      <c r="D1179">
        <v>79.956794739000003</v>
      </c>
      <c r="E1179">
        <v>50</v>
      </c>
      <c r="F1179">
        <v>48.121753693000002</v>
      </c>
      <c r="G1179">
        <v>1396.2587891000001</v>
      </c>
      <c r="H1179">
        <v>1379.2414550999999</v>
      </c>
      <c r="I1179">
        <v>1278.9561768000001</v>
      </c>
      <c r="J1179">
        <v>1255.9794922000001</v>
      </c>
      <c r="K1179">
        <v>2875</v>
      </c>
      <c r="L1179">
        <v>0</v>
      </c>
      <c r="M1179">
        <v>0</v>
      </c>
      <c r="N1179">
        <v>2875</v>
      </c>
    </row>
    <row r="1180" spans="1:14" x14ac:dyDescent="0.25">
      <c r="A1180">
        <v>749.77195600000005</v>
      </c>
      <c r="B1180" s="1">
        <f>DATE(2012,5,19) + TIME(18,31,37)</f>
        <v>41048.771956018521</v>
      </c>
      <c r="C1180">
        <v>80</v>
      </c>
      <c r="D1180">
        <v>79.956779479999994</v>
      </c>
      <c r="E1180">
        <v>50</v>
      </c>
      <c r="F1180">
        <v>48.084197998</v>
      </c>
      <c r="G1180">
        <v>1396.1845702999999</v>
      </c>
      <c r="H1180">
        <v>1379.1800536999999</v>
      </c>
      <c r="I1180">
        <v>1278.9411620999999</v>
      </c>
      <c r="J1180">
        <v>1255.9599608999999</v>
      </c>
      <c r="K1180">
        <v>2875</v>
      </c>
      <c r="L1180">
        <v>0</v>
      </c>
      <c r="M1180">
        <v>0</v>
      </c>
      <c r="N1180">
        <v>2875</v>
      </c>
    </row>
    <row r="1181" spans="1:14" x14ac:dyDescent="0.25">
      <c r="A1181">
        <v>750.23308599999996</v>
      </c>
      <c r="B1181" s="1">
        <f>DATE(2012,5,20) + TIME(5,35,38)</f>
        <v>41049.233078703706</v>
      </c>
      <c r="C1181">
        <v>80</v>
      </c>
      <c r="D1181">
        <v>79.956764221</v>
      </c>
      <c r="E1181">
        <v>50</v>
      </c>
      <c r="F1181">
        <v>48.045883179</v>
      </c>
      <c r="G1181">
        <v>1396.1098632999999</v>
      </c>
      <c r="H1181">
        <v>1379.1182861</v>
      </c>
      <c r="I1181">
        <v>1278.9256591999999</v>
      </c>
      <c r="J1181">
        <v>1255.9396973</v>
      </c>
      <c r="K1181">
        <v>2875</v>
      </c>
      <c r="L1181">
        <v>0</v>
      </c>
      <c r="M1181">
        <v>0</v>
      </c>
      <c r="N1181">
        <v>2875</v>
      </c>
    </row>
    <row r="1182" spans="1:14" x14ac:dyDescent="0.25">
      <c r="A1182">
        <v>750.70867299999998</v>
      </c>
      <c r="B1182" s="1">
        <f>DATE(2012,5,20) + TIME(17,0,29)</f>
        <v>41049.708668981482</v>
      </c>
      <c r="C1182">
        <v>80</v>
      </c>
      <c r="D1182">
        <v>79.956756592000005</v>
      </c>
      <c r="E1182">
        <v>50</v>
      </c>
      <c r="F1182">
        <v>48.006675719999997</v>
      </c>
      <c r="G1182">
        <v>1396.0345459</v>
      </c>
      <c r="H1182">
        <v>1379.0560303</v>
      </c>
      <c r="I1182">
        <v>1278.909668</v>
      </c>
      <c r="J1182">
        <v>1255.9189452999999</v>
      </c>
      <c r="K1182">
        <v>2875</v>
      </c>
      <c r="L1182">
        <v>0</v>
      </c>
      <c r="M1182">
        <v>0</v>
      </c>
      <c r="N1182">
        <v>2875</v>
      </c>
    </row>
    <row r="1183" spans="1:14" x14ac:dyDescent="0.25">
      <c r="A1183">
        <v>751.19777999999997</v>
      </c>
      <c r="B1183" s="1">
        <f>DATE(2012,5,21) + TIME(4,44,48)</f>
        <v>41050.197777777779</v>
      </c>
      <c r="C1183">
        <v>80</v>
      </c>
      <c r="D1183">
        <v>79.956741332999997</v>
      </c>
      <c r="E1183">
        <v>50</v>
      </c>
      <c r="F1183">
        <v>47.966579437</v>
      </c>
      <c r="G1183">
        <v>1395.958374</v>
      </c>
      <c r="H1183">
        <v>1378.9929199000001</v>
      </c>
      <c r="I1183">
        <v>1278.8930664</v>
      </c>
      <c r="J1183">
        <v>1255.8973389</v>
      </c>
      <c r="K1183">
        <v>2875</v>
      </c>
      <c r="L1183">
        <v>0</v>
      </c>
      <c r="M1183">
        <v>0</v>
      </c>
      <c r="N1183">
        <v>2875</v>
      </c>
    </row>
    <row r="1184" spans="1:14" x14ac:dyDescent="0.25">
      <c r="A1184">
        <v>751.68965700000001</v>
      </c>
      <c r="B1184" s="1">
        <f>DATE(2012,5,21) + TIME(16,33,6)</f>
        <v>41050.689652777779</v>
      </c>
      <c r="C1184">
        <v>80</v>
      </c>
      <c r="D1184">
        <v>79.956726074000002</v>
      </c>
      <c r="E1184">
        <v>50</v>
      </c>
      <c r="F1184">
        <v>47.926109314000001</v>
      </c>
      <c r="G1184">
        <v>1395.8814697</v>
      </c>
      <c r="H1184">
        <v>1378.9293213000001</v>
      </c>
      <c r="I1184">
        <v>1278.8757324000001</v>
      </c>
      <c r="J1184">
        <v>1255.875</v>
      </c>
      <c r="K1184">
        <v>2875</v>
      </c>
      <c r="L1184">
        <v>0</v>
      </c>
      <c r="M1184">
        <v>0</v>
      </c>
      <c r="N1184">
        <v>2875</v>
      </c>
    </row>
    <row r="1185" spans="1:14" x14ac:dyDescent="0.25">
      <c r="A1185">
        <v>752.18573900000001</v>
      </c>
      <c r="B1185" s="1">
        <f>DATE(2012,5,22) + TIME(4,27,27)</f>
        <v>41051.185729166667</v>
      </c>
      <c r="C1185">
        <v>80</v>
      </c>
      <c r="D1185">
        <v>79.956710814999994</v>
      </c>
      <c r="E1185">
        <v>50</v>
      </c>
      <c r="F1185">
        <v>47.885326384999999</v>
      </c>
      <c r="G1185">
        <v>1395.8055420000001</v>
      </c>
      <c r="H1185">
        <v>1378.8664550999999</v>
      </c>
      <c r="I1185">
        <v>1278.8582764</v>
      </c>
      <c r="J1185">
        <v>1255.8524170000001</v>
      </c>
      <c r="K1185">
        <v>2875</v>
      </c>
      <c r="L1185">
        <v>0</v>
      </c>
      <c r="M1185">
        <v>0</v>
      </c>
      <c r="N1185">
        <v>2875</v>
      </c>
    </row>
    <row r="1186" spans="1:14" x14ac:dyDescent="0.25">
      <c r="A1186">
        <v>752.68742699999996</v>
      </c>
      <c r="B1186" s="1">
        <f>DATE(2012,5,22) + TIME(16,29,53)</f>
        <v>41051.687418981484</v>
      </c>
      <c r="C1186">
        <v>80</v>
      </c>
      <c r="D1186">
        <v>79.956703185999999</v>
      </c>
      <c r="E1186">
        <v>50</v>
      </c>
      <c r="F1186">
        <v>47.844234467</v>
      </c>
      <c r="G1186">
        <v>1395.7304687999999</v>
      </c>
      <c r="H1186">
        <v>1378.8041992000001</v>
      </c>
      <c r="I1186">
        <v>1278.8406981999999</v>
      </c>
      <c r="J1186">
        <v>1255.8294678</v>
      </c>
      <c r="K1186">
        <v>2875</v>
      </c>
      <c r="L1186">
        <v>0</v>
      </c>
      <c r="M1186">
        <v>0</v>
      </c>
      <c r="N1186">
        <v>2875</v>
      </c>
    </row>
    <row r="1187" spans="1:14" x14ac:dyDescent="0.25">
      <c r="A1187">
        <v>753.19615599999997</v>
      </c>
      <c r="B1187" s="1">
        <f>DATE(2012,5,23) + TIME(4,42,27)</f>
        <v>41052.196145833332</v>
      </c>
      <c r="C1187">
        <v>80</v>
      </c>
      <c r="D1187">
        <v>79.956687927000004</v>
      </c>
      <c r="E1187">
        <v>50</v>
      </c>
      <c r="F1187">
        <v>47.802783966</v>
      </c>
      <c r="G1187">
        <v>1395.6558838000001</v>
      </c>
      <c r="H1187">
        <v>1378.7423096</v>
      </c>
      <c r="I1187">
        <v>1278.8227539</v>
      </c>
      <c r="J1187">
        <v>1255.8061522999999</v>
      </c>
      <c r="K1187">
        <v>2875</v>
      </c>
      <c r="L1187">
        <v>0</v>
      </c>
      <c r="M1187">
        <v>0</v>
      </c>
      <c r="N1187">
        <v>2875</v>
      </c>
    </row>
    <row r="1188" spans="1:14" x14ac:dyDescent="0.25">
      <c r="A1188">
        <v>753.71341800000005</v>
      </c>
      <c r="B1188" s="1">
        <f>DATE(2012,5,23) + TIME(17,7,19)</f>
        <v>41052.713414351849</v>
      </c>
      <c r="C1188">
        <v>80</v>
      </c>
      <c r="D1188">
        <v>79.956680297999995</v>
      </c>
      <c r="E1188">
        <v>50</v>
      </c>
      <c r="F1188">
        <v>47.760894774999997</v>
      </c>
      <c r="G1188">
        <v>1395.581543</v>
      </c>
      <c r="H1188">
        <v>1378.6807861</v>
      </c>
      <c r="I1188">
        <v>1278.8044434000001</v>
      </c>
      <c r="J1188">
        <v>1255.7822266000001</v>
      </c>
      <c r="K1188">
        <v>2875</v>
      </c>
      <c r="L1188">
        <v>0</v>
      </c>
      <c r="M1188">
        <v>0</v>
      </c>
      <c r="N1188">
        <v>2875</v>
      </c>
    </row>
    <row r="1189" spans="1:14" x14ac:dyDescent="0.25">
      <c r="A1189">
        <v>754.23731699999996</v>
      </c>
      <c r="B1189" s="1">
        <f>DATE(2012,5,24) + TIME(5,41,44)</f>
        <v>41053.237314814818</v>
      </c>
      <c r="C1189">
        <v>80</v>
      </c>
      <c r="D1189">
        <v>79.956665039000001</v>
      </c>
      <c r="E1189">
        <v>50</v>
      </c>
      <c r="F1189">
        <v>47.718635558999999</v>
      </c>
      <c r="G1189">
        <v>1395.5074463000001</v>
      </c>
      <c r="H1189">
        <v>1378.6192627</v>
      </c>
      <c r="I1189">
        <v>1278.7856445</v>
      </c>
      <c r="J1189">
        <v>1255.7578125</v>
      </c>
      <c r="K1189">
        <v>2875</v>
      </c>
      <c r="L1189">
        <v>0</v>
      </c>
      <c r="M1189">
        <v>0</v>
      </c>
      <c r="N1189">
        <v>2875</v>
      </c>
    </row>
    <row r="1190" spans="1:14" x14ac:dyDescent="0.25">
      <c r="A1190">
        <v>754.76769899999999</v>
      </c>
      <c r="B1190" s="1">
        <f>DATE(2012,5,24) + TIME(18,25,29)</f>
        <v>41053.767696759256</v>
      </c>
      <c r="C1190">
        <v>80</v>
      </c>
      <c r="D1190">
        <v>79.956657410000005</v>
      </c>
      <c r="E1190">
        <v>50</v>
      </c>
      <c r="F1190">
        <v>47.676029204999999</v>
      </c>
      <c r="G1190">
        <v>1395.4335937999999</v>
      </c>
      <c r="H1190">
        <v>1378.5579834</v>
      </c>
      <c r="I1190">
        <v>1278.7664795000001</v>
      </c>
      <c r="J1190">
        <v>1255.7327881000001</v>
      </c>
      <c r="K1190">
        <v>2875</v>
      </c>
      <c r="L1190">
        <v>0</v>
      </c>
      <c r="M1190">
        <v>0</v>
      </c>
      <c r="N1190">
        <v>2875</v>
      </c>
    </row>
    <row r="1191" spans="1:14" x14ac:dyDescent="0.25">
      <c r="A1191">
        <v>755.30600100000004</v>
      </c>
      <c r="B1191" s="1">
        <f>DATE(2012,5,25) + TIME(7,20,38)</f>
        <v>41054.305995370371</v>
      </c>
      <c r="C1191">
        <v>80</v>
      </c>
      <c r="D1191">
        <v>79.956642150999997</v>
      </c>
      <c r="E1191">
        <v>50</v>
      </c>
      <c r="F1191">
        <v>47.633022308000001</v>
      </c>
      <c r="G1191">
        <v>1395.3601074000001</v>
      </c>
      <c r="H1191">
        <v>1378.4970702999999</v>
      </c>
      <c r="I1191">
        <v>1278.7470702999999</v>
      </c>
      <c r="J1191">
        <v>1255.7073975000001</v>
      </c>
      <c r="K1191">
        <v>2875</v>
      </c>
      <c r="L1191">
        <v>0</v>
      </c>
      <c r="M1191">
        <v>0</v>
      </c>
      <c r="N1191">
        <v>2875</v>
      </c>
    </row>
    <row r="1192" spans="1:14" x14ac:dyDescent="0.25">
      <c r="A1192">
        <v>755.85372900000004</v>
      </c>
      <c r="B1192" s="1">
        <f>DATE(2012,5,25) + TIME(20,29,22)</f>
        <v>41054.853726851848</v>
      </c>
      <c r="C1192">
        <v>80</v>
      </c>
      <c r="D1192">
        <v>79.956634520999998</v>
      </c>
      <c r="E1192">
        <v>50</v>
      </c>
      <c r="F1192">
        <v>47.58952713</v>
      </c>
      <c r="G1192">
        <v>1395.2868652</v>
      </c>
      <c r="H1192">
        <v>1378.4362793</v>
      </c>
      <c r="I1192">
        <v>1278.7270507999999</v>
      </c>
      <c r="J1192">
        <v>1255.6812743999999</v>
      </c>
      <c r="K1192">
        <v>2875</v>
      </c>
      <c r="L1192">
        <v>0</v>
      </c>
      <c r="M1192">
        <v>0</v>
      </c>
      <c r="N1192">
        <v>2875</v>
      </c>
    </row>
    <row r="1193" spans="1:14" x14ac:dyDescent="0.25">
      <c r="A1193">
        <v>756.41249200000004</v>
      </c>
      <c r="B1193" s="1">
        <f>DATE(2012,5,26) + TIME(9,53,59)</f>
        <v>41055.412488425929</v>
      </c>
      <c r="C1193">
        <v>80</v>
      </c>
      <c r="D1193">
        <v>79.956626892000003</v>
      </c>
      <c r="E1193">
        <v>50</v>
      </c>
      <c r="F1193">
        <v>47.545452118</v>
      </c>
      <c r="G1193">
        <v>1395.2137451000001</v>
      </c>
      <c r="H1193">
        <v>1378.3754882999999</v>
      </c>
      <c r="I1193">
        <v>1278.7066649999999</v>
      </c>
      <c r="J1193">
        <v>1255.6545410000001</v>
      </c>
      <c r="K1193">
        <v>2875</v>
      </c>
      <c r="L1193">
        <v>0</v>
      </c>
      <c r="M1193">
        <v>0</v>
      </c>
      <c r="N1193">
        <v>2875</v>
      </c>
    </row>
    <row r="1194" spans="1:14" x14ac:dyDescent="0.25">
      <c r="A1194">
        <v>756.98402499999997</v>
      </c>
      <c r="B1194" s="1">
        <f>DATE(2012,5,26) + TIME(23,36,59)</f>
        <v>41055.984016203707</v>
      </c>
      <c r="C1194">
        <v>80</v>
      </c>
      <c r="D1194">
        <v>79.956619262999993</v>
      </c>
      <c r="E1194">
        <v>50</v>
      </c>
      <c r="F1194">
        <v>47.500679015999999</v>
      </c>
      <c r="G1194">
        <v>1395.1402588000001</v>
      </c>
      <c r="H1194">
        <v>1378.3144531</v>
      </c>
      <c r="I1194">
        <v>1278.6856689000001</v>
      </c>
      <c r="J1194">
        <v>1255.6270752</v>
      </c>
      <c r="K1194">
        <v>2875</v>
      </c>
      <c r="L1194">
        <v>0</v>
      </c>
      <c r="M1194">
        <v>0</v>
      </c>
      <c r="N1194">
        <v>2875</v>
      </c>
    </row>
    <row r="1195" spans="1:14" x14ac:dyDescent="0.25">
      <c r="A1195">
        <v>757.57008800000006</v>
      </c>
      <c r="B1195" s="1">
        <f>DATE(2012,5,27) + TIME(13,40,55)</f>
        <v>41056.570081018515</v>
      </c>
      <c r="C1195">
        <v>80</v>
      </c>
      <c r="D1195">
        <v>79.956611632999994</v>
      </c>
      <c r="E1195">
        <v>50</v>
      </c>
      <c r="F1195">
        <v>47.455089569000002</v>
      </c>
      <c r="G1195">
        <v>1395.0664062000001</v>
      </c>
      <c r="H1195">
        <v>1378.2530518000001</v>
      </c>
      <c r="I1195">
        <v>1278.6640625</v>
      </c>
      <c r="J1195">
        <v>1255.5986327999999</v>
      </c>
      <c r="K1195">
        <v>2875</v>
      </c>
      <c r="L1195">
        <v>0</v>
      </c>
      <c r="M1195">
        <v>0</v>
      </c>
      <c r="N1195">
        <v>2875</v>
      </c>
    </row>
    <row r="1196" spans="1:14" x14ac:dyDescent="0.25">
      <c r="A1196">
        <v>758.16896599999995</v>
      </c>
      <c r="B1196" s="1">
        <f>DATE(2012,5,28) + TIME(4,3,18)</f>
        <v>41057.168958333335</v>
      </c>
      <c r="C1196">
        <v>80</v>
      </c>
      <c r="D1196">
        <v>79.956604003999999</v>
      </c>
      <c r="E1196">
        <v>50</v>
      </c>
      <c r="F1196">
        <v>47.408710480000003</v>
      </c>
      <c r="G1196">
        <v>1394.9919434000001</v>
      </c>
      <c r="H1196">
        <v>1378.1910399999999</v>
      </c>
      <c r="I1196">
        <v>1278.6417236</v>
      </c>
      <c r="J1196">
        <v>1255.5693358999999</v>
      </c>
      <c r="K1196">
        <v>2875</v>
      </c>
      <c r="L1196">
        <v>0</v>
      </c>
      <c r="M1196">
        <v>0</v>
      </c>
      <c r="N1196">
        <v>2875</v>
      </c>
    </row>
    <row r="1197" spans="1:14" x14ac:dyDescent="0.25">
      <c r="A1197">
        <v>758.77467999999999</v>
      </c>
      <c r="B1197" s="1">
        <f>DATE(2012,5,28) + TIME(18,35,32)</f>
        <v>41057.774675925924</v>
      </c>
      <c r="C1197">
        <v>80</v>
      </c>
      <c r="D1197">
        <v>79.956596375000004</v>
      </c>
      <c r="E1197">
        <v>50</v>
      </c>
      <c r="F1197">
        <v>47.361785888999997</v>
      </c>
      <c r="G1197">
        <v>1394.9172363</v>
      </c>
      <c r="H1197">
        <v>1378.1287841999999</v>
      </c>
      <c r="I1197">
        <v>1278.6186522999999</v>
      </c>
      <c r="J1197">
        <v>1255.5389404</v>
      </c>
      <c r="K1197">
        <v>2875</v>
      </c>
      <c r="L1197">
        <v>0</v>
      </c>
      <c r="M1197">
        <v>0</v>
      </c>
      <c r="N1197">
        <v>2875</v>
      </c>
    </row>
    <row r="1198" spans="1:14" x14ac:dyDescent="0.25">
      <c r="A1198">
        <v>759.38294199999996</v>
      </c>
      <c r="B1198" s="1">
        <f>DATE(2012,5,29) + TIME(9,11,26)</f>
        <v>41058.382939814815</v>
      </c>
      <c r="C1198">
        <v>80</v>
      </c>
      <c r="D1198">
        <v>79.956588745000005</v>
      </c>
      <c r="E1198">
        <v>50</v>
      </c>
      <c r="F1198">
        <v>47.314601897999999</v>
      </c>
      <c r="G1198">
        <v>1394.8427733999999</v>
      </c>
      <c r="H1198">
        <v>1378.0668945</v>
      </c>
      <c r="I1198">
        <v>1278.5949707</v>
      </c>
      <c r="J1198">
        <v>1255.5080565999999</v>
      </c>
      <c r="K1198">
        <v>2875</v>
      </c>
      <c r="L1198">
        <v>0</v>
      </c>
      <c r="M1198">
        <v>0</v>
      </c>
      <c r="N1198">
        <v>2875</v>
      </c>
    </row>
    <row r="1199" spans="1:14" x14ac:dyDescent="0.25">
      <c r="A1199">
        <v>759.99538199999995</v>
      </c>
      <c r="B1199" s="1">
        <f>DATE(2012,5,29) + TIME(23,53,21)</f>
        <v>41058.995381944442</v>
      </c>
      <c r="C1199">
        <v>80</v>
      </c>
      <c r="D1199">
        <v>79.956581115999995</v>
      </c>
      <c r="E1199">
        <v>50</v>
      </c>
      <c r="F1199">
        <v>47.267208099000001</v>
      </c>
      <c r="G1199">
        <v>1394.7694091999999</v>
      </c>
      <c r="H1199">
        <v>1378.0057373</v>
      </c>
      <c r="I1199">
        <v>1278.5711670000001</v>
      </c>
      <c r="J1199">
        <v>1255.4765625</v>
      </c>
      <c r="K1199">
        <v>2875</v>
      </c>
      <c r="L1199">
        <v>0</v>
      </c>
      <c r="M1199">
        <v>0</v>
      </c>
      <c r="N1199">
        <v>2875</v>
      </c>
    </row>
    <row r="1200" spans="1:14" x14ac:dyDescent="0.25">
      <c r="A1200">
        <v>760.61361399999998</v>
      </c>
      <c r="B1200" s="1">
        <f>DATE(2012,5,30) + TIME(14,43,36)</f>
        <v>41059.613611111112</v>
      </c>
      <c r="C1200">
        <v>80</v>
      </c>
      <c r="D1200">
        <v>79.956573485999996</v>
      </c>
      <c r="E1200">
        <v>50</v>
      </c>
      <c r="F1200">
        <v>47.219570160000004</v>
      </c>
      <c r="G1200">
        <v>1394.6966553</v>
      </c>
      <c r="H1200">
        <v>1377.9450684000001</v>
      </c>
      <c r="I1200">
        <v>1278.546875</v>
      </c>
      <c r="J1200">
        <v>1255.4444579999999</v>
      </c>
      <c r="K1200">
        <v>2875</v>
      </c>
      <c r="L1200">
        <v>0</v>
      </c>
      <c r="M1200">
        <v>0</v>
      </c>
      <c r="N1200">
        <v>2875</v>
      </c>
    </row>
    <row r="1201" spans="1:14" x14ac:dyDescent="0.25">
      <c r="A1201">
        <v>761.239285</v>
      </c>
      <c r="B1201" s="1">
        <f>DATE(2012,5,31) + TIME(5,44,34)</f>
        <v>41060.239282407405</v>
      </c>
      <c r="C1201">
        <v>80</v>
      </c>
      <c r="D1201">
        <v>79.956565857000001</v>
      </c>
      <c r="E1201">
        <v>50</v>
      </c>
      <c r="F1201">
        <v>47.171619415000002</v>
      </c>
      <c r="G1201">
        <v>1394.6243896000001</v>
      </c>
      <c r="H1201">
        <v>1377.8847656</v>
      </c>
      <c r="I1201">
        <v>1278.5220947</v>
      </c>
      <c r="J1201">
        <v>1255.4117432</v>
      </c>
      <c r="K1201">
        <v>2875</v>
      </c>
      <c r="L1201">
        <v>0</v>
      </c>
      <c r="M1201">
        <v>0</v>
      </c>
      <c r="N1201">
        <v>2875</v>
      </c>
    </row>
    <row r="1202" spans="1:14" x14ac:dyDescent="0.25">
      <c r="A1202">
        <v>761.87409300000002</v>
      </c>
      <c r="B1202" s="1">
        <f>DATE(2012,5,31) + TIME(20,58,41)</f>
        <v>41060.874085648145</v>
      </c>
      <c r="C1202">
        <v>80</v>
      </c>
      <c r="D1202">
        <v>79.956558228000006</v>
      </c>
      <c r="E1202">
        <v>50</v>
      </c>
      <c r="F1202">
        <v>47.123256683000001</v>
      </c>
      <c r="G1202">
        <v>1394.5524902</v>
      </c>
      <c r="H1202">
        <v>1377.824707</v>
      </c>
      <c r="I1202">
        <v>1278.4968262</v>
      </c>
      <c r="J1202">
        <v>1255.3781738</v>
      </c>
      <c r="K1202">
        <v>2875</v>
      </c>
      <c r="L1202">
        <v>0</v>
      </c>
      <c r="M1202">
        <v>0</v>
      </c>
      <c r="N1202">
        <v>2875</v>
      </c>
    </row>
    <row r="1203" spans="1:14" x14ac:dyDescent="0.25">
      <c r="A1203">
        <v>762</v>
      </c>
      <c r="B1203" s="1">
        <f>DATE(2012,6,1) + TIME(0,0,0)</f>
        <v>41061</v>
      </c>
      <c r="C1203">
        <v>80</v>
      </c>
      <c r="D1203">
        <v>79.956550598000007</v>
      </c>
      <c r="E1203">
        <v>50</v>
      </c>
      <c r="F1203">
        <v>47.107929230000003</v>
      </c>
      <c r="G1203">
        <v>1394.4821777</v>
      </c>
      <c r="H1203">
        <v>1377.7661132999999</v>
      </c>
      <c r="I1203">
        <v>1278.4676514</v>
      </c>
      <c r="J1203">
        <v>1255.348999</v>
      </c>
      <c r="K1203">
        <v>2875</v>
      </c>
      <c r="L1203">
        <v>0</v>
      </c>
      <c r="M1203">
        <v>0</v>
      </c>
      <c r="N1203">
        <v>2875</v>
      </c>
    </row>
    <row r="1204" spans="1:14" x14ac:dyDescent="0.25">
      <c r="A1204">
        <v>762.64572599999997</v>
      </c>
      <c r="B1204" s="1">
        <f>DATE(2012,6,1) + TIME(15,29,50)</f>
        <v>41061.64571759259</v>
      </c>
      <c r="C1204">
        <v>80</v>
      </c>
      <c r="D1204">
        <v>79.956558228000006</v>
      </c>
      <c r="E1204">
        <v>50</v>
      </c>
      <c r="F1204">
        <v>47.061725615999997</v>
      </c>
      <c r="G1204">
        <v>1394.4661865</v>
      </c>
      <c r="H1204">
        <v>1377.7525635</v>
      </c>
      <c r="I1204">
        <v>1278.4658202999999</v>
      </c>
      <c r="J1204">
        <v>1255.3360596</v>
      </c>
      <c r="K1204">
        <v>2875</v>
      </c>
      <c r="L1204">
        <v>0</v>
      </c>
      <c r="M1204">
        <v>0</v>
      </c>
      <c r="N1204">
        <v>2875</v>
      </c>
    </row>
    <row r="1205" spans="1:14" x14ac:dyDescent="0.25">
      <c r="A1205">
        <v>763.30710199999999</v>
      </c>
      <c r="B1205" s="1">
        <f>DATE(2012,6,2) + TIME(7,22,13)</f>
        <v>41062.30709490741</v>
      </c>
      <c r="C1205">
        <v>80</v>
      </c>
      <c r="D1205">
        <v>79.956550598000007</v>
      </c>
      <c r="E1205">
        <v>50</v>
      </c>
      <c r="F1205">
        <v>47.013519287000001</v>
      </c>
      <c r="G1205">
        <v>1394.3948975000001</v>
      </c>
      <c r="H1205">
        <v>1377.6929932</v>
      </c>
      <c r="I1205">
        <v>1278.4392089999999</v>
      </c>
      <c r="J1205">
        <v>1255.3009033000001</v>
      </c>
      <c r="K1205">
        <v>2875</v>
      </c>
      <c r="L1205">
        <v>0</v>
      </c>
      <c r="M1205">
        <v>0</v>
      </c>
      <c r="N1205">
        <v>2875</v>
      </c>
    </row>
    <row r="1206" spans="1:14" x14ac:dyDescent="0.25">
      <c r="A1206">
        <v>763.98370899999998</v>
      </c>
      <c r="B1206" s="1">
        <f>DATE(2012,6,2) + TIME(23,36,32)</f>
        <v>41062.983703703707</v>
      </c>
      <c r="C1206">
        <v>80</v>
      </c>
      <c r="D1206">
        <v>79.956550598000007</v>
      </c>
      <c r="E1206">
        <v>50</v>
      </c>
      <c r="F1206">
        <v>46.963787078999999</v>
      </c>
      <c r="G1206">
        <v>1394.3226318</v>
      </c>
      <c r="H1206">
        <v>1377.6325684000001</v>
      </c>
      <c r="I1206">
        <v>1278.411499</v>
      </c>
      <c r="J1206">
        <v>1255.2641602000001</v>
      </c>
      <c r="K1206">
        <v>2875</v>
      </c>
      <c r="L1206">
        <v>0</v>
      </c>
      <c r="M1206">
        <v>0</v>
      </c>
      <c r="N1206">
        <v>2875</v>
      </c>
    </row>
    <row r="1207" spans="1:14" x14ac:dyDescent="0.25">
      <c r="A1207">
        <v>764.67183199999999</v>
      </c>
      <c r="B1207" s="1">
        <f>DATE(2012,6,3) + TIME(16,7,26)</f>
        <v>41063.6718287037</v>
      </c>
      <c r="C1207">
        <v>80</v>
      </c>
      <c r="D1207">
        <v>79.956542968999997</v>
      </c>
      <c r="E1207">
        <v>50</v>
      </c>
      <c r="F1207">
        <v>46.912925719999997</v>
      </c>
      <c r="G1207">
        <v>1394.2498779</v>
      </c>
      <c r="H1207">
        <v>1377.5716553</v>
      </c>
      <c r="I1207">
        <v>1278.3828125</v>
      </c>
      <c r="J1207">
        <v>1255.2260742000001</v>
      </c>
      <c r="K1207">
        <v>2875</v>
      </c>
      <c r="L1207">
        <v>0</v>
      </c>
      <c r="M1207">
        <v>0</v>
      </c>
      <c r="N1207">
        <v>2875</v>
      </c>
    </row>
    <row r="1208" spans="1:14" x14ac:dyDescent="0.25">
      <c r="A1208">
        <v>765.37117499999999</v>
      </c>
      <c r="B1208" s="1">
        <f>DATE(2012,6,4) + TIME(8,54,29)</f>
        <v>41064.371168981481</v>
      </c>
      <c r="C1208">
        <v>80</v>
      </c>
      <c r="D1208">
        <v>79.956542968999997</v>
      </c>
      <c r="E1208">
        <v>50</v>
      </c>
      <c r="F1208">
        <v>46.861156463999997</v>
      </c>
      <c r="G1208">
        <v>1394.1770019999999</v>
      </c>
      <c r="H1208">
        <v>1377.5106201000001</v>
      </c>
      <c r="I1208">
        <v>1278.3533935999999</v>
      </c>
      <c r="J1208">
        <v>1255.1866454999999</v>
      </c>
      <c r="K1208">
        <v>2875</v>
      </c>
      <c r="L1208">
        <v>0</v>
      </c>
      <c r="M1208">
        <v>0</v>
      </c>
      <c r="N1208">
        <v>2875</v>
      </c>
    </row>
    <row r="1209" spans="1:14" x14ac:dyDescent="0.25">
      <c r="A1209">
        <v>766.08374100000003</v>
      </c>
      <c r="B1209" s="1">
        <f>DATE(2012,6,5) + TIME(2,0,35)</f>
        <v>41065.083738425928</v>
      </c>
      <c r="C1209">
        <v>80</v>
      </c>
      <c r="D1209">
        <v>79.956542968999997</v>
      </c>
      <c r="E1209">
        <v>50</v>
      </c>
      <c r="F1209">
        <v>46.808521270999996</v>
      </c>
      <c r="G1209">
        <v>1394.104126</v>
      </c>
      <c r="H1209">
        <v>1377.4494629000001</v>
      </c>
      <c r="I1209">
        <v>1278.3231201000001</v>
      </c>
      <c r="J1209">
        <v>1255.1461182</v>
      </c>
      <c r="K1209">
        <v>2875</v>
      </c>
      <c r="L1209">
        <v>0</v>
      </c>
      <c r="M1209">
        <v>0</v>
      </c>
      <c r="N1209">
        <v>2875</v>
      </c>
    </row>
    <row r="1210" spans="1:14" x14ac:dyDescent="0.25">
      <c r="A1210">
        <v>766.802324</v>
      </c>
      <c r="B1210" s="1">
        <f>DATE(2012,6,5) + TIME(19,15,20)</f>
        <v>41065.802314814813</v>
      </c>
      <c r="C1210">
        <v>80</v>
      </c>
      <c r="D1210">
        <v>79.956542968999997</v>
      </c>
      <c r="E1210">
        <v>50</v>
      </c>
      <c r="F1210">
        <v>46.755306244000003</v>
      </c>
      <c r="G1210">
        <v>1394.0308838000001</v>
      </c>
      <c r="H1210">
        <v>1377.3880615</v>
      </c>
      <c r="I1210">
        <v>1278.2918701000001</v>
      </c>
      <c r="J1210">
        <v>1255.104126</v>
      </c>
      <c r="K1210">
        <v>2875</v>
      </c>
      <c r="L1210">
        <v>0</v>
      </c>
      <c r="M1210">
        <v>0</v>
      </c>
      <c r="N1210">
        <v>2875</v>
      </c>
    </row>
    <row r="1211" spans="1:14" x14ac:dyDescent="0.25">
      <c r="A1211">
        <v>767.52398800000003</v>
      </c>
      <c r="B1211" s="1">
        <f>DATE(2012,6,6) + TIME(12,34,32)</f>
        <v>41066.523981481485</v>
      </c>
      <c r="C1211">
        <v>80</v>
      </c>
      <c r="D1211">
        <v>79.956535338999998</v>
      </c>
      <c r="E1211">
        <v>50</v>
      </c>
      <c r="F1211">
        <v>46.701766968000001</v>
      </c>
      <c r="G1211">
        <v>1393.9582519999999</v>
      </c>
      <c r="H1211">
        <v>1377.3270264</v>
      </c>
      <c r="I1211">
        <v>1278.2598877</v>
      </c>
      <c r="J1211">
        <v>1255.0610352000001</v>
      </c>
      <c r="K1211">
        <v>2875</v>
      </c>
      <c r="L1211">
        <v>0</v>
      </c>
      <c r="M1211">
        <v>0</v>
      </c>
      <c r="N1211">
        <v>2875</v>
      </c>
    </row>
    <row r="1212" spans="1:14" x14ac:dyDescent="0.25">
      <c r="A1212">
        <v>768.25066200000003</v>
      </c>
      <c r="B1212" s="1">
        <f>DATE(2012,6,7) + TIME(6,0,57)</f>
        <v>41067.250659722224</v>
      </c>
      <c r="C1212">
        <v>80</v>
      </c>
      <c r="D1212">
        <v>79.956535338999998</v>
      </c>
      <c r="E1212">
        <v>50</v>
      </c>
      <c r="F1212">
        <v>46.647953033</v>
      </c>
      <c r="G1212">
        <v>1393.8864745999999</v>
      </c>
      <c r="H1212">
        <v>1377.2667236</v>
      </c>
      <c r="I1212">
        <v>1278.2274170000001</v>
      </c>
      <c r="J1212">
        <v>1255.0172118999999</v>
      </c>
      <c r="K1212">
        <v>2875</v>
      </c>
      <c r="L1212">
        <v>0</v>
      </c>
      <c r="M1212">
        <v>0</v>
      </c>
      <c r="N1212">
        <v>2875</v>
      </c>
    </row>
    <row r="1213" spans="1:14" x14ac:dyDescent="0.25">
      <c r="A1213">
        <v>768.98428000000001</v>
      </c>
      <c r="B1213" s="1">
        <f>DATE(2012,6,7) + TIME(23,37,21)</f>
        <v>41067.984270833331</v>
      </c>
      <c r="C1213">
        <v>80</v>
      </c>
      <c r="D1213">
        <v>79.956535338999998</v>
      </c>
      <c r="E1213">
        <v>50</v>
      </c>
      <c r="F1213">
        <v>46.593811035000002</v>
      </c>
      <c r="G1213">
        <v>1393.8151855000001</v>
      </c>
      <c r="H1213">
        <v>1377.2067870999999</v>
      </c>
      <c r="I1213">
        <v>1278.1943358999999</v>
      </c>
      <c r="J1213">
        <v>1254.9722899999999</v>
      </c>
      <c r="K1213">
        <v>2875</v>
      </c>
      <c r="L1213">
        <v>0</v>
      </c>
      <c r="M1213">
        <v>0</v>
      </c>
      <c r="N1213">
        <v>2875</v>
      </c>
    </row>
    <row r="1214" spans="1:14" x14ac:dyDescent="0.25">
      <c r="A1214">
        <v>769.726809</v>
      </c>
      <c r="B1214" s="1">
        <f>DATE(2012,6,8) + TIME(17,26,36)</f>
        <v>41068.726805555554</v>
      </c>
      <c r="C1214">
        <v>80</v>
      </c>
      <c r="D1214">
        <v>79.956535338999998</v>
      </c>
      <c r="E1214">
        <v>50</v>
      </c>
      <c r="F1214">
        <v>46.539245604999998</v>
      </c>
      <c r="G1214">
        <v>1393.7442627</v>
      </c>
      <c r="H1214">
        <v>1377.1470947</v>
      </c>
      <c r="I1214">
        <v>1278.1605225000001</v>
      </c>
      <c r="J1214">
        <v>1254.9262695</v>
      </c>
      <c r="K1214">
        <v>2875</v>
      </c>
      <c r="L1214">
        <v>0</v>
      </c>
      <c r="M1214">
        <v>0</v>
      </c>
      <c r="N1214">
        <v>2875</v>
      </c>
    </row>
    <row r="1215" spans="1:14" x14ac:dyDescent="0.25">
      <c r="A1215">
        <v>770.48028399999998</v>
      </c>
      <c r="B1215" s="1">
        <f>DATE(2012,6,9) + TIME(11,31,36)</f>
        <v>41069.48027777778</v>
      </c>
      <c r="C1215">
        <v>80</v>
      </c>
      <c r="D1215">
        <v>79.956542968999997</v>
      </c>
      <c r="E1215">
        <v>50</v>
      </c>
      <c r="F1215">
        <v>46.484127045000001</v>
      </c>
      <c r="G1215">
        <v>1393.6735839999999</v>
      </c>
      <c r="H1215">
        <v>1377.0875243999999</v>
      </c>
      <c r="I1215">
        <v>1278.1257324000001</v>
      </c>
      <c r="J1215">
        <v>1254.8789062000001</v>
      </c>
      <c r="K1215">
        <v>2875</v>
      </c>
      <c r="L1215">
        <v>0</v>
      </c>
      <c r="M1215">
        <v>0</v>
      </c>
      <c r="N1215">
        <v>2875</v>
      </c>
    </row>
    <row r="1216" spans="1:14" x14ac:dyDescent="0.25">
      <c r="A1216">
        <v>771.24685799999997</v>
      </c>
      <c r="B1216" s="1">
        <f>DATE(2012,6,10) + TIME(5,55,28)</f>
        <v>41070.246851851851</v>
      </c>
      <c r="C1216">
        <v>80</v>
      </c>
      <c r="D1216">
        <v>79.956542968999997</v>
      </c>
      <c r="E1216">
        <v>50</v>
      </c>
      <c r="F1216">
        <v>46.428310394</v>
      </c>
      <c r="G1216">
        <v>1393.6029053</v>
      </c>
      <c r="H1216">
        <v>1377.0279541</v>
      </c>
      <c r="I1216">
        <v>1278.0900879000001</v>
      </c>
      <c r="J1216">
        <v>1254.8299560999999</v>
      </c>
      <c r="K1216">
        <v>2875</v>
      </c>
      <c r="L1216">
        <v>0</v>
      </c>
      <c r="M1216">
        <v>0</v>
      </c>
      <c r="N1216">
        <v>2875</v>
      </c>
    </row>
    <row r="1217" spans="1:14" x14ac:dyDescent="0.25">
      <c r="A1217">
        <v>772.02883299999996</v>
      </c>
      <c r="B1217" s="1">
        <f>DATE(2012,6,11) + TIME(0,41,31)</f>
        <v>41071.028831018521</v>
      </c>
      <c r="C1217">
        <v>80</v>
      </c>
      <c r="D1217">
        <v>79.956542968999997</v>
      </c>
      <c r="E1217">
        <v>50</v>
      </c>
      <c r="F1217">
        <v>46.371635437000002</v>
      </c>
      <c r="G1217">
        <v>1393.5319824000001</v>
      </c>
      <c r="H1217">
        <v>1376.9680175999999</v>
      </c>
      <c r="I1217">
        <v>1278.0532227000001</v>
      </c>
      <c r="J1217">
        <v>1254.7794189000001</v>
      </c>
      <c r="K1217">
        <v>2875</v>
      </c>
      <c r="L1217">
        <v>0</v>
      </c>
      <c r="M1217">
        <v>0</v>
      </c>
      <c r="N1217">
        <v>2875</v>
      </c>
    </row>
    <row r="1218" spans="1:14" x14ac:dyDescent="0.25">
      <c r="A1218">
        <v>772.82870300000002</v>
      </c>
      <c r="B1218" s="1">
        <f>DATE(2012,6,11) + TIME(19,53,19)</f>
        <v>41071.828692129631</v>
      </c>
      <c r="C1218">
        <v>80</v>
      </c>
      <c r="D1218">
        <v>79.956542968999997</v>
      </c>
      <c r="E1218">
        <v>50</v>
      </c>
      <c r="F1218">
        <v>46.313930511000002</v>
      </c>
      <c r="G1218">
        <v>1393.4606934000001</v>
      </c>
      <c r="H1218">
        <v>1376.9078368999999</v>
      </c>
      <c r="I1218">
        <v>1278.0151367000001</v>
      </c>
      <c r="J1218">
        <v>1254.7269286999999</v>
      </c>
      <c r="K1218">
        <v>2875</v>
      </c>
      <c r="L1218">
        <v>0</v>
      </c>
      <c r="M1218">
        <v>0</v>
      </c>
      <c r="N1218">
        <v>2875</v>
      </c>
    </row>
    <row r="1219" spans="1:14" x14ac:dyDescent="0.25">
      <c r="A1219">
        <v>773.64337699999999</v>
      </c>
      <c r="B1219" s="1">
        <f>DATE(2012,6,12) + TIME(15,26,27)</f>
        <v>41072.643368055556</v>
      </c>
      <c r="C1219">
        <v>80</v>
      </c>
      <c r="D1219">
        <v>79.956550598000007</v>
      </c>
      <c r="E1219">
        <v>50</v>
      </c>
      <c r="F1219">
        <v>46.255199431999998</v>
      </c>
      <c r="G1219">
        <v>1393.3887939000001</v>
      </c>
      <c r="H1219">
        <v>1376.847168</v>
      </c>
      <c r="I1219">
        <v>1277.9754639</v>
      </c>
      <c r="J1219">
        <v>1254.6724853999999</v>
      </c>
      <c r="K1219">
        <v>2875</v>
      </c>
      <c r="L1219">
        <v>0</v>
      </c>
      <c r="M1219">
        <v>0</v>
      </c>
      <c r="N1219">
        <v>2875</v>
      </c>
    </row>
    <row r="1220" spans="1:14" x14ac:dyDescent="0.25">
      <c r="A1220">
        <v>774.47457799999995</v>
      </c>
      <c r="B1220" s="1">
        <f>DATE(2012,6,13) + TIME(11,23,23)</f>
        <v>41073.47457175926</v>
      </c>
      <c r="C1220">
        <v>80</v>
      </c>
      <c r="D1220">
        <v>79.956550598000007</v>
      </c>
      <c r="E1220">
        <v>50</v>
      </c>
      <c r="F1220">
        <v>46.195396422999998</v>
      </c>
      <c r="G1220">
        <v>1393.3166504000001</v>
      </c>
      <c r="H1220">
        <v>1376.7861327999999</v>
      </c>
      <c r="I1220">
        <v>1277.9345702999999</v>
      </c>
      <c r="J1220">
        <v>1254.6158447</v>
      </c>
      <c r="K1220">
        <v>2875</v>
      </c>
      <c r="L1220">
        <v>0</v>
      </c>
      <c r="M1220">
        <v>0</v>
      </c>
      <c r="N1220">
        <v>2875</v>
      </c>
    </row>
    <row r="1221" spans="1:14" x14ac:dyDescent="0.25">
      <c r="A1221">
        <v>775.31648099999995</v>
      </c>
      <c r="B1221" s="1">
        <f>DATE(2012,6,14) + TIME(7,35,43)</f>
        <v>41074.316469907404</v>
      </c>
      <c r="C1221">
        <v>80</v>
      </c>
      <c r="D1221">
        <v>79.956558228000006</v>
      </c>
      <c r="E1221">
        <v>50</v>
      </c>
      <c r="F1221">
        <v>46.134681702000002</v>
      </c>
      <c r="G1221">
        <v>1393.2441406</v>
      </c>
      <c r="H1221">
        <v>1376.7246094</v>
      </c>
      <c r="I1221">
        <v>1277.8922118999999</v>
      </c>
      <c r="J1221">
        <v>1254.5571289</v>
      </c>
      <c r="K1221">
        <v>2875</v>
      </c>
      <c r="L1221">
        <v>0</v>
      </c>
      <c r="M1221">
        <v>0</v>
      </c>
      <c r="N1221">
        <v>2875</v>
      </c>
    </row>
    <row r="1222" spans="1:14" x14ac:dyDescent="0.25">
      <c r="A1222">
        <v>776.16056900000001</v>
      </c>
      <c r="B1222" s="1">
        <f>DATE(2012,6,15) + TIME(3,51,13)</f>
        <v>41075.160567129627</v>
      </c>
      <c r="C1222">
        <v>80</v>
      </c>
      <c r="D1222">
        <v>79.956565857000001</v>
      </c>
      <c r="E1222">
        <v>50</v>
      </c>
      <c r="F1222">
        <v>46.073436737000002</v>
      </c>
      <c r="G1222">
        <v>1393.1716309000001</v>
      </c>
      <c r="H1222">
        <v>1376.6632079999999</v>
      </c>
      <c r="I1222">
        <v>1277.8486327999999</v>
      </c>
      <c r="J1222">
        <v>1254.496582</v>
      </c>
      <c r="K1222">
        <v>2875</v>
      </c>
      <c r="L1222">
        <v>0</v>
      </c>
      <c r="M1222">
        <v>0</v>
      </c>
      <c r="N1222">
        <v>2875</v>
      </c>
    </row>
    <row r="1223" spans="1:14" x14ac:dyDescent="0.25">
      <c r="A1223">
        <v>777.00911799999994</v>
      </c>
      <c r="B1223" s="1">
        <f>DATE(2012,6,16) + TIME(0,13,7)</f>
        <v>41076.009108796294</v>
      </c>
      <c r="C1223">
        <v>80</v>
      </c>
      <c r="D1223">
        <v>79.956565857000001</v>
      </c>
      <c r="E1223">
        <v>50</v>
      </c>
      <c r="F1223">
        <v>46.011798859000002</v>
      </c>
      <c r="G1223">
        <v>1393.0999756000001</v>
      </c>
      <c r="H1223">
        <v>1376.6024170000001</v>
      </c>
      <c r="I1223">
        <v>1277.8041992000001</v>
      </c>
      <c r="J1223">
        <v>1254.4345702999999</v>
      </c>
      <c r="K1223">
        <v>2875</v>
      </c>
      <c r="L1223">
        <v>0</v>
      </c>
      <c r="M1223">
        <v>0</v>
      </c>
      <c r="N1223">
        <v>2875</v>
      </c>
    </row>
    <row r="1224" spans="1:14" x14ac:dyDescent="0.25">
      <c r="A1224">
        <v>777.86439800000005</v>
      </c>
      <c r="B1224" s="1">
        <f>DATE(2012,6,16) + TIME(20,44,44)</f>
        <v>41076.864398148151</v>
      </c>
      <c r="C1224">
        <v>80</v>
      </c>
      <c r="D1224">
        <v>79.956573485999996</v>
      </c>
      <c r="E1224">
        <v>50</v>
      </c>
      <c r="F1224">
        <v>45.949745178000001</v>
      </c>
      <c r="G1224">
        <v>1393.0290527</v>
      </c>
      <c r="H1224">
        <v>1376.5421143000001</v>
      </c>
      <c r="I1224">
        <v>1277.7589111</v>
      </c>
      <c r="J1224">
        <v>1254.3710937999999</v>
      </c>
      <c r="K1224">
        <v>2875</v>
      </c>
      <c r="L1224">
        <v>0</v>
      </c>
      <c r="M1224">
        <v>0</v>
      </c>
      <c r="N1224">
        <v>2875</v>
      </c>
    </row>
    <row r="1225" spans="1:14" x14ac:dyDescent="0.25">
      <c r="A1225">
        <v>778.72870899999998</v>
      </c>
      <c r="B1225" s="1">
        <f>DATE(2012,6,17) + TIME(17,29,20)</f>
        <v>41077.728703703702</v>
      </c>
      <c r="C1225">
        <v>80</v>
      </c>
      <c r="D1225">
        <v>79.956581115999995</v>
      </c>
      <c r="E1225">
        <v>50</v>
      </c>
      <c r="F1225">
        <v>45.887153625000003</v>
      </c>
      <c r="G1225">
        <v>1392.958374</v>
      </c>
      <c r="H1225">
        <v>1376.4821777</v>
      </c>
      <c r="I1225">
        <v>1277.7125243999999</v>
      </c>
      <c r="J1225">
        <v>1254.3059082</v>
      </c>
      <c r="K1225">
        <v>2875</v>
      </c>
      <c r="L1225">
        <v>0</v>
      </c>
      <c r="M1225">
        <v>0</v>
      </c>
      <c r="N1225">
        <v>2875</v>
      </c>
    </row>
    <row r="1226" spans="1:14" x14ac:dyDescent="0.25">
      <c r="A1226">
        <v>779.60441600000001</v>
      </c>
      <c r="B1226" s="1">
        <f>DATE(2012,6,18) + TIME(14,30,21)</f>
        <v>41078.604409722226</v>
      </c>
      <c r="C1226">
        <v>80</v>
      </c>
      <c r="D1226">
        <v>79.956588745000005</v>
      </c>
      <c r="E1226">
        <v>50</v>
      </c>
      <c r="F1226">
        <v>45.823883057000003</v>
      </c>
      <c r="G1226">
        <v>1392.8880615</v>
      </c>
      <c r="H1226">
        <v>1376.4222411999999</v>
      </c>
      <c r="I1226">
        <v>1277.6649170000001</v>
      </c>
      <c r="J1226">
        <v>1254.2386475000001</v>
      </c>
      <c r="K1226">
        <v>2875</v>
      </c>
      <c r="L1226">
        <v>0</v>
      </c>
      <c r="M1226">
        <v>0</v>
      </c>
      <c r="N1226">
        <v>2875</v>
      </c>
    </row>
    <row r="1227" spans="1:14" x14ac:dyDescent="0.25">
      <c r="A1227">
        <v>780.49114399999996</v>
      </c>
      <c r="B1227" s="1">
        <f>DATE(2012,6,19) + TIME(11,47,14)</f>
        <v>41079.49113425926</v>
      </c>
      <c r="C1227">
        <v>80</v>
      </c>
      <c r="D1227">
        <v>79.956596375000004</v>
      </c>
      <c r="E1227">
        <v>50</v>
      </c>
      <c r="F1227">
        <v>45.759849547999998</v>
      </c>
      <c r="G1227">
        <v>1392.817749</v>
      </c>
      <c r="H1227">
        <v>1376.3624268000001</v>
      </c>
      <c r="I1227">
        <v>1277.6158447</v>
      </c>
      <c r="J1227">
        <v>1254.1693115</v>
      </c>
      <c r="K1227">
        <v>2875</v>
      </c>
      <c r="L1227">
        <v>0</v>
      </c>
      <c r="M1227">
        <v>0</v>
      </c>
      <c r="N1227">
        <v>2875</v>
      </c>
    </row>
    <row r="1228" spans="1:14" x14ac:dyDescent="0.25">
      <c r="A1228">
        <v>781.38887199999999</v>
      </c>
      <c r="B1228" s="1">
        <f>DATE(2012,6,20) + TIME(9,19,58)</f>
        <v>41080.388865740744</v>
      </c>
      <c r="C1228">
        <v>80</v>
      </c>
      <c r="D1228">
        <v>79.956604003999999</v>
      </c>
      <c r="E1228">
        <v>50</v>
      </c>
      <c r="F1228">
        <v>45.695007324000002</v>
      </c>
      <c r="G1228">
        <v>1392.7474365</v>
      </c>
      <c r="H1228">
        <v>1376.3024902</v>
      </c>
      <c r="I1228">
        <v>1277.5654297000001</v>
      </c>
      <c r="J1228">
        <v>1254.0977783000001</v>
      </c>
      <c r="K1228">
        <v>2875</v>
      </c>
      <c r="L1228">
        <v>0</v>
      </c>
      <c r="M1228">
        <v>0</v>
      </c>
      <c r="N1228">
        <v>2875</v>
      </c>
    </row>
    <row r="1229" spans="1:14" x14ac:dyDescent="0.25">
      <c r="A1229">
        <v>782.3</v>
      </c>
      <c r="B1229" s="1">
        <f>DATE(2012,6,21) + TIME(7,11,59)</f>
        <v>41081.299988425926</v>
      </c>
      <c r="C1229">
        <v>80</v>
      </c>
      <c r="D1229">
        <v>79.956611632999994</v>
      </c>
      <c r="E1229">
        <v>50</v>
      </c>
      <c r="F1229">
        <v>45.629253386999999</v>
      </c>
      <c r="G1229">
        <v>1392.6772461</v>
      </c>
      <c r="H1229">
        <v>1376.2425536999999</v>
      </c>
      <c r="I1229">
        <v>1277.5136719</v>
      </c>
      <c r="J1229">
        <v>1254.0239257999999</v>
      </c>
      <c r="K1229">
        <v>2875</v>
      </c>
      <c r="L1229">
        <v>0</v>
      </c>
      <c r="M1229">
        <v>0</v>
      </c>
      <c r="N1229">
        <v>2875</v>
      </c>
    </row>
    <row r="1230" spans="1:14" x14ac:dyDescent="0.25">
      <c r="A1230">
        <v>783.22704099999999</v>
      </c>
      <c r="B1230" s="1">
        <f>DATE(2012,6,22) + TIME(5,26,56)</f>
        <v>41082.227037037039</v>
      </c>
      <c r="C1230">
        <v>80</v>
      </c>
      <c r="D1230">
        <v>79.956619262999993</v>
      </c>
      <c r="E1230">
        <v>50</v>
      </c>
      <c r="F1230">
        <v>45.562427520999996</v>
      </c>
      <c r="G1230">
        <v>1392.6069336</v>
      </c>
      <c r="H1230">
        <v>1376.1826172000001</v>
      </c>
      <c r="I1230">
        <v>1277.4602050999999</v>
      </c>
      <c r="J1230">
        <v>1253.9476318</v>
      </c>
      <c r="K1230">
        <v>2875</v>
      </c>
      <c r="L1230">
        <v>0</v>
      </c>
      <c r="M1230">
        <v>0</v>
      </c>
      <c r="N1230">
        <v>2875</v>
      </c>
    </row>
    <row r="1231" spans="1:14" x14ac:dyDescent="0.25">
      <c r="A1231">
        <v>784.17268799999999</v>
      </c>
      <c r="B1231" s="1">
        <f>DATE(2012,6,23) + TIME(4,8,40)</f>
        <v>41083.172685185185</v>
      </c>
      <c r="C1231">
        <v>80</v>
      </c>
      <c r="D1231">
        <v>79.956634520999998</v>
      </c>
      <c r="E1231">
        <v>50</v>
      </c>
      <c r="F1231">
        <v>45.494342803999999</v>
      </c>
      <c r="G1231">
        <v>1392.5363769999999</v>
      </c>
      <c r="H1231">
        <v>1376.1221923999999</v>
      </c>
      <c r="I1231">
        <v>1277.4050293</v>
      </c>
      <c r="J1231">
        <v>1253.8682861</v>
      </c>
      <c r="K1231">
        <v>2875</v>
      </c>
      <c r="L1231">
        <v>0</v>
      </c>
      <c r="M1231">
        <v>0</v>
      </c>
      <c r="N1231">
        <v>2875</v>
      </c>
    </row>
    <row r="1232" spans="1:14" x14ac:dyDescent="0.25">
      <c r="A1232">
        <v>785.13984800000003</v>
      </c>
      <c r="B1232" s="1">
        <f>DATE(2012,6,24) + TIME(3,21,22)</f>
        <v>41084.139837962961</v>
      </c>
      <c r="C1232">
        <v>80</v>
      </c>
      <c r="D1232">
        <v>79.956642150999997</v>
      </c>
      <c r="E1232">
        <v>50</v>
      </c>
      <c r="F1232">
        <v>45.424789429</v>
      </c>
      <c r="G1232">
        <v>1392.465332</v>
      </c>
      <c r="H1232">
        <v>1376.0614014</v>
      </c>
      <c r="I1232">
        <v>1277.3477783000001</v>
      </c>
      <c r="J1232">
        <v>1253.7858887</v>
      </c>
      <c r="K1232">
        <v>2875</v>
      </c>
      <c r="L1232">
        <v>0</v>
      </c>
      <c r="M1232">
        <v>0</v>
      </c>
      <c r="N1232">
        <v>2875</v>
      </c>
    </row>
    <row r="1233" spans="1:14" x14ac:dyDescent="0.25">
      <c r="A1233">
        <v>786.11887000000002</v>
      </c>
      <c r="B1233" s="1">
        <f>DATE(2012,6,25) + TIME(2,51,10)</f>
        <v>41085.11886574074</v>
      </c>
      <c r="C1233">
        <v>80</v>
      </c>
      <c r="D1233">
        <v>79.956657410000005</v>
      </c>
      <c r="E1233">
        <v>50</v>
      </c>
      <c r="F1233">
        <v>45.353923797999997</v>
      </c>
      <c r="G1233">
        <v>1392.3936768000001</v>
      </c>
      <c r="H1233">
        <v>1376</v>
      </c>
      <c r="I1233">
        <v>1277.2882079999999</v>
      </c>
      <c r="J1233">
        <v>1253.7000731999999</v>
      </c>
      <c r="K1233">
        <v>2875</v>
      </c>
      <c r="L1233">
        <v>0</v>
      </c>
      <c r="M1233">
        <v>0</v>
      </c>
      <c r="N1233">
        <v>2875</v>
      </c>
    </row>
    <row r="1234" spans="1:14" x14ac:dyDescent="0.25">
      <c r="A1234">
        <v>787.10265700000002</v>
      </c>
      <c r="B1234" s="1">
        <f>DATE(2012,6,26) + TIME(2,27,49)</f>
        <v>41086.102650462963</v>
      </c>
      <c r="C1234">
        <v>80</v>
      </c>
      <c r="D1234">
        <v>79.956665039000001</v>
      </c>
      <c r="E1234">
        <v>50</v>
      </c>
      <c r="F1234">
        <v>45.282135009999998</v>
      </c>
      <c r="G1234">
        <v>1392.3220214999999</v>
      </c>
      <c r="H1234">
        <v>1375.9385986</v>
      </c>
      <c r="I1234">
        <v>1277.2270507999999</v>
      </c>
      <c r="J1234">
        <v>1253.6114502</v>
      </c>
      <c r="K1234">
        <v>2875</v>
      </c>
      <c r="L1234">
        <v>0</v>
      </c>
      <c r="M1234">
        <v>0</v>
      </c>
      <c r="N1234">
        <v>2875</v>
      </c>
    </row>
    <row r="1235" spans="1:14" x14ac:dyDescent="0.25">
      <c r="A1235">
        <v>788.09071900000004</v>
      </c>
      <c r="B1235" s="1">
        <f>DATE(2012,6,27) + TIME(2,10,38)</f>
        <v>41087.090717592589</v>
      </c>
      <c r="C1235">
        <v>80</v>
      </c>
      <c r="D1235">
        <v>79.956680297999995</v>
      </c>
      <c r="E1235">
        <v>50</v>
      </c>
      <c r="F1235">
        <v>45.209655761999997</v>
      </c>
      <c r="G1235">
        <v>1392.2509766000001</v>
      </c>
      <c r="H1235">
        <v>1375.8775635</v>
      </c>
      <c r="I1235">
        <v>1277.1644286999999</v>
      </c>
      <c r="J1235">
        <v>1253.5206298999999</v>
      </c>
      <c r="K1235">
        <v>2875</v>
      </c>
      <c r="L1235">
        <v>0</v>
      </c>
      <c r="M1235">
        <v>0</v>
      </c>
      <c r="N1235">
        <v>2875</v>
      </c>
    </row>
    <row r="1236" spans="1:14" x14ac:dyDescent="0.25">
      <c r="A1236">
        <v>789.08405300000004</v>
      </c>
      <c r="B1236" s="1">
        <f>DATE(2012,6,28) + TIME(2,1,2)</f>
        <v>41088.084050925929</v>
      </c>
      <c r="C1236">
        <v>80</v>
      </c>
      <c r="D1236">
        <v>79.956687927000004</v>
      </c>
      <c r="E1236">
        <v>50</v>
      </c>
      <c r="F1236">
        <v>45.136566162000001</v>
      </c>
      <c r="G1236">
        <v>1392.1805420000001</v>
      </c>
      <c r="H1236">
        <v>1375.8170166</v>
      </c>
      <c r="I1236">
        <v>1277.1007079999999</v>
      </c>
      <c r="J1236">
        <v>1253.4273682</v>
      </c>
      <c r="K1236">
        <v>2875</v>
      </c>
      <c r="L1236">
        <v>0</v>
      </c>
      <c r="M1236">
        <v>0</v>
      </c>
      <c r="N1236">
        <v>2875</v>
      </c>
    </row>
    <row r="1237" spans="1:14" x14ac:dyDescent="0.25">
      <c r="A1237">
        <v>790.08515299999999</v>
      </c>
      <c r="B1237" s="1">
        <f>DATE(2012,6,29) + TIME(2,2,37)</f>
        <v>41089.085150462961</v>
      </c>
      <c r="C1237">
        <v>80</v>
      </c>
      <c r="D1237">
        <v>79.956703185999999</v>
      </c>
      <c r="E1237">
        <v>50</v>
      </c>
      <c r="F1237">
        <v>45.062786101999997</v>
      </c>
      <c r="G1237">
        <v>1392.1105957</v>
      </c>
      <c r="H1237">
        <v>1375.7568358999999</v>
      </c>
      <c r="I1237">
        <v>1277.0354004000001</v>
      </c>
      <c r="J1237">
        <v>1253.3319091999999</v>
      </c>
      <c r="K1237">
        <v>2875</v>
      </c>
      <c r="L1237">
        <v>0</v>
      </c>
      <c r="M1237">
        <v>0</v>
      </c>
      <c r="N1237">
        <v>2875</v>
      </c>
    </row>
    <row r="1238" spans="1:14" x14ac:dyDescent="0.25">
      <c r="A1238">
        <v>791.096543</v>
      </c>
      <c r="B1238" s="1">
        <f>DATE(2012,6,30) + TIME(2,19,1)</f>
        <v>41090.096539351849</v>
      </c>
      <c r="C1238">
        <v>80</v>
      </c>
      <c r="D1238">
        <v>79.956718445000007</v>
      </c>
      <c r="E1238">
        <v>50</v>
      </c>
      <c r="F1238">
        <v>44.988178253000001</v>
      </c>
      <c r="G1238">
        <v>1392.0408935999999</v>
      </c>
      <c r="H1238">
        <v>1375.6968993999999</v>
      </c>
      <c r="I1238">
        <v>1276.96875</v>
      </c>
      <c r="J1238">
        <v>1253.2337646000001</v>
      </c>
      <c r="K1238">
        <v>2875</v>
      </c>
      <c r="L1238">
        <v>0</v>
      </c>
      <c r="M1238">
        <v>0</v>
      </c>
      <c r="N1238">
        <v>2875</v>
      </c>
    </row>
    <row r="1239" spans="1:14" x14ac:dyDescent="0.25">
      <c r="A1239">
        <v>792</v>
      </c>
      <c r="B1239" s="1">
        <f>DATE(2012,7,1) + TIME(0,0,0)</f>
        <v>41091</v>
      </c>
      <c r="C1239">
        <v>80</v>
      </c>
      <c r="D1239">
        <v>79.956726074000002</v>
      </c>
      <c r="E1239">
        <v>50</v>
      </c>
      <c r="F1239">
        <v>44.916568755999997</v>
      </c>
      <c r="G1239">
        <v>1391.9714355000001</v>
      </c>
      <c r="H1239">
        <v>1375.6370850000001</v>
      </c>
      <c r="I1239">
        <v>1276.9002685999999</v>
      </c>
      <c r="J1239">
        <v>1253.1341553</v>
      </c>
      <c r="K1239">
        <v>2875</v>
      </c>
      <c r="L1239">
        <v>0</v>
      </c>
      <c r="M1239">
        <v>0</v>
      </c>
      <c r="N1239">
        <v>2875</v>
      </c>
    </row>
    <row r="1240" spans="1:14" x14ac:dyDescent="0.25">
      <c r="A1240">
        <v>793.02428599999996</v>
      </c>
      <c r="B1240" s="1">
        <f>DATE(2012,7,2) + TIME(0,34,58)</f>
        <v>41092.024282407408</v>
      </c>
      <c r="C1240">
        <v>80</v>
      </c>
      <c r="D1240">
        <v>79.956741332999997</v>
      </c>
      <c r="E1240">
        <v>50</v>
      </c>
      <c r="F1240">
        <v>44.843128204000003</v>
      </c>
      <c r="G1240">
        <v>1391.9101562000001</v>
      </c>
      <c r="H1240">
        <v>1375.5841064000001</v>
      </c>
      <c r="I1240">
        <v>1276.8380127</v>
      </c>
      <c r="J1240">
        <v>1253.0397949000001</v>
      </c>
      <c r="K1240">
        <v>2875</v>
      </c>
      <c r="L1240">
        <v>0</v>
      </c>
      <c r="M1240">
        <v>0</v>
      </c>
      <c r="N1240">
        <v>2875</v>
      </c>
    </row>
    <row r="1241" spans="1:14" x14ac:dyDescent="0.25">
      <c r="A1241">
        <v>794.08052999999995</v>
      </c>
      <c r="B1241" s="1">
        <f>DATE(2012,7,3) + TIME(1,55,57)</f>
        <v>41093.080520833333</v>
      </c>
      <c r="C1241">
        <v>80</v>
      </c>
      <c r="D1241">
        <v>79.956756592000005</v>
      </c>
      <c r="E1241">
        <v>50</v>
      </c>
      <c r="F1241">
        <v>44.766563415999997</v>
      </c>
      <c r="G1241">
        <v>1391.8414307</v>
      </c>
      <c r="H1241">
        <v>1375.5247803</v>
      </c>
      <c r="I1241">
        <v>1276.7668457</v>
      </c>
      <c r="J1241">
        <v>1252.9342041</v>
      </c>
      <c r="K1241">
        <v>2875</v>
      </c>
      <c r="L1241">
        <v>0</v>
      </c>
      <c r="M1241">
        <v>0</v>
      </c>
      <c r="N1241">
        <v>2875</v>
      </c>
    </row>
    <row r="1242" spans="1:14" x14ac:dyDescent="0.25">
      <c r="A1242">
        <v>795.15778999999998</v>
      </c>
      <c r="B1242" s="1">
        <f>DATE(2012,7,4) + TIME(3,47,13)</f>
        <v>41094.157789351855</v>
      </c>
      <c r="C1242">
        <v>80</v>
      </c>
      <c r="D1242">
        <v>79.956779479999994</v>
      </c>
      <c r="E1242">
        <v>50</v>
      </c>
      <c r="F1242">
        <v>44.687435149999999</v>
      </c>
      <c r="G1242">
        <v>1391.7714844</v>
      </c>
      <c r="H1242">
        <v>1375.4642334</v>
      </c>
      <c r="I1242">
        <v>1276.6922606999999</v>
      </c>
      <c r="J1242">
        <v>1252.8233643000001</v>
      </c>
      <c r="K1242">
        <v>2875</v>
      </c>
      <c r="L1242">
        <v>0</v>
      </c>
      <c r="M1242">
        <v>0</v>
      </c>
      <c r="N1242">
        <v>2875</v>
      </c>
    </row>
    <row r="1243" spans="1:14" x14ac:dyDescent="0.25">
      <c r="A1243">
        <v>796.25968899999998</v>
      </c>
      <c r="B1243" s="1">
        <f>DATE(2012,7,5) + TIME(6,13,57)</f>
        <v>41095.259687500002</v>
      </c>
      <c r="C1243">
        <v>80</v>
      </c>
      <c r="D1243">
        <v>79.956794739000003</v>
      </c>
      <c r="E1243">
        <v>50</v>
      </c>
      <c r="F1243">
        <v>44.606018065999997</v>
      </c>
      <c r="G1243">
        <v>1391.7009277</v>
      </c>
      <c r="H1243">
        <v>1375.4031981999999</v>
      </c>
      <c r="I1243">
        <v>1276.6151123</v>
      </c>
      <c r="J1243">
        <v>1252.7078856999999</v>
      </c>
      <c r="K1243">
        <v>2875</v>
      </c>
      <c r="L1243">
        <v>0</v>
      </c>
      <c r="M1243">
        <v>0</v>
      </c>
      <c r="N1243">
        <v>2875</v>
      </c>
    </row>
    <row r="1244" spans="1:14" x14ac:dyDescent="0.25">
      <c r="A1244">
        <v>797.37747300000001</v>
      </c>
      <c r="B1244" s="1">
        <f>DATE(2012,7,6) + TIME(9,3,33)</f>
        <v>41096.377465277779</v>
      </c>
      <c r="C1244">
        <v>80</v>
      </c>
      <c r="D1244">
        <v>79.956809997999997</v>
      </c>
      <c r="E1244">
        <v>50</v>
      </c>
      <c r="F1244">
        <v>44.522609711000001</v>
      </c>
      <c r="G1244">
        <v>1391.6296387</v>
      </c>
      <c r="H1244">
        <v>1375.3414307</v>
      </c>
      <c r="I1244">
        <v>1276.5349120999999</v>
      </c>
      <c r="J1244">
        <v>1252.5876464999999</v>
      </c>
      <c r="K1244">
        <v>2875</v>
      </c>
      <c r="L1244">
        <v>0</v>
      </c>
      <c r="M1244">
        <v>0</v>
      </c>
      <c r="N1244">
        <v>2875</v>
      </c>
    </row>
    <row r="1245" spans="1:14" x14ac:dyDescent="0.25">
      <c r="A1245">
        <v>798.49659199999996</v>
      </c>
      <c r="B1245" s="1">
        <f>DATE(2012,7,7) + TIME(11,55,5)</f>
        <v>41097.49658564815</v>
      </c>
      <c r="C1245">
        <v>80</v>
      </c>
      <c r="D1245">
        <v>79.956832886000001</v>
      </c>
      <c r="E1245">
        <v>50</v>
      </c>
      <c r="F1245">
        <v>44.437892914000003</v>
      </c>
      <c r="G1245">
        <v>1391.5581055</v>
      </c>
      <c r="H1245">
        <v>1375.2795410000001</v>
      </c>
      <c r="I1245">
        <v>1276.4525146000001</v>
      </c>
      <c r="J1245">
        <v>1252.4636230000001</v>
      </c>
      <c r="K1245">
        <v>2875</v>
      </c>
      <c r="L1245">
        <v>0</v>
      </c>
      <c r="M1245">
        <v>0</v>
      </c>
      <c r="N1245">
        <v>2875</v>
      </c>
    </row>
    <row r="1246" spans="1:14" x14ac:dyDescent="0.25">
      <c r="A1246">
        <v>799.61983599999996</v>
      </c>
      <c r="B1246" s="1">
        <f>DATE(2012,7,8) + TIME(14,52,33)</f>
        <v>41098.619826388887</v>
      </c>
      <c r="C1246">
        <v>80</v>
      </c>
      <c r="D1246">
        <v>79.956848144999995</v>
      </c>
      <c r="E1246">
        <v>50</v>
      </c>
      <c r="F1246">
        <v>44.352279662999997</v>
      </c>
      <c r="G1246">
        <v>1391.4874268000001</v>
      </c>
      <c r="H1246">
        <v>1375.2181396000001</v>
      </c>
      <c r="I1246">
        <v>1276.3686522999999</v>
      </c>
      <c r="J1246">
        <v>1252.3367920000001</v>
      </c>
      <c r="K1246">
        <v>2875</v>
      </c>
      <c r="L1246">
        <v>0</v>
      </c>
      <c r="M1246">
        <v>0</v>
      </c>
      <c r="N1246">
        <v>2875</v>
      </c>
    </row>
    <row r="1247" spans="1:14" x14ac:dyDescent="0.25">
      <c r="A1247">
        <v>800.74979399999995</v>
      </c>
      <c r="B1247" s="1">
        <f>DATE(2012,7,9) + TIME(17,59,42)</f>
        <v>41099.749791666669</v>
      </c>
      <c r="C1247">
        <v>80</v>
      </c>
      <c r="D1247">
        <v>79.956863403</v>
      </c>
      <c r="E1247">
        <v>50</v>
      </c>
      <c r="F1247">
        <v>44.265811919999997</v>
      </c>
      <c r="G1247">
        <v>1391.4173584</v>
      </c>
      <c r="H1247">
        <v>1375.1572266000001</v>
      </c>
      <c r="I1247">
        <v>1276.2833252</v>
      </c>
      <c r="J1247">
        <v>1252.2071533000001</v>
      </c>
      <c r="K1247">
        <v>2875</v>
      </c>
      <c r="L1247">
        <v>0</v>
      </c>
      <c r="M1247">
        <v>0</v>
      </c>
      <c r="N1247">
        <v>2875</v>
      </c>
    </row>
    <row r="1248" spans="1:14" x14ac:dyDescent="0.25">
      <c r="A1248">
        <v>801.88931300000002</v>
      </c>
      <c r="B1248" s="1">
        <f>DATE(2012,7,10) + TIME(21,20,36)</f>
        <v>41100.889305555553</v>
      </c>
      <c r="C1248">
        <v>80</v>
      </c>
      <c r="D1248">
        <v>79.956886291999993</v>
      </c>
      <c r="E1248">
        <v>50</v>
      </c>
      <c r="F1248">
        <v>44.178367614999999</v>
      </c>
      <c r="G1248">
        <v>1391.3476562000001</v>
      </c>
      <c r="H1248">
        <v>1375.0965576000001</v>
      </c>
      <c r="I1248">
        <v>1276.1962891000001</v>
      </c>
      <c r="J1248">
        <v>1252.0744629000001</v>
      </c>
      <c r="K1248">
        <v>2875</v>
      </c>
      <c r="L1248">
        <v>0</v>
      </c>
      <c r="M1248">
        <v>0</v>
      </c>
      <c r="N1248">
        <v>2875</v>
      </c>
    </row>
    <row r="1249" spans="1:14" x14ac:dyDescent="0.25">
      <c r="A1249">
        <v>803.04132100000004</v>
      </c>
      <c r="B1249" s="1">
        <f>DATE(2012,7,12) + TIME(0,59,30)</f>
        <v>41102.041319444441</v>
      </c>
      <c r="C1249">
        <v>80</v>
      </c>
      <c r="D1249">
        <v>79.956909179999997</v>
      </c>
      <c r="E1249">
        <v>50</v>
      </c>
      <c r="F1249">
        <v>44.089767455999997</v>
      </c>
      <c r="G1249">
        <v>1391.2781981999999</v>
      </c>
      <c r="H1249">
        <v>1375.0360106999999</v>
      </c>
      <c r="I1249">
        <v>1276.1072998</v>
      </c>
      <c r="J1249">
        <v>1251.9384766000001</v>
      </c>
      <c r="K1249">
        <v>2875</v>
      </c>
      <c r="L1249">
        <v>0</v>
      </c>
      <c r="M1249">
        <v>0</v>
      </c>
      <c r="N1249">
        <v>2875</v>
      </c>
    </row>
    <row r="1250" spans="1:14" x14ac:dyDescent="0.25">
      <c r="A1250">
        <v>804.20883400000002</v>
      </c>
      <c r="B1250" s="1">
        <f>DATE(2012,7,13) + TIME(5,0,43)</f>
        <v>41103.208831018521</v>
      </c>
      <c r="C1250">
        <v>80</v>
      </c>
      <c r="D1250">
        <v>79.956924438000001</v>
      </c>
      <c r="E1250">
        <v>50</v>
      </c>
      <c r="F1250">
        <v>43.999790191999999</v>
      </c>
      <c r="G1250">
        <v>1391.2087402</v>
      </c>
      <c r="H1250">
        <v>1374.9754639</v>
      </c>
      <c r="I1250">
        <v>1276.0163574000001</v>
      </c>
      <c r="J1250">
        <v>1251.7985839999999</v>
      </c>
      <c r="K1250">
        <v>2875</v>
      </c>
      <c r="L1250">
        <v>0</v>
      </c>
      <c r="M1250">
        <v>0</v>
      </c>
      <c r="N1250">
        <v>2875</v>
      </c>
    </row>
    <row r="1251" spans="1:14" x14ac:dyDescent="0.25">
      <c r="A1251">
        <v>805.39504599999998</v>
      </c>
      <c r="B1251" s="1">
        <f>DATE(2012,7,14) + TIME(9,28,52)</f>
        <v>41104.395046296297</v>
      </c>
      <c r="C1251">
        <v>80</v>
      </c>
      <c r="D1251">
        <v>79.956947326999995</v>
      </c>
      <c r="E1251">
        <v>50</v>
      </c>
      <c r="F1251">
        <v>43.908195495999998</v>
      </c>
      <c r="G1251">
        <v>1391.1391602000001</v>
      </c>
      <c r="H1251">
        <v>1374.9146728999999</v>
      </c>
      <c r="I1251">
        <v>1275.9229736</v>
      </c>
      <c r="J1251">
        <v>1251.6546631000001</v>
      </c>
      <c r="K1251">
        <v>2875</v>
      </c>
      <c r="L1251">
        <v>0</v>
      </c>
      <c r="M1251">
        <v>0</v>
      </c>
      <c r="N1251">
        <v>2875</v>
      </c>
    </row>
    <row r="1252" spans="1:14" x14ac:dyDescent="0.25">
      <c r="A1252">
        <v>806.60336600000005</v>
      </c>
      <c r="B1252" s="1">
        <f>DATE(2012,7,15) + TIME(14,28,50)</f>
        <v>41105.603356481479</v>
      </c>
      <c r="C1252">
        <v>80</v>
      </c>
      <c r="D1252">
        <v>79.956970214999998</v>
      </c>
      <c r="E1252">
        <v>50</v>
      </c>
      <c r="F1252">
        <v>43.814727783000002</v>
      </c>
      <c r="G1252">
        <v>1391.0692139</v>
      </c>
      <c r="H1252">
        <v>1374.8535156</v>
      </c>
      <c r="I1252">
        <v>1275.8270264</v>
      </c>
      <c r="J1252">
        <v>1251.5061035000001</v>
      </c>
      <c r="K1252">
        <v>2875</v>
      </c>
      <c r="L1252">
        <v>0</v>
      </c>
      <c r="M1252">
        <v>0</v>
      </c>
      <c r="N1252">
        <v>2875</v>
      </c>
    </row>
    <row r="1253" spans="1:14" x14ac:dyDescent="0.25">
      <c r="A1253">
        <v>807.83277999999996</v>
      </c>
      <c r="B1253" s="1">
        <f>DATE(2012,7,16) + TIME(19,59,12)</f>
        <v>41106.832777777781</v>
      </c>
      <c r="C1253">
        <v>80</v>
      </c>
      <c r="D1253">
        <v>79.956993103000002</v>
      </c>
      <c r="E1253">
        <v>50</v>
      </c>
      <c r="F1253">
        <v>43.719253539999997</v>
      </c>
      <c r="G1253">
        <v>1390.9987793</v>
      </c>
      <c r="H1253">
        <v>1374.7918701000001</v>
      </c>
      <c r="I1253">
        <v>1275.7281493999999</v>
      </c>
      <c r="J1253">
        <v>1251.3525391000001</v>
      </c>
      <c r="K1253">
        <v>2875</v>
      </c>
      <c r="L1253">
        <v>0</v>
      </c>
      <c r="M1253">
        <v>0</v>
      </c>
      <c r="N1253">
        <v>2875</v>
      </c>
    </row>
    <row r="1254" spans="1:14" x14ac:dyDescent="0.25">
      <c r="A1254">
        <v>809.08139500000004</v>
      </c>
      <c r="B1254" s="1">
        <f>DATE(2012,7,18) + TIME(1,57,12)</f>
        <v>41108.081388888888</v>
      </c>
      <c r="C1254">
        <v>80</v>
      </c>
      <c r="D1254">
        <v>79.957015991000006</v>
      </c>
      <c r="E1254">
        <v>50</v>
      </c>
      <c r="F1254">
        <v>43.621780395999998</v>
      </c>
      <c r="G1254">
        <v>1390.9278564000001</v>
      </c>
      <c r="H1254">
        <v>1374.7298584</v>
      </c>
      <c r="I1254">
        <v>1275.6264647999999</v>
      </c>
      <c r="J1254">
        <v>1251.1939697</v>
      </c>
      <c r="K1254">
        <v>2875</v>
      </c>
      <c r="L1254">
        <v>0</v>
      </c>
      <c r="M1254">
        <v>0</v>
      </c>
      <c r="N1254">
        <v>2875</v>
      </c>
    </row>
    <row r="1255" spans="1:14" x14ac:dyDescent="0.25">
      <c r="A1255">
        <v>810.34605899999997</v>
      </c>
      <c r="B1255" s="1">
        <f>DATE(2012,7,19) + TIME(8,18,19)</f>
        <v>41109.346053240741</v>
      </c>
      <c r="C1255">
        <v>80</v>
      </c>
      <c r="D1255">
        <v>79.957038878999995</v>
      </c>
      <c r="E1255">
        <v>50</v>
      </c>
      <c r="F1255">
        <v>43.522457123000002</v>
      </c>
      <c r="G1255">
        <v>1390.8566894999999</v>
      </c>
      <c r="H1255">
        <v>1374.6673584</v>
      </c>
      <c r="I1255">
        <v>1275.5219727000001</v>
      </c>
      <c r="J1255">
        <v>1251.0306396000001</v>
      </c>
      <c r="K1255">
        <v>2875</v>
      </c>
      <c r="L1255">
        <v>0</v>
      </c>
      <c r="M1255">
        <v>0</v>
      </c>
      <c r="N1255">
        <v>2875</v>
      </c>
    </row>
    <row r="1256" spans="1:14" x14ac:dyDescent="0.25">
      <c r="A1256">
        <v>811.61464999999998</v>
      </c>
      <c r="B1256" s="1">
        <f>DATE(2012,7,20) + TIME(14,45,5)</f>
        <v>41110.614641203705</v>
      </c>
      <c r="C1256">
        <v>80</v>
      </c>
      <c r="D1256">
        <v>79.957061768000003</v>
      </c>
      <c r="E1256">
        <v>50</v>
      </c>
      <c r="F1256">
        <v>43.421756744</v>
      </c>
      <c r="G1256">
        <v>1390.7854004000001</v>
      </c>
      <c r="H1256">
        <v>1374.6047363</v>
      </c>
      <c r="I1256">
        <v>1275.4151611</v>
      </c>
      <c r="J1256">
        <v>1250.8629149999999</v>
      </c>
      <c r="K1256">
        <v>2875</v>
      </c>
      <c r="L1256">
        <v>0</v>
      </c>
      <c r="M1256">
        <v>0</v>
      </c>
      <c r="N1256">
        <v>2875</v>
      </c>
    </row>
    <row r="1257" spans="1:14" x14ac:dyDescent="0.25">
      <c r="A1257">
        <v>812.88995399999999</v>
      </c>
      <c r="B1257" s="1">
        <f>DATE(2012,7,21) + TIME(21,21,32)</f>
        <v>41111.889953703707</v>
      </c>
      <c r="C1257">
        <v>80</v>
      </c>
      <c r="D1257">
        <v>79.957092285000002</v>
      </c>
      <c r="E1257">
        <v>50</v>
      </c>
      <c r="F1257">
        <v>43.320060730000002</v>
      </c>
      <c r="G1257">
        <v>1390.7145995999999</v>
      </c>
      <c r="H1257">
        <v>1374.5424805</v>
      </c>
      <c r="I1257">
        <v>1275.3068848</v>
      </c>
      <c r="J1257">
        <v>1250.6921387</v>
      </c>
      <c r="K1257">
        <v>2875</v>
      </c>
      <c r="L1257">
        <v>0</v>
      </c>
      <c r="M1257">
        <v>0</v>
      </c>
      <c r="N1257">
        <v>2875</v>
      </c>
    </row>
    <row r="1258" spans="1:14" x14ac:dyDescent="0.25">
      <c r="A1258">
        <v>814.17512999999997</v>
      </c>
      <c r="B1258" s="1">
        <f>DATE(2012,7,23) + TIME(4,12,11)</f>
        <v>41113.175127314818</v>
      </c>
      <c r="C1258">
        <v>80</v>
      </c>
      <c r="D1258">
        <v>79.957115173000005</v>
      </c>
      <c r="E1258">
        <v>50</v>
      </c>
      <c r="F1258">
        <v>43.217372894</v>
      </c>
      <c r="G1258">
        <v>1390.6441649999999</v>
      </c>
      <c r="H1258">
        <v>1374.4805908000001</v>
      </c>
      <c r="I1258">
        <v>1275.1971435999999</v>
      </c>
      <c r="J1258">
        <v>1250.5181885</v>
      </c>
      <c r="K1258">
        <v>2875</v>
      </c>
      <c r="L1258">
        <v>0</v>
      </c>
      <c r="M1258">
        <v>0</v>
      </c>
      <c r="N1258">
        <v>2875</v>
      </c>
    </row>
    <row r="1259" spans="1:14" x14ac:dyDescent="0.25">
      <c r="A1259">
        <v>815.47347600000001</v>
      </c>
      <c r="B1259" s="1">
        <f>DATE(2012,7,24) + TIME(11,21,48)</f>
        <v>41114.47347222222</v>
      </c>
      <c r="C1259">
        <v>80</v>
      </c>
      <c r="D1259">
        <v>79.957138061999999</v>
      </c>
      <c r="E1259">
        <v>50</v>
      </c>
      <c r="F1259">
        <v>43.113563538000001</v>
      </c>
      <c r="G1259">
        <v>1390.5739745999999</v>
      </c>
      <c r="H1259">
        <v>1374.4187012</v>
      </c>
      <c r="I1259">
        <v>1275.0855713000001</v>
      </c>
      <c r="J1259">
        <v>1250.3406981999999</v>
      </c>
      <c r="K1259">
        <v>2875</v>
      </c>
      <c r="L1259">
        <v>0</v>
      </c>
      <c r="M1259">
        <v>0</v>
      </c>
      <c r="N1259">
        <v>2875</v>
      </c>
    </row>
    <row r="1260" spans="1:14" x14ac:dyDescent="0.25">
      <c r="A1260">
        <v>816.78843700000004</v>
      </c>
      <c r="B1260" s="1">
        <f>DATE(2012,7,25) + TIME(18,55,20)</f>
        <v>41115.788425925923</v>
      </c>
      <c r="C1260">
        <v>80</v>
      </c>
      <c r="D1260">
        <v>79.957168578999998</v>
      </c>
      <c r="E1260">
        <v>50</v>
      </c>
      <c r="F1260">
        <v>43.008445739999999</v>
      </c>
      <c r="G1260">
        <v>1390.5037841999999</v>
      </c>
      <c r="H1260">
        <v>1374.3568115</v>
      </c>
      <c r="I1260">
        <v>1274.9719238</v>
      </c>
      <c r="J1260">
        <v>1250.1593018000001</v>
      </c>
      <c r="K1260">
        <v>2875</v>
      </c>
      <c r="L1260">
        <v>0</v>
      </c>
      <c r="M1260">
        <v>0</v>
      </c>
      <c r="N1260">
        <v>2875</v>
      </c>
    </row>
    <row r="1261" spans="1:14" x14ac:dyDescent="0.25">
      <c r="A1261">
        <v>818.12359600000002</v>
      </c>
      <c r="B1261" s="1">
        <f>DATE(2012,7,27) + TIME(2,57,58)</f>
        <v>41117.12358796296</v>
      </c>
      <c r="C1261">
        <v>80</v>
      </c>
      <c r="D1261">
        <v>79.957191467000001</v>
      </c>
      <c r="E1261">
        <v>50</v>
      </c>
      <c r="F1261">
        <v>42.901802062999998</v>
      </c>
      <c r="G1261">
        <v>1390.4333495999999</v>
      </c>
      <c r="H1261">
        <v>1374.2945557</v>
      </c>
      <c r="I1261">
        <v>1274.8560791</v>
      </c>
      <c r="J1261">
        <v>1249.9735106999999</v>
      </c>
      <c r="K1261">
        <v>2875</v>
      </c>
      <c r="L1261">
        <v>0</v>
      </c>
      <c r="M1261">
        <v>0</v>
      </c>
      <c r="N1261">
        <v>2875</v>
      </c>
    </row>
    <row r="1262" spans="1:14" x14ac:dyDescent="0.25">
      <c r="A1262">
        <v>819.47525900000005</v>
      </c>
      <c r="B1262" s="1">
        <f>DATE(2012,7,28) + TIME(11,24,22)</f>
        <v>41118.475254629629</v>
      </c>
      <c r="C1262">
        <v>80</v>
      </c>
      <c r="D1262">
        <v>79.957221985000004</v>
      </c>
      <c r="E1262">
        <v>50</v>
      </c>
      <c r="F1262">
        <v>42.793624878000003</v>
      </c>
      <c r="G1262">
        <v>1390.3626709</v>
      </c>
      <c r="H1262">
        <v>1374.2320557</v>
      </c>
      <c r="I1262">
        <v>1274.7379149999999</v>
      </c>
      <c r="J1262">
        <v>1249.7832031</v>
      </c>
      <c r="K1262">
        <v>2875</v>
      </c>
      <c r="L1262">
        <v>0</v>
      </c>
      <c r="M1262">
        <v>0</v>
      </c>
      <c r="N1262">
        <v>2875</v>
      </c>
    </row>
    <row r="1263" spans="1:14" x14ac:dyDescent="0.25">
      <c r="A1263">
        <v>820.844427</v>
      </c>
      <c r="B1263" s="1">
        <f>DATE(2012,7,29) + TIME(20,15,58)</f>
        <v>41119.844421296293</v>
      </c>
      <c r="C1263">
        <v>80</v>
      </c>
      <c r="D1263">
        <v>79.957252502000003</v>
      </c>
      <c r="E1263">
        <v>50</v>
      </c>
      <c r="F1263">
        <v>42.684017181000002</v>
      </c>
      <c r="G1263">
        <v>1390.2917480000001</v>
      </c>
      <c r="H1263">
        <v>1374.1691894999999</v>
      </c>
      <c r="I1263">
        <v>1274.6174315999999</v>
      </c>
      <c r="J1263">
        <v>1249.588501</v>
      </c>
      <c r="K1263">
        <v>2875</v>
      </c>
      <c r="L1263">
        <v>0</v>
      </c>
      <c r="M1263">
        <v>0</v>
      </c>
      <c r="N1263">
        <v>2875</v>
      </c>
    </row>
    <row r="1264" spans="1:14" x14ac:dyDescent="0.25">
      <c r="A1264">
        <v>822.23471800000004</v>
      </c>
      <c r="B1264" s="1">
        <f>DATE(2012,7,31) + TIME(5,37,59)</f>
        <v>41121.234710648147</v>
      </c>
      <c r="C1264">
        <v>80</v>
      </c>
      <c r="D1264">
        <v>79.957283020000006</v>
      </c>
      <c r="E1264">
        <v>50</v>
      </c>
      <c r="F1264">
        <v>42.572963715</v>
      </c>
      <c r="G1264">
        <v>1390.2205810999999</v>
      </c>
      <c r="H1264">
        <v>1374.1062012</v>
      </c>
      <c r="I1264">
        <v>1274.4948730000001</v>
      </c>
      <c r="J1264">
        <v>1249.3896483999999</v>
      </c>
      <c r="K1264">
        <v>2875</v>
      </c>
      <c r="L1264">
        <v>0</v>
      </c>
      <c r="M1264">
        <v>0</v>
      </c>
      <c r="N1264">
        <v>2875</v>
      </c>
    </row>
    <row r="1265" spans="1:14" x14ac:dyDescent="0.25">
      <c r="A1265">
        <v>823</v>
      </c>
      <c r="B1265" s="1">
        <f>DATE(2012,8,1) + TIME(0,0,0)</f>
        <v>41122</v>
      </c>
      <c r="C1265">
        <v>80</v>
      </c>
      <c r="D1265">
        <v>79.957290649000001</v>
      </c>
      <c r="E1265">
        <v>50</v>
      </c>
      <c r="F1265">
        <v>42.485599518000001</v>
      </c>
      <c r="G1265">
        <v>1390.1489257999999</v>
      </c>
      <c r="H1265">
        <v>1374.0426024999999</v>
      </c>
      <c r="I1265">
        <v>1274.3728027</v>
      </c>
      <c r="J1265">
        <v>1249.2019043</v>
      </c>
      <c r="K1265">
        <v>2875</v>
      </c>
      <c r="L1265">
        <v>0</v>
      </c>
      <c r="M1265">
        <v>0</v>
      </c>
      <c r="N1265">
        <v>2875</v>
      </c>
    </row>
    <row r="1266" spans="1:14" x14ac:dyDescent="0.25">
      <c r="A1266">
        <v>824.40471100000002</v>
      </c>
      <c r="B1266" s="1">
        <f>DATE(2012,8,2) + TIME(9,42,47)</f>
        <v>41123.404710648145</v>
      </c>
      <c r="C1266">
        <v>80</v>
      </c>
      <c r="D1266">
        <v>79.957321167000003</v>
      </c>
      <c r="E1266">
        <v>50</v>
      </c>
      <c r="F1266">
        <v>42.390110016000001</v>
      </c>
      <c r="G1266">
        <v>1390.1097411999999</v>
      </c>
      <c r="H1266">
        <v>1374.0076904</v>
      </c>
      <c r="I1266">
        <v>1274.2982178</v>
      </c>
      <c r="J1266">
        <v>1249.0644531</v>
      </c>
      <c r="K1266">
        <v>2875</v>
      </c>
      <c r="L1266">
        <v>0</v>
      </c>
      <c r="M1266">
        <v>0</v>
      </c>
      <c r="N1266">
        <v>2875</v>
      </c>
    </row>
    <row r="1267" spans="1:14" x14ac:dyDescent="0.25">
      <c r="A1267">
        <v>825.83274400000005</v>
      </c>
      <c r="B1267" s="1">
        <f>DATE(2012,8,3) + TIME(19,59,9)</f>
        <v>41124.832743055558</v>
      </c>
      <c r="C1267">
        <v>80</v>
      </c>
      <c r="D1267">
        <v>79.957351685000006</v>
      </c>
      <c r="E1267">
        <v>50</v>
      </c>
      <c r="F1267">
        <v>42.282524109000001</v>
      </c>
      <c r="G1267">
        <v>1390.0386963000001</v>
      </c>
      <c r="H1267">
        <v>1373.9445800999999</v>
      </c>
      <c r="I1267">
        <v>1274.1735839999999</v>
      </c>
      <c r="J1267">
        <v>1248.8624268000001</v>
      </c>
      <c r="K1267">
        <v>2875</v>
      </c>
      <c r="L1267">
        <v>0</v>
      </c>
      <c r="M1267">
        <v>0</v>
      </c>
      <c r="N1267">
        <v>2875</v>
      </c>
    </row>
    <row r="1268" spans="1:14" x14ac:dyDescent="0.25">
      <c r="A1268">
        <v>827.27622899999994</v>
      </c>
      <c r="B1268" s="1">
        <f>DATE(2012,8,5) + TIME(6,37,46)</f>
        <v>41126.276226851849</v>
      </c>
      <c r="C1268">
        <v>80</v>
      </c>
      <c r="D1268">
        <v>79.957389832000004</v>
      </c>
      <c r="E1268">
        <v>50</v>
      </c>
      <c r="F1268">
        <v>42.170135498</v>
      </c>
      <c r="G1268">
        <v>1389.9669189000001</v>
      </c>
      <c r="H1268">
        <v>1373.8807373</v>
      </c>
      <c r="I1268">
        <v>1274.0452881000001</v>
      </c>
      <c r="J1268">
        <v>1248.6519774999999</v>
      </c>
      <c r="K1268">
        <v>2875</v>
      </c>
      <c r="L1268">
        <v>0</v>
      </c>
      <c r="M1268">
        <v>0</v>
      </c>
      <c r="N1268">
        <v>2875</v>
      </c>
    </row>
    <row r="1269" spans="1:14" x14ac:dyDescent="0.25">
      <c r="A1269">
        <v>828.73298299999999</v>
      </c>
      <c r="B1269" s="1">
        <f>DATE(2012,8,6) + TIME(17,35,29)</f>
        <v>41127.732974537037</v>
      </c>
      <c r="C1269">
        <v>80</v>
      </c>
      <c r="D1269">
        <v>79.957420349000003</v>
      </c>
      <c r="E1269">
        <v>50</v>
      </c>
      <c r="F1269">
        <v>42.055847168</v>
      </c>
      <c r="G1269">
        <v>1389.8951416</v>
      </c>
      <c r="H1269">
        <v>1373.8166504000001</v>
      </c>
      <c r="I1269">
        <v>1273.9151611</v>
      </c>
      <c r="J1269">
        <v>1248.4368896000001</v>
      </c>
      <c r="K1269">
        <v>2875</v>
      </c>
      <c r="L1269">
        <v>0</v>
      </c>
      <c r="M1269">
        <v>0</v>
      </c>
      <c r="N1269">
        <v>2875</v>
      </c>
    </row>
    <row r="1270" spans="1:14" x14ac:dyDescent="0.25">
      <c r="A1270">
        <v>830.20689300000004</v>
      </c>
      <c r="B1270" s="1">
        <f>DATE(2012,8,8) + TIME(4,57,55)</f>
        <v>41129.206886574073</v>
      </c>
      <c r="C1270">
        <v>80</v>
      </c>
      <c r="D1270">
        <v>79.957450867000006</v>
      </c>
      <c r="E1270">
        <v>50</v>
      </c>
      <c r="F1270">
        <v>41.940704345999997</v>
      </c>
      <c r="G1270">
        <v>1389.8232422000001</v>
      </c>
      <c r="H1270">
        <v>1373.7525635</v>
      </c>
      <c r="I1270">
        <v>1273.7838135</v>
      </c>
      <c r="J1270">
        <v>1248.2185059000001</v>
      </c>
      <c r="K1270">
        <v>2875</v>
      </c>
      <c r="L1270">
        <v>0</v>
      </c>
      <c r="M1270">
        <v>0</v>
      </c>
      <c r="N1270">
        <v>2875</v>
      </c>
    </row>
    <row r="1271" spans="1:14" x14ac:dyDescent="0.25">
      <c r="A1271">
        <v>831.69565</v>
      </c>
      <c r="B1271" s="1">
        <f>DATE(2012,8,9) + TIME(16,41,44)</f>
        <v>41130.695648148147</v>
      </c>
      <c r="C1271">
        <v>80</v>
      </c>
      <c r="D1271">
        <v>79.957481384000005</v>
      </c>
      <c r="E1271">
        <v>50</v>
      </c>
      <c r="F1271">
        <v>41.825145720999998</v>
      </c>
      <c r="G1271">
        <v>1389.7510986</v>
      </c>
      <c r="H1271">
        <v>1373.6881103999999</v>
      </c>
      <c r="I1271">
        <v>1273.6512451000001</v>
      </c>
      <c r="J1271">
        <v>1247.9969481999999</v>
      </c>
      <c r="K1271">
        <v>2875</v>
      </c>
      <c r="L1271">
        <v>0</v>
      </c>
      <c r="M1271">
        <v>0</v>
      </c>
      <c r="N1271">
        <v>2875</v>
      </c>
    </row>
    <row r="1272" spans="1:14" x14ac:dyDescent="0.25">
      <c r="A1272">
        <v>833.19865300000004</v>
      </c>
      <c r="B1272" s="1">
        <f>DATE(2012,8,11) + TIME(4,46,3)</f>
        <v>41132.198645833334</v>
      </c>
      <c r="C1272">
        <v>80</v>
      </c>
      <c r="D1272">
        <v>79.957519531000003</v>
      </c>
      <c r="E1272">
        <v>50</v>
      </c>
      <c r="F1272">
        <v>41.709552764999998</v>
      </c>
      <c r="G1272">
        <v>1389.6789550999999</v>
      </c>
      <c r="H1272">
        <v>1373.6235352000001</v>
      </c>
      <c r="I1272">
        <v>1273.5177002</v>
      </c>
      <c r="J1272">
        <v>1247.7728271000001</v>
      </c>
      <c r="K1272">
        <v>2875</v>
      </c>
      <c r="L1272">
        <v>0</v>
      </c>
      <c r="M1272">
        <v>0</v>
      </c>
      <c r="N1272">
        <v>2875</v>
      </c>
    </row>
    <row r="1273" spans="1:14" x14ac:dyDescent="0.25">
      <c r="A1273">
        <v>834.71973000000003</v>
      </c>
      <c r="B1273" s="1">
        <f>DATE(2012,8,12) + TIME(17,16,24)</f>
        <v>41133.719722222224</v>
      </c>
      <c r="C1273">
        <v>80</v>
      </c>
      <c r="D1273">
        <v>79.957550049000005</v>
      </c>
      <c r="E1273">
        <v>50</v>
      </c>
      <c r="F1273">
        <v>41.594142914000003</v>
      </c>
      <c r="G1273">
        <v>1389.6066894999999</v>
      </c>
      <c r="H1273">
        <v>1373.5587158000001</v>
      </c>
      <c r="I1273">
        <v>1273.3836670000001</v>
      </c>
      <c r="J1273">
        <v>1247.5466309000001</v>
      </c>
      <c r="K1273">
        <v>2875</v>
      </c>
      <c r="L1273">
        <v>0</v>
      </c>
      <c r="M1273">
        <v>0</v>
      </c>
      <c r="N1273">
        <v>2875</v>
      </c>
    </row>
    <row r="1274" spans="1:14" x14ac:dyDescent="0.25">
      <c r="A1274">
        <v>836.25507800000003</v>
      </c>
      <c r="B1274" s="1">
        <f>DATE(2012,8,14) + TIME(6,7,18)</f>
        <v>41135.255069444444</v>
      </c>
      <c r="C1274">
        <v>80</v>
      </c>
      <c r="D1274">
        <v>79.957588196000003</v>
      </c>
      <c r="E1274">
        <v>50</v>
      </c>
      <c r="F1274">
        <v>41.479175568000002</v>
      </c>
      <c r="G1274">
        <v>1389.5341797000001</v>
      </c>
      <c r="H1274">
        <v>1373.4936522999999</v>
      </c>
      <c r="I1274">
        <v>1273.2487793</v>
      </c>
      <c r="J1274">
        <v>1247.3182373</v>
      </c>
      <c r="K1274">
        <v>2875</v>
      </c>
      <c r="L1274">
        <v>0</v>
      </c>
      <c r="M1274">
        <v>0</v>
      </c>
      <c r="N1274">
        <v>2875</v>
      </c>
    </row>
    <row r="1275" spans="1:14" x14ac:dyDescent="0.25">
      <c r="A1275">
        <v>837.80279499999995</v>
      </c>
      <c r="B1275" s="1">
        <f>DATE(2012,8,15) + TIME(19,16,1)</f>
        <v>41136.802789351852</v>
      </c>
      <c r="C1275">
        <v>80</v>
      </c>
      <c r="D1275">
        <v>79.957618713000002</v>
      </c>
      <c r="E1275">
        <v>50</v>
      </c>
      <c r="F1275">
        <v>41.365093231000003</v>
      </c>
      <c r="G1275">
        <v>1389.4615478999999</v>
      </c>
      <c r="H1275">
        <v>1373.4284668</v>
      </c>
      <c r="I1275">
        <v>1273.1137695</v>
      </c>
      <c r="J1275">
        <v>1247.0883789</v>
      </c>
      <c r="K1275">
        <v>2875</v>
      </c>
      <c r="L1275">
        <v>0</v>
      </c>
      <c r="M1275">
        <v>0</v>
      </c>
      <c r="N1275">
        <v>2875</v>
      </c>
    </row>
    <row r="1276" spans="1:14" x14ac:dyDescent="0.25">
      <c r="A1276">
        <v>839.36685599999998</v>
      </c>
      <c r="B1276" s="1">
        <f>DATE(2012,8,17) + TIME(8,48,16)</f>
        <v>41138.366851851853</v>
      </c>
      <c r="C1276">
        <v>80</v>
      </c>
      <c r="D1276">
        <v>79.95765686</v>
      </c>
      <c r="E1276">
        <v>50</v>
      </c>
      <c r="F1276">
        <v>41.252250670999999</v>
      </c>
      <c r="G1276">
        <v>1389.3889160000001</v>
      </c>
      <c r="H1276">
        <v>1373.3631591999999</v>
      </c>
      <c r="I1276">
        <v>1272.9790039</v>
      </c>
      <c r="J1276">
        <v>1246.8577881000001</v>
      </c>
      <c r="K1276">
        <v>2875</v>
      </c>
      <c r="L1276">
        <v>0</v>
      </c>
      <c r="M1276">
        <v>0</v>
      </c>
      <c r="N1276">
        <v>2875</v>
      </c>
    </row>
    <row r="1277" spans="1:14" x14ac:dyDescent="0.25">
      <c r="A1277">
        <v>840.94770600000004</v>
      </c>
      <c r="B1277" s="1">
        <f>DATE(2012,8,18) + TIME(22,44,41)</f>
        <v>41139.947696759256</v>
      </c>
      <c r="C1277">
        <v>80</v>
      </c>
      <c r="D1277">
        <v>79.957687378000003</v>
      </c>
      <c r="E1277">
        <v>50</v>
      </c>
      <c r="F1277">
        <v>41.140918732000003</v>
      </c>
      <c r="G1277">
        <v>1389.3160399999999</v>
      </c>
      <c r="H1277">
        <v>1373.2976074000001</v>
      </c>
      <c r="I1277">
        <v>1272.8443603999999</v>
      </c>
      <c r="J1277">
        <v>1246.6264647999999</v>
      </c>
      <c r="K1277">
        <v>2875</v>
      </c>
      <c r="L1277">
        <v>0</v>
      </c>
      <c r="M1277">
        <v>0</v>
      </c>
      <c r="N1277">
        <v>2875</v>
      </c>
    </row>
    <row r="1278" spans="1:14" x14ac:dyDescent="0.25">
      <c r="A1278">
        <v>842.53594199999998</v>
      </c>
      <c r="B1278" s="1">
        <f>DATE(2012,8,20) + TIME(12,51,45)</f>
        <v>41141.535937499997</v>
      </c>
      <c r="C1278">
        <v>80</v>
      </c>
      <c r="D1278">
        <v>79.957725525000001</v>
      </c>
      <c r="E1278">
        <v>50</v>
      </c>
      <c r="F1278">
        <v>41.031684875000003</v>
      </c>
      <c r="G1278">
        <v>1389.2430420000001</v>
      </c>
      <c r="H1278">
        <v>1373.2316894999999</v>
      </c>
      <c r="I1278">
        <v>1272.7102050999999</v>
      </c>
      <c r="J1278">
        <v>1246.3948975000001</v>
      </c>
      <c r="K1278">
        <v>2875</v>
      </c>
      <c r="L1278">
        <v>0</v>
      </c>
      <c r="M1278">
        <v>0</v>
      </c>
      <c r="N1278">
        <v>2875</v>
      </c>
    </row>
    <row r="1279" spans="1:14" x14ac:dyDescent="0.25">
      <c r="A1279">
        <v>844.13641299999995</v>
      </c>
      <c r="B1279" s="1">
        <f>DATE(2012,8,22) + TIME(3,16,26)</f>
        <v>41143.136412037034</v>
      </c>
      <c r="C1279">
        <v>80</v>
      </c>
      <c r="D1279">
        <v>79.957763671999999</v>
      </c>
      <c r="E1279">
        <v>50</v>
      </c>
      <c r="F1279">
        <v>40.925174712999997</v>
      </c>
      <c r="G1279">
        <v>1389.1701660000001</v>
      </c>
      <c r="H1279">
        <v>1373.1658935999999</v>
      </c>
      <c r="I1279">
        <v>1272.5775146000001</v>
      </c>
      <c r="J1279">
        <v>1246.1646728999999</v>
      </c>
      <c r="K1279">
        <v>2875</v>
      </c>
      <c r="L1279">
        <v>0</v>
      </c>
      <c r="M1279">
        <v>0</v>
      </c>
      <c r="N1279">
        <v>2875</v>
      </c>
    </row>
    <row r="1280" spans="1:14" x14ac:dyDescent="0.25">
      <c r="A1280">
        <v>845.75397699999996</v>
      </c>
      <c r="B1280" s="1">
        <f>DATE(2012,8,23) + TIME(18,5,43)</f>
        <v>41144.753969907404</v>
      </c>
      <c r="C1280">
        <v>80</v>
      </c>
      <c r="D1280">
        <v>79.957801818999997</v>
      </c>
      <c r="E1280">
        <v>50</v>
      </c>
      <c r="F1280">
        <v>40.821716309000003</v>
      </c>
      <c r="G1280">
        <v>1389.0972899999999</v>
      </c>
      <c r="H1280">
        <v>1373.1000977000001</v>
      </c>
      <c r="I1280">
        <v>1272.4461670000001</v>
      </c>
      <c r="J1280">
        <v>1245.9356689000001</v>
      </c>
      <c r="K1280">
        <v>2875</v>
      </c>
      <c r="L1280">
        <v>0</v>
      </c>
      <c r="M1280">
        <v>0</v>
      </c>
      <c r="N1280">
        <v>2875</v>
      </c>
    </row>
    <row r="1281" spans="1:14" x14ac:dyDescent="0.25">
      <c r="A1281">
        <v>847.39000799999997</v>
      </c>
      <c r="B1281" s="1">
        <f>DATE(2012,8,25) + TIME(9,21,36)</f>
        <v>41146.39</v>
      </c>
      <c r="C1281">
        <v>80</v>
      </c>
      <c r="D1281">
        <v>79.957839965999995</v>
      </c>
      <c r="E1281">
        <v>50</v>
      </c>
      <c r="F1281">
        <v>40.721656799000002</v>
      </c>
      <c r="G1281">
        <v>1389.0240478999999</v>
      </c>
      <c r="H1281">
        <v>1373.0338135</v>
      </c>
      <c r="I1281">
        <v>1272.3161620999999</v>
      </c>
      <c r="J1281">
        <v>1245.7078856999999</v>
      </c>
      <c r="K1281">
        <v>2875</v>
      </c>
      <c r="L1281">
        <v>0</v>
      </c>
      <c r="M1281">
        <v>0</v>
      </c>
      <c r="N1281">
        <v>2875</v>
      </c>
    </row>
    <row r="1282" spans="1:14" x14ac:dyDescent="0.25">
      <c r="A1282">
        <v>849.03856399999995</v>
      </c>
      <c r="B1282" s="1">
        <f>DATE(2012,8,27) + TIME(0,55,31)</f>
        <v>41148.038553240738</v>
      </c>
      <c r="C1282">
        <v>80</v>
      </c>
      <c r="D1282">
        <v>79.957878113000007</v>
      </c>
      <c r="E1282">
        <v>50</v>
      </c>
      <c r="F1282">
        <v>40.625640869000001</v>
      </c>
      <c r="G1282">
        <v>1388.9505615</v>
      </c>
      <c r="H1282">
        <v>1372.9671631000001</v>
      </c>
      <c r="I1282">
        <v>1272.1876221</v>
      </c>
      <c r="J1282">
        <v>1245.4820557</v>
      </c>
      <c r="K1282">
        <v>2875</v>
      </c>
      <c r="L1282">
        <v>0</v>
      </c>
      <c r="M1282">
        <v>0</v>
      </c>
      <c r="N1282">
        <v>2875</v>
      </c>
    </row>
    <row r="1283" spans="1:14" x14ac:dyDescent="0.25">
      <c r="A1283">
        <v>850.71365800000001</v>
      </c>
      <c r="B1283" s="1">
        <f>DATE(2012,8,28) + TIME(17,7,40)</f>
        <v>41149.71365740741</v>
      </c>
      <c r="C1283">
        <v>80</v>
      </c>
      <c r="D1283">
        <v>79.957916260000005</v>
      </c>
      <c r="E1283">
        <v>50</v>
      </c>
      <c r="F1283">
        <v>40.534221649000003</v>
      </c>
      <c r="G1283">
        <v>1388.8770752</v>
      </c>
      <c r="H1283">
        <v>1372.9005127</v>
      </c>
      <c r="I1283">
        <v>1272.0614014</v>
      </c>
      <c r="J1283">
        <v>1245.2590332</v>
      </c>
      <c r="K1283">
        <v>2875</v>
      </c>
      <c r="L1283">
        <v>0</v>
      </c>
      <c r="M1283">
        <v>0</v>
      </c>
      <c r="N1283">
        <v>2875</v>
      </c>
    </row>
    <row r="1284" spans="1:14" x14ac:dyDescent="0.25">
      <c r="A1284">
        <v>852.41182300000003</v>
      </c>
      <c r="B1284" s="1">
        <f>DATE(2012,8,30) + TIME(9,53,1)</f>
        <v>41151.411817129629</v>
      </c>
      <c r="C1284">
        <v>80</v>
      </c>
      <c r="D1284">
        <v>79.957954407000003</v>
      </c>
      <c r="E1284">
        <v>50</v>
      </c>
      <c r="F1284">
        <v>40.447875977000002</v>
      </c>
      <c r="G1284">
        <v>1388.8028564000001</v>
      </c>
      <c r="H1284">
        <v>1372.8330077999999</v>
      </c>
      <c r="I1284">
        <v>1271.9368896000001</v>
      </c>
      <c r="J1284">
        <v>1245.0383300999999</v>
      </c>
      <c r="K1284">
        <v>2875</v>
      </c>
      <c r="L1284">
        <v>0</v>
      </c>
      <c r="M1284">
        <v>0</v>
      </c>
      <c r="N1284">
        <v>2875</v>
      </c>
    </row>
    <row r="1285" spans="1:14" x14ac:dyDescent="0.25">
      <c r="A1285">
        <v>854</v>
      </c>
      <c r="B1285" s="1">
        <f>DATE(2012,9,1) + TIME(0,0,0)</f>
        <v>41153</v>
      </c>
      <c r="C1285">
        <v>80</v>
      </c>
      <c r="D1285">
        <v>79.957992554</v>
      </c>
      <c r="E1285">
        <v>50</v>
      </c>
      <c r="F1285">
        <v>40.369365692000002</v>
      </c>
      <c r="G1285">
        <v>1388.7280272999999</v>
      </c>
      <c r="H1285">
        <v>1372.7650146000001</v>
      </c>
      <c r="I1285">
        <v>1271.8154297000001</v>
      </c>
      <c r="J1285">
        <v>1244.8231201000001</v>
      </c>
      <c r="K1285">
        <v>2875</v>
      </c>
      <c r="L1285">
        <v>0</v>
      </c>
      <c r="M1285">
        <v>0</v>
      </c>
      <c r="N1285">
        <v>2875</v>
      </c>
    </row>
    <row r="1286" spans="1:14" x14ac:dyDescent="0.25">
      <c r="A1286">
        <v>855.715598</v>
      </c>
      <c r="B1286" s="1">
        <f>DATE(2012,9,2) + TIME(17,10,27)</f>
        <v>41154.715590277781</v>
      </c>
      <c r="C1286">
        <v>80</v>
      </c>
      <c r="D1286">
        <v>79.958030700999998</v>
      </c>
      <c r="E1286">
        <v>50</v>
      </c>
      <c r="F1286">
        <v>40.298561096</v>
      </c>
      <c r="G1286">
        <v>1388.6585693</v>
      </c>
      <c r="H1286">
        <v>1372.7016602000001</v>
      </c>
      <c r="I1286">
        <v>1271.7037353999999</v>
      </c>
      <c r="J1286">
        <v>1244.6226807</v>
      </c>
      <c r="K1286">
        <v>2875</v>
      </c>
      <c r="L1286">
        <v>0</v>
      </c>
      <c r="M1286">
        <v>0</v>
      </c>
      <c r="N1286">
        <v>2875</v>
      </c>
    </row>
    <row r="1287" spans="1:14" x14ac:dyDescent="0.25">
      <c r="A1287">
        <v>857.46557499999994</v>
      </c>
      <c r="B1287" s="1">
        <f>DATE(2012,9,4) + TIME(11,10,25)</f>
        <v>41156.465567129628</v>
      </c>
      <c r="C1287">
        <v>80</v>
      </c>
      <c r="D1287">
        <v>79.958076477000006</v>
      </c>
      <c r="E1287">
        <v>50</v>
      </c>
      <c r="F1287">
        <v>40.233600615999997</v>
      </c>
      <c r="G1287">
        <v>1388.5839844</v>
      </c>
      <c r="H1287">
        <v>1372.6336670000001</v>
      </c>
      <c r="I1287">
        <v>1271.5894774999999</v>
      </c>
      <c r="J1287">
        <v>1244.418457</v>
      </c>
      <c r="K1287">
        <v>2875</v>
      </c>
      <c r="L1287">
        <v>0</v>
      </c>
      <c r="M1287">
        <v>0</v>
      </c>
      <c r="N1287">
        <v>2875</v>
      </c>
    </row>
    <row r="1288" spans="1:14" x14ac:dyDescent="0.25">
      <c r="A1288">
        <v>859.24238000000003</v>
      </c>
      <c r="B1288" s="1">
        <f>DATE(2012,9,6) + TIME(5,49,1)</f>
        <v>41158.242372685185</v>
      </c>
      <c r="C1288">
        <v>80</v>
      </c>
      <c r="D1288">
        <v>79.958114624000004</v>
      </c>
      <c r="E1288">
        <v>50</v>
      </c>
      <c r="F1288">
        <v>40.176456451</v>
      </c>
      <c r="G1288">
        <v>1388.5084228999999</v>
      </c>
      <c r="H1288">
        <v>1372.5645752</v>
      </c>
      <c r="I1288">
        <v>1271.4775391000001</v>
      </c>
      <c r="J1288">
        <v>1244.2182617000001</v>
      </c>
      <c r="K1288">
        <v>2875</v>
      </c>
      <c r="L1288">
        <v>0</v>
      </c>
      <c r="M1288">
        <v>0</v>
      </c>
      <c r="N1288">
        <v>2875</v>
      </c>
    </row>
    <row r="1289" spans="1:14" x14ac:dyDescent="0.25">
      <c r="A1289">
        <v>860.13275699999997</v>
      </c>
      <c r="B1289" s="1">
        <f>DATE(2012,9,7) + TIME(3,11,10)</f>
        <v>41159.132754629631</v>
      </c>
      <c r="C1289">
        <v>80</v>
      </c>
      <c r="D1289">
        <v>79.958129882999998</v>
      </c>
      <c r="E1289">
        <v>50</v>
      </c>
      <c r="F1289">
        <v>40.139331818000002</v>
      </c>
      <c r="G1289">
        <v>1388.432251</v>
      </c>
      <c r="H1289">
        <v>1372.4948730000001</v>
      </c>
      <c r="I1289">
        <v>1271.3770752</v>
      </c>
      <c r="J1289">
        <v>1244.0428466999999</v>
      </c>
      <c r="K1289">
        <v>2875</v>
      </c>
      <c r="L1289">
        <v>0</v>
      </c>
      <c r="M1289">
        <v>0</v>
      </c>
      <c r="N1289">
        <v>2875</v>
      </c>
    </row>
    <row r="1290" spans="1:14" x14ac:dyDescent="0.25">
      <c r="A1290">
        <v>861.02313400000003</v>
      </c>
      <c r="B1290" s="1">
        <f>DATE(2012,9,8) + TIME(0,33,18)</f>
        <v>41160.023125</v>
      </c>
      <c r="C1290">
        <v>80</v>
      </c>
      <c r="D1290">
        <v>79.958152771000002</v>
      </c>
      <c r="E1290">
        <v>50</v>
      </c>
      <c r="F1290">
        <v>40.113758087000001</v>
      </c>
      <c r="G1290">
        <v>1388.3935547000001</v>
      </c>
      <c r="H1290">
        <v>1372.4594727000001</v>
      </c>
      <c r="I1290">
        <v>1271.3195800999999</v>
      </c>
      <c r="J1290">
        <v>1243.9370117000001</v>
      </c>
      <c r="K1290">
        <v>2875</v>
      </c>
      <c r="L1290">
        <v>0</v>
      </c>
      <c r="M1290">
        <v>0</v>
      </c>
      <c r="N1290">
        <v>2875</v>
      </c>
    </row>
    <row r="1291" spans="1:14" x14ac:dyDescent="0.25">
      <c r="A1291">
        <v>861.91350999999997</v>
      </c>
      <c r="B1291" s="1">
        <f>DATE(2012,9,8) + TIME(21,55,27)</f>
        <v>41160.913506944446</v>
      </c>
      <c r="C1291">
        <v>80</v>
      </c>
      <c r="D1291">
        <v>79.958168029999996</v>
      </c>
      <c r="E1291">
        <v>50</v>
      </c>
      <c r="F1291">
        <v>40.094940186000002</v>
      </c>
      <c r="G1291">
        <v>1388.3557129000001</v>
      </c>
      <c r="H1291">
        <v>1372.4248047000001</v>
      </c>
      <c r="I1291">
        <v>1271.2668457</v>
      </c>
      <c r="J1291">
        <v>1243.8415527</v>
      </c>
      <c r="K1291">
        <v>2875</v>
      </c>
      <c r="L1291">
        <v>0</v>
      </c>
      <c r="M1291">
        <v>0</v>
      </c>
      <c r="N1291">
        <v>2875</v>
      </c>
    </row>
    <row r="1292" spans="1:14" x14ac:dyDescent="0.25">
      <c r="A1292">
        <v>862.80388700000003</v>
      </c>
      <c r="B1292" s="1">
        <f>DATE(2012,9,9) + TIME(19,17,35)</f>
        <v>41161.803877314815</v>
      </c>
      <c r="C1292">
        <v>80</v>
      </c>
      <c r="D1292">
        <v>79.958190918</v>
      </c>
      <c r="E1292">
        <v>50</v>
      </c>
      <c r="F1292">
        <v>40.080799102999997</v>
      </c>
      <c r="G1292">
        <v>1388.3178711</v>
      </c>
      <c r="H1292">
        <v>1372.3901367000001</v>
      </c>
      <c r="I1292">
        <v>1271.2171631000001</v>
      </c>
      <c r="J1292">
        <v>1243.7521973</v>
      </c>
      <c r="K1292">
        <v>2875</v>
      </c>
      <c r="L1292">
        <v>0</v>
      </c>
      <c r="M1292">
        <v>0</v>
      </c>
      <c r="N1292">
        <v>2875</v>
      </c>
    </row>
    <row r="1293" spans="1:14" x14ac:dyDescent="0.25">
      <c r="A1293">
        <v>863.69426399999998</v>
      </c>
      <c r="B1293" s="1">
        <f>DATE(2012,9,10) + TIME(16,39,44)</f>
        <v>41162.69425925926</v>
      </c>
      <c r="C1293">
        <v>80</v>
      </c>
      <c r="D1293">
        <v>79.958213806000003</v>
      </c>
      <c r="E1293">
        <v>50</v>
      </c>
      <c r="F1293">
        <v>40.070453643999997</v>
      </c>
      <c r="G1293">
        <v>1388.2802733999999</v>
      </c>
      <c r="H1293">
        <v>1372.3555908000001</v>
      </c>
      <c r="I1293">
        <v>1271.1696777</v>
      </c>
      <c r="J1293">
        <v>1243.6671143000001</v>
      </c>
      <c r="K1293">
        <v>2875</v>
      </c>
      <c r="L1293">
        <v>0</v>
      </c>
      <c r="M1293">
        <v>0</v>
      </c>
      <c r="N1293">
        <v>2875</v>
      </c>
    </row>
    <row r="1294" spans="1:14" x14ac:dyDescent="0.25">
      <c r="A1294">
        <v>864.58464000000004</v>
      </c>
      <c r="B1294" s="1">
        <f>DATE(2012,9,11) + TIME(14,1,52)</f>
        <v>41163.584629629629</v>
      </c>
      <c r="C1294">
        <v>80</v>
      </c>
      <c r="D1294">
        <v>79.958236693999993</v>
      </c>
      <c r="E1294">
        <v>50</v>
      </c>
      <c r="F1294">
        <v>40.063545226999999</v>
      </c>
      <c r="G1294">
        <v>1388.2426757999999</v>
      </c>
      <c r="H1294">
        <v>1372.3210449000001</v>
      </c>
      <c r="I1294">
        <v>1271.1240233999999</v>
      </c>
      <c r="J1294">
        <v>1243.5855713000001</v>
      </c>
      <c r="K1294">
        <v>2875</v>
      </c>
      <c r="L1294">
        <v>0</v>
      </c>
      <c r="M1294">
        <v>0</v>
      </c>
      <c r="N1294">
        <v>2875</v>
      </c>
    </row>
    <row r="1295" spans="1:14" x14ac:dyDescent="0.25">
      <c r="A1295">
        <v>865.47501699999998</v>
      </c>
      <c r="B1295" s="1">
        <f>DATE(2012,9,12) + TIME(11,24,1)</f>
        <v>41164.475011574075</v>
      </c>
      <c r="C1295">
        <v>80</v>
      </c>
      <c r="D1295">
        <v>79.958259583</v>
      </c>
      <c r="E1295">
        <v>50</v>
      </c>
      <c r="F1295">
        <v>40.059947968000003</v>
      </c>
      <c r="G1295">
        <v>1388.2053223</v>
      </c>
      <c r="H1295">
        <v>1372.2867432</v>
      </c>
      <c r="I1295">
        <v>1271.0799560999999</v>
      </c>
      <c r="J1295">
        <v>1243.5072021000001</v>
      </c>
      <c r="K1295">
        <v>2875</v>
      </c>
      <c r="L1295">
        <v>0</v>
      </c>
      <c r="M1295">
        <v>0</v>
      </c>
      <c r="N1295">
        <v>2875</v>
      </c>
    </row>
    <row r="1296" spans="1:14" x14ac:dyDescent="0.25">
      <c r="A1296">
        <v>866.36539400000004</v>
      </c>
      <c r="B1296" s="1">
        <f>DATE(2012,9,13) + TIME(8,46,10)</f>
        <v>41165.365393518521</v>
      </c>
      <c r="C1296">
        <v>80</v>
      </c>
      <c r="D1296">
        <v>79.958274841000005</v>
      </c>
      <c r="E1296">
        <v>50</v>
      </c>
      <c r="F1296">
        <v>40.059616089000002</v>
      </c>
      <c r="G1296">
        <v>1388.1679687999999</v>
      </c>
      <c r="H1296">
        <v>1372.2524414</v>
      </c>
      <c r="I1296">
        <v>1271.0374756000001</v>
      </c>
      <c r="J1296">
        <v>1243.4318848</v>
      </c>
      <c r="K1296">
        <v>2875</v>
      </c>
      <c r="L1296">
        <v>0</v>
      </c>
      <c r="M1296">
        <v>0</v>
      </c>
      <c r="N1296">
        <v>2875</v>
      </c>
    </row>
    <row r="1297" spans="1:14" x14ac:dyDescent="0.25">
      <c r="A1297">
        <v>868.14614700000004</v>
      </c>
      <c r="B1297" s="1">
        <f>DATE(2012,9,15) + TIME(3,30,27)</f>
        <v>41167.146145833336</v>
      </c>
      <c r="C1297">
        <v>80</v>
      </c>
      <c r="D1297">
        <v>79.958328246999997</v>
      </c>
      <c r="E1297">
        <v>50</v>
      </c>
      <c r="F1297">
        <v>40.063358307000001</v>
      </c>
      <c r="G1297">
        <v>1388.1311035000001</v>
      </c>
      <c r="H1297">
        <v>1372.2185059000001</v>
      </c>
      <c r="I1297">
        <v>1270.9908447</v>
      </c>
      <c r="J1297">
        <v>1243.3505858999999</v>
      </c>
      <c r="K1297">
        <v>2875</v>
      </c>
      <c r="L1297">
        <v>0</v>
      </c>
      <c r="M1297">
        <v>0</v>
      </c>
      <c r="N1297">
        <v>2875</v>
      </c>
    </row>
    <row r="1298" spans="1:14" x14ac:dyDescent="0.25">
      <c r="A1298">
        <v>869.93091200000003</v>
      </c>
      <c r="B1298" s="1">
        <f>DATE(2012,9,16) + TIME(22,20,30)</f>
        <v>41168.930902777778</v>
      </c>
      <c r="C1298">
        <v>80</v>
      </c>
      <c r="D1298">
        <v>79.958374023000005</v>
      </c>
      <c r="E1298">
        <v>50</v>
      </c>
      <c r="F1298">
        <v>40.077346802000001</v>
      </c>
      <c r="G1298">
        <v>1388.0574951000001</v>
      </c>
      <c r="H1298">
        <v>1372.1507568</v>
      </c>
      <c r="I1298">
        <v>1270.9174805</v>
      </c>
      <c r="J1298">
        <v>1243.2219238</v>
      </c>
      <c r="K1298">
        <v>2875</v>
      </c>
      <c r="L1298">
        <v>0</v>
      </c>
      <c r="M1298">
        <v>0</v>
      </c>
      <c r="N1298">
        <v>2875</v>
      </c>
    </row>
    <row r="1299" spans="1:14" x14ac:dyDescent="0.25">
      <c r="A1299">
        <v>871.74981200000002</v>
      </c>
      <c r="B1299" s="1">
        <f>DATE(2012,9,18) + TIME(17,59,43)</f>
        <v>41170.749803240738</v>
      </c>
      <c r="C1299">
        <v>80</v>
      </c>
      <c r="D1299">
        <v>79.958412170000003</v>
      </c>
      <c r="E1299">
        <v>50</v>
      </c>
      <c r="F1299">
        <v>40.104106903000002</v>
      </c>
      <c r="G1299">
        <v>1387.9840088000001</v>
      </c>
      <c r="H1299">
        <v>1372.0831298999999</v>
      </c>
      <c r="I1299">
        <v>1270.8458252</v>
      </c>
      <c r="J1299">
        <v>1243.0979004000001</v>
      </c>
      <c r="K1299">
        <v>2875</v>
      </c>
      <c r="L1299">
        <v>0</v>
      </c>
      <c r="M1299">
        <v>0</v>
      </c>
      <c r="N1299">
        <v>2875</v>
      </c>
    </row>
    <row r="1300" spans="1:14" x14ac:dyDescent="0.25">
      <c r="A1300">
        <v>873.60736099999997</v>
      </c>
      <c r="B1300" s="1">
        <f>DATE(2012,9,20) + TIME(14,34,36)</f>
        <v>41172.607361111113</v>
      </c>
      <c r="C1300">
        <v>80</v>
      </c>
      <c r="D1300">
        <v>79.958457946999999</v>
      </c>
      <c r="E1300">
        <v>50</v>
      </c>
      <c r="F1300">
        <v>40.145008087000001</v>
      </c>
      <c r="G1300">
        <v>1387.9095459</v>
      </c>
      <c r="H1300">
        <v>1372.0146483999999</v>
      </c>
      <c r="I1300">
        <v>1270.777832</v>
      </c>
      <c r="J1300">
        <v>1242.9821777</v>
      </c>
      <c r="K1300">
        <v>2875</v>
      </c>
      <c r="L1300">
        <v>0</v>
      </c>
      <c r="M1300">
        <v>0</v>
      </c>
      <c r="N1300">
        <v>2875</v>
      </c>
    </row>
    <row r="1301" spans="1:14" x14ac:dyDescent="0.25">
      <c r="A1301">
        <v>875.50919799999997</v>
      </c>
      <c r="B1301" s="1">
        <f>DATE(2012,9,22) + TIME(12,13,14)</f>
        <v>41174.509189814817</v>
      </c>
      <c r="C1301">
        <v>80</v>
      </c>
      <c r="D1301">
        <v>79.958503723000007</v>
      </c>
      <c r="E1301">
        <v>50</v>
      </c>
      <c r="F1301">
        <v>40.201099395999996</v>
      </c>
      <c r="G1301">
        <v>1387.8342285000001</v>
      </c>
      <c r="H1301">
        <v>1371.9451904</v>
      </c>
      <c r="I1301">
        <v>1270.7145995999999</v>
      </c>
      <c r="J1301">
        <v>1242.8768310999999</v>
      </c>
      <c r="K1301">
        <v>2875</v>
      </c>
      <c r="L1301">
        <v>0</v>
      </c>
      <c r="M1301">
        <v>0</v>
      </c>
      <c r="N1301">
        <v>2875</v>
      </c>
    </row>
    <row r="1302" spans="1:14" x14ac:dyDescent="0.25">
      <c r="A1302">
        <v>877.44292800000005</v>
      </c>
      <c r="B1302" s="1">
        <f>DATE(2012,9,24) + TIME(10,37,48)</f>
        <v>41176.442916666667</v>
      </c>
      <c r="C1302">
        <v>80</v>
      </c>
      <c r="D1302">
        <v>79.958549500000004</v>
      </c>
      <c r="E1302">
        <v>50</v>
      </c>
      <c r="F1302">
        <v>40.273174286</v>
      </c>
      <c r="G1302">
        <v>1387.7578125</v>
      </c>
      <c r="H1302">
        <v>1371.8745117000001</v>
      </c>
      <c r="I1302">
        <v>1270.65625</v>
      </c>
      <c r="J1302">
        <v>1242.7824707</v>
      </c>
      <c r="K1302">
        <v>2875</v>
      </c>
      <c r="L1302">
        <v>0</v>
      </c>
      <c r="M1302">
        <v>0</v>
      </c>
      <c r="N1302">
        <v>2875</v>
      </c>
    </row>
    <row r="1303" spans="1:14" x14ac:dyDescent="0.25">
      <c r="A1303">
        <v>879.38243199999999</v>
      </c>
      <c r="B1303" s="1">
        <f>DATE(2012,9,26) + TIME(9,10,42)</f>
        <v>41178.382430555554</v>
      </c>
      <c r="C1303">
        <v>80</v>
      </c>
      <c r="D1303">
        <v>79.958595275999997</v>
      </c>
      <c r="E1303">
        <v>50</v>
      </c>
      <c r="F1303">
        <v>40.361240387000002</v>
      </c>
      <c r="G1303">
        <v>1387.6807861</v>
      </c>
      <c r="H1303">
        <v>1371.8033447</v>
      </c>
      <c r="I1303">
        <v>1270.6036377</v>
      </c>
      <c r="J1303">
        <v>1242.7006836</v>
      </c>
      <c r="K1303">
        <v>2875</v>
      </c>
      <c r="L1303">
        <v>0</v>
      </c>
      <c r="M1303">
        <v>0</v>
      </c>
      <c r="N1303">
        <v>2875</v>
      </c>
    </row>
    <row r="1304" spans="1:14" x14ac:dyDescent="0.25">
      <c r="A1304">
        <v>881.33349399999997</v>
      </c>
      <c r="B1304" s="1">
        <f>DATE(2012,9,28) + TIME(8,0,13)</f>
        <v>41180.333483796298</v>
      </c>
      <c r="C1304">
        <v>80</v>
      </c>
      <c r="D1304">
        <v>79.958648682000003</v>
      </c>
      <c r="E1304">
        <v>50</v>
      </c>
      <c r="F1304">
        <v>40.464626312</v>
      </c>
      <c r="G1304">
        <v>1387.6042480000001</v>
      </c>
      <c r="H1304">
        <v>1371.7326660000001</v>
      </c>
      <c r="I1304">
        <v>1270.557251</v>
      </c>
      <c r="J1304">
        <v>1242.6323242000001</v>
      </c>
      <c r="K1304">
        <v>2875</v>
      </c>
      <c r="L1304">
        <v>0</v>
      </c>
      <c r="M1304">
        <v>0</v>
      </c>
      <c r="N1304">
        <v>2875</v>
      </c>
    </row>
    <row r="1305" spans="1:14" x14ac:dyDescent="0.25">
      <c r="A1305">
        <v>883.30186700000002</v>
      </c>
      <c r="B1305" s="1">
        <f>DATE(2012,9,30) + TIME(7,14,41)</f>
        <v>41182.301863425928</v>
      </c>
      <c r="C1305">
        <v>80</v>
      </c>
      <c r="D1305">
        <v>79.958694457999997</v>
      </c>
      <c r="E1305">
        <v>50</v>
      </c>
      <c r="F1305">
        <v>40.582897185999997</v>
      </c>
      <c r="G1305">
        <v>1387.5280762</v>
      </c>
      <c r="H1305">
        <v>1371.6621094</v>
      </c>
      <c r="I1305">
        <v>1270.5169678</v>
      </c>
      <c r="J1305">
        <v>1242.5772704999999</v>
      </c>
      <c r="K1305">
        <v>2875</v>
      </c>
      <c r="L1305">
        <v>0</v>
      </c>
      <c r="M1305">
        <v>0</v>
      </c>
      <c r="N1305">
        <v>2875</v>
      </c>
    </row>
    <row r="1306" spans="1:14" x14ac:dyDescent="0.25">
      <c r="A1306">
        <v>884</v>
      </c>
      <c r="B1306" s="1">
        <f>DATE(2012,10,1) + TIME(0,0,0)</f>
        <v>41183</v>
      </c>
      <c r="C1306">
        <v>80</v>
      </c>
      <c r="D1306">
        <v>79.958702087000006</v>
      </c>
      <c r="E1306">
        <v>50</v>
      </c>
      <c r="F1306">
        <v>40.673233031999999</v>
      </c>
      <c r="G1306">
        <v>1387.4526367000001</v>
      </c>
      <c r="H1306">
        <v>1371.5924072</v>
      </c>
      <c r="I1306">
        <v>1270.4993896000001</v>
      </c>
      <c r="J1306">
        <v>1242.541626</v>
      </c>
      <c r="K1306">
        <v>2875</v>
      </c>
      <c r="L1306">
        <v>0</v>
      </c>
      <c r="M1306">
        <v>0</v>
      </c>
      <c r="N1306">
        <v>2875</v>
      </c>
    </row>
    <row r="1307" spans="1:14" x14ac:dyDescent="0.25">
      <c r="A1307">
        <v>884.000001</v>
      </c>
      <c r="B1307" s="1">
        <f>DATE(2012,10,1) + TIME(0,0,0)</f>
        <v>41183</v>
      </c>
      <c r="C1307">
        <v>80</v>
      </c>
      <c r="D1307">
        <v>79.958572387999993</v>
      </c>
      <c r="E1307">
        <v>50</v>
      </c>
      <c r="F1307">
        <v>40.673355102999999</v>
      </c>
      <c r="G1307">
        <v>1370.6977539</v>
      </c>
      <c r="H1307">
        <v>1360.5850829999999</v>
      </c>
      <c r="I1307">
        <v>1291.2795410000001</v>
      </c>
      <c r="J1307">
        <v>1271.4309082</v>
      </c>
      <c r="K1307">
        <v>0</v>
      </c>
      <c r="L1307">
        <v>2050</v>
      </c>
      <c r="M1307">
        <v>2050</v>
      </c>
      <c r="N1307">
        <v>0</v>
      </c>
    </row>
    <row r="1308" spans="1:14" x14ac:dyDescent="0.25">
      <c r="A1308">
        <v>884.00000399999999</v>
      </c>
      <c r="B1308" s="1">
        <f>DATE(2012,10,1) + TIME(0,0,0)</f>
        <v>41183</v>
      </c>
      <c r="C1308">
        <v>80</v>
      </c>
      <c r="D1308">
        <v>79.958251953000001</v>
      </c>
      <c r="E1308">
        <v>50</v>
      </c>
      <c r="F1308">
        <v>40.673686981000003</v>
      </c>
      <c r="G1308">
        <v>1368.4378661999999</v>
      </c>
      <c r="H1308">
        <v>1358.3245850000001</v>
      </c>
      <c r="I1308">
        <v>1293.7418213000001</v>
      </c>
      <c r="J1308">
        <v>1273.9570312000001</v>
      </c>
      <c r="K1308">
        <v>0</v>
      </c>
      <c r="L1308">
        <v>2050</v>
      </c>
      <c r="M1308">
        <v>2050</v>
      </c>
      <c r="N1308">
        <v>0</v>
      </c>
    </row>
    <row r="1309" spans="1:14" x14ac:dyDescent="0.25">
      <c r="A1309">
        <v>884.00001299999997</v>
      </c>
      <c r="B1309" s="1">
        <f>DATE(2012,10,1) + TIME(0,0,1)</f>
        <v>41183.000011574077</v>
      </c>
      <c r="C1309">
        <v>80</v>
      </c>
      <c r="D1309">
        <v>79.957603454999997</v>
      </c>
      <c r="E1309">
        <v>50</v>
      </c>
      <c r="F1309">
        <v>40.674484253000003</v>
      </c>
      <c r="G1309">
        <v>1363.8758545000001</v>
      </c>
      <c r="H1309">
        <v>1353.762207</v>
      </c>
      <c r="I1309">
        <v>1299.5003661999999</v>
      </c>
      <c r="J1309">
        <v>1279.8286132999999</v>
      </c>
      <c r="K1309">
        <v>0</v>
      </c>
      <c r="L1309">
        <v>2050</v>
      </c>
      <c r="M1309">
        <v>2050</v>
      </c>
      <c r="N1309">
        <v>0</v>
      </c>
    </row>
    <row r="1310" spans="1:14" x14ac:dyDescent="0.25">
      <c r="A1310">
        <v>884.00004000000001</v>
      </c>
      <c r="B1310" s="1">
        <f>DATE(2012,10,1) + TIME(0,0,3)</f>
        <v>41183.000034722223</v>
      </c>
      <c r="C1310">
        <v>80</v>
      </c>
      <c r="D1310">
        <v>79.956657410000005</v>
      </c>
      <c r="E1310">
        <v>50</v>
      </c>
      <c r="F1310">
        <v>40.675987243999998</v>
      </c>
      <c r="G1310">
        <v>1357.2120361</v>
      </c>
      <c r="H1310">
        <v>1347.0997314000001</v>
      </c>
      <c r="I1310">
        <v>1309.7227783000001</v>
      </c>
      <c r="J1310">
        <v>1290.1427002</v>
      </c>
      <c r="K1310">
        <v>0</v>
      </c>
      <c r="L1310">
        <v>2050</v>
      </c>
      <c r="M1310">
        <v>2050</v>
      </c>
      <c r="N1310">
        <v>0</v>
      </c>
    </row>
    <row r="1311" spans="1:14" x14ac:dyDescent="0.25">
      <c r="A1311">
        <v>884.00012100000004</v>
      </c>
      <c r="B1311" s="1">
        <f>DATE(2012,10,1) + TIME(0,0,10)</f>
        <v>41183.000115740739</v>
      </c>
      <c r="C1311">
        <v>80</v>
      </c>
      <c r="D1311">
        <v>79.955589294000006</v>
      </c>
      <c r="E1311">
        <v>50</v>
      </c>
      <c r="F1311">
        <v>40.678348540999998</v>
      </c>
      <c r="G1311">
        <v>1349.7962646000001</v>
      </c>
      <c r="H1311">
        <v>1339.6887207</v>
      </c>
      <c r="I1311">
        <v>1322.885376</v>
      </c>
      <c r="J1311">
        <v>1303.3183594</v>
      </c>
      <c r="K1311">
        <v>0</v>
      </c>
      <c r="L1311">
        <v>2050</v>
      </c>
      <c r="M1311">
        <v>2050</v>
      </c>
      <c r="N1311">
        <v>0</v>
      </c>
    </row>
    <row r="1312" spans="1:14" x14ac:dyDescent="0.25">
      <c r="A1312">
        <v>884.00036399999999</v>
      </c>
      <c r="B1312" s="1">
        <f>DATE(2012,10,1) + TIME(0,0,31)</f>
        <v>41183.000358796293</v>
      </c>
      <c r="C1312">
        <v>80</v>
      </c>
      <c r="D1312">
        <v>79.954483031999999</v>
      </c>
      <c r="E1312">
        <v>50</v>
      </c>
      <c r="F1312">
        <v>40.682350159000002</v>
      </c>
      <c r="G1312">
        <v>1342.3425293</v>
      </c>
      <c r="H1312">
        <v>1332.2410889</v>
      </c>
      <c r="I1312">
        <v>1336.8046875</v>
      </c>
      <c r="J1312">
        <v>1317.2385254000001</v>
      </c>
      <c r="K1312">
        <v>0</v>
      </c>
      <c r="L1312">
        <v>2050</v>
      </c>
      <c r="M1312">
        <v>2050</v>
      </c>
      <c r="N1312">
        <v>0</v>
      </c>
    </row>
    <row r="1313" spans="1:14" x14ac:dyDescent="0.25">
      <c r="A1313">
        <v>884.00109299999997</v>
      </c>
      <c r="B1313" s="1">
        <f>DATE(2012,10,1) + TIME(0,1,34)</f>
        <v>41183.001087962963</v>
      </c>
      <c r="C1313">
        <v>80</v>
      </c>
      <c r="D1313">
        <v>79.953292847</v>
      </c>
      <c r="E1313">
        <v>50</v>
      </c>
      <c r="F1313">
        <v>40.691032409999998</v>
      </c>
      <c r="G1313">
        <v>1334.8416748</v>
      </c>
      <c r="H1313">
        <v>1324.7233887</v>
      </c>
      <c r="I1313">
        <v>1350.979126</v>
      </c>
      <c r="J1313">
        <v>1331.4031981999999</v>
      </c>
      <c r="K1313">
        <v>0</v>
      </c>
      <c r="L1313">
        <v>2050</v>
      </c>
      <c r="M1313">
        <v>2050</v>
      </c>
      <c r="N1313">
        <v>0</v>
      </c>
    </row>
    <row r="1314" spans="1:14" x14ac:dyDescent="0.25">
      <c r="A1314">
        <v>884.00328000000002</v>
      </c>
      <c r="B1314" s="1">
        <f>DATE(2012,10,1) + TIME(0,4,43)</f>
        <v>41183.003275462965</v>
      </c>
      <c r="C1314">
        <v>80</v>
      </c>
      <c r="D1314">
        <v>79.951782226999995</v>
      </c>
      <c r="E1314">
        <v>50</v>
      </c>
      <c r="F1314">
        <v>40.713722228999998</v>
      </c>
      <c r="G1314">
        <v>1327.0015868999999</v>
      </c>
      <c r="H1314">
        <v>1316.7818603999999</v>
      </c>
      <c r="I1314">
        <v>1365.4285889</v>
      </c>
      <c r="J1314">
        <v>1345.7832031</v>
      </c>
      <c r="K1314">
        <v>0</v>
      </c>
      <c r="L1314">
        <v>2050</v>
      </c>
      <c r="M1314">
        <v>2050</v>
      </c>
      <c r="N1314">
        <v>0</v>
      </c>
    </row>
    <row r="1315" spans="1:14" x14ac:dyDescent="0.25">
      <c r="A1315">
        <v>884.00984100000005</v>
      </c>
      <c r="B1315" s="1">
        <f>DATE(2012,10,1) + TIME(0,14,10)</f>
        <v>41183.009837962964</v>
      </c>
      <c r="C1315">
        <v>80</v>
      </c>
      <c r="D1315">
        <v>79.949432372999993</v>
      </c>
      <c r="E1315">
        <v>50</v>
      </c>
      <c r="F1315">
        <v>40.778244018999999</v>
      </c>
      <c r="G1315">
        <v>1318.9023437999999</v>
      </c>
      <c r="H1315">
        <v>1308.5466309000001</v>
      </c>
      <c r="I1315">
        <v>1378.9775391000001</v>
      </c>
      <c r="J1315">
        <v>1359.206543</v>
      </c>
      <c r="K1315">
        <v>0</v>
      </c>
      <c r="L1315">
        <v>2050</v>
      </c>
      <c r="M1315">
        <v>2050</v>
      </c>
      <c r="N1315">
        <v>0</v>
      </c>
    </row>
    <row r="1316" spans="1:14" x14ac:dyDescent="0.25">
      <c r="A1316">
        <v>884.02952400000004</v>
      </c>
      <c r="B1316" s="1">
        <f>DATE(2012,10,1) + TIME(0,42,30)</f>
        <v>41183.029513888891</v>
      </c>
      <c r="C1316">
        <v>80</v>
      </c>
      <c r="D1316">
        <v>79.944892882999994</v>
      </c>
      <c r="E1316">
        <v>50</v>
      </c>
      <c r="F1316">
        <v>40.965572356999999</v>
      </c>
      <c r="G1316">
        <v>1312.0631103999999</v>
      </c>
      <c r="H1316">
        <v>1301.6348877</v>
      </c>
      <c r="I1316">
        <v>1388.7391356999999</v>
      </c>
      <c r="J1316">
        <v>1368.8984375</v>
      </c>
      <c r="K1316">
        <v>0</v>
      </c>
      <c r="L1316">
        <v>2050</v>
      </c>
      <c r="M1316">
        <v>2050</v>
      </c>
      <c r="N1316">
        <v>0</v>
      </c>
    </row>
    <row r="1317" spans="1:14" x14ac:dyDescent="0.25">
      <c r="A1317">
        <v>884.088573</v>
      </c>
      <c r="B1317" s="1">
        <f>DATE(2012,10,1) + TIME(2,7,32)</f>
        <v>41183.088564814818</v>
      </c>
      <c r="C1317">
        <v>80</v>
      </c>
      <c r="D1317">
        <v>79.934120178000001</v>
      </c>
      <c r="E1317">
        <v>50</v>
      </c>
      <c r="F1317">
        <v>41.493637085000003</v>
      </c>
      <c r="G1317">
        <v>1308.4455565999999</v>
      </c>
      <c r="H1317">
        <v>1297.9956055</v>
      </c>
      <c r="I1317">
        <v>1392.6461182</v>
      </c>
      <c r="J1317">
        <v>1372.9288329999999</v>
      </c>
      <c r="K1317">
        <v>0</v>
      </c>
      <c r="L1317">
        <v>2050</v>
      </c>
      <c r="M1317">
        <v>2050</v>
      </c>
      <c r="N1317">
        <v>0</v>
      </c>
    </row>
    <row r="1318" spans="1:14" x14ac:dyDescent="0.25">
      <c r="A1318">
        <v>884.151521</v>
      </c>
      <c r="B1318" s="1">
        <f>DATE(2012,10,1) + TIME(3,38,11)</f>
        <v>41183.151516203703</v>
      </c>
      <c r="C1318">
        <v>80</v>
      </c>
      <c r="D1318">
        <v>79.923233031999999</v>
      </c>
      <c r="E1318">
        <v>50</v>
      </c>
      <c r="F1318">
        <v>42.021965027</v>
      </c>
      <c r="G1318">
        <v>1307.6488036999999</v>
      </c>
      <c r="H1318">
        <v>1297.1950684000001</v>
      </c>
      <c r="I1318">
        <v>1393.0347899999999</v>
      </c>
      <c r="J1318">
        <v>1373.4787598</v>
      </c>
      <c r="K1318">
        <v>0</v>
      </c>
      <c r="L1318">
        <v>2050</v>
      </c>
      <c r="M1318">
        <v>2050</v>
      </c>
      <c r="N1318">
        <v>0</v>
      </c>
    </row>
    <row r="1319" spans="1:14" x14ac:dyDescent="0.25">
      <c r="A1319">
        <v>884.21747800000003</v>
      </c>
      <c r="B1319" s="1">
        <f>DATE(2012,10,1) + TIME(5,13,10)</f>
        <v>41183.217476851853</v>
      </c>
      <c r="C1319">
        <v>80</v>
      </c>
      <c r="D1319">
        <v>79.912109375</v>
      </c>
      <c r="E1319">
        <v>50</v>
      </c>
      <c r="F1319">
        <v>42.540039061999998</v>
      </c>
      <c r="G1319">
        <v>1307.4564209</v>
      </c>
      <c r="H1319">
        <v>1297.0015868999999</v>
      </c>
      <c r="I1319">
        <v>1392.8454589999999</v>
      </c>
      <c r="J1319">
        <v>1373.4534911999999</v>
      </c>
      <c r="K1319">
        <v>0</v>
      </c>
      <c r="L1319">
        <v>2050</v>
      </c>
      <c r="M1319">
        <v>2050</v>
      </c>
      <c r="N1319">
        <v>0</v>
      </c>
    </row>
    <row r="1320" spans="1:14" x14ac:dyDescent="0.25">
      <c r="A1320">
        <v>884.28670699999998</v>
      </c>
      <c r="B1320" s="1">
        <f>DATE(2012,10,1) + TIME(6,52,51)</f>
        <v>41183.28670138889</v>
      </c>
      <c r="C1320">
        <v>80</v>
      </c>
      <c r="D1320">
        <v>79.900650024000001</v>
      </c>
      <c r="E1320">
        <v>50</v>
      </c>
      <c r="F1320">
        <v>43.047233581999997</v>
      </c>
      <c r="G1320">
        <v>1307.4044189000001</v>
      </c>
      <c r="H1320">
        <v>1296.9489745999999</v>
      </c>
      <c r="I1320">
        <v>1392.5787353999999</v>
      </c>
      <c r="J1320">
        <v>1373.3463135</v>
      </c>
      <c r="K1320">
        <v>0</v>
      </c>
      <c r="L1320">
        <v>2050</v>
      </c>
      <c r="M1320">
        <v>2050</v>
      </c>
      <c r="N1320">
        <v>0</v>
      </c>
    </row>
    <row r="1321" spans="1:14" x14ac:dyDescent="0.25">
      <c r="A1321">
        <v>884.35957599999995</v>
      </c>
      <c r="B1321" s="1">
        <f>DATE(2012,10,1) + TIME(8,37,47)</f>
        <v>41183.359571759262</v>
      </c>
      <c r="C1321">
        <v>80</v>
      </c>
      <c r="D1321">
        <v>79.888816833000007</v>
      </c>
      <c r="E1321">
        <v>50</v>
      </c>
      <c r="F1321">
        <v>43.543350220000001</v>
      </c>
      <c r="G1321">
        <v>1307.3879394999999</v>
      </c>
      <c r="H1321">
        <v>1296.9321289</v>
      </c>
      <c r="I1321">
        <v>1392.3132324000001</v>
      </c>
      <c r="J1321">
        <v>1373.2348632999999</v>
      </c>
      <c r="K1321">
        <v>0</v>
      </c>
      <c r="L1321">
        <v>2050</v>
      </c>
      <c r="M1321">
        <v>2050</v>
      </c>
      <c r="N1321">
        <v>0</v>
      </c>
    </row>
    <row r="1322" spans="1:14" x14ac:dyDescent="0.25">
      <c r="A1322">
        <v>884.43653200000006</v>
      </c>
      <c r="B1322" s="1">
        <f>DATE(2012,10,1) + TIME(10,28,36)</f>
        <v>41183.436527777776</v>
      </c>
      <c r="C1322">
        <v>80</v>
      </c>
      <c r="D1322">
        <v>79.876541137999993</v>
      </c>
      <c r="E1322">
        <v>50</v>
      </c>
      <c r="F1322">
        <v>44.028240203999999</v>
      </c>
      <c r="G1322">
        <v>1307.3813477000001</v>
      </c>
      <c r="H1322">
        <v>1296.9250488</v>
      </c>
      <c r="I1322">
        <v>1392.0579834</v>
      </c>
      <c r="J1322">
        <v>1373.1278076000001</v>
      </c>
      <c r="K1322">
        <v>0</v>
      </c>
      <c r="L1322">
        <v>2050</v>
      </c>
      <c r="M1322">
        <v>2050</v>
      </c>
      <c r="N1322">
        <v>0</v>
      </c>
    </row>
    <row r="1323" spans="1:14" x14ac:dyDescent="0.25">
      <c r="A1323">
        <v>884.51810799999998</v>
      </c>
      <c r="B1323" s="1">
        <f>DATE(2012,10,1) + TIME(12,26,4)</f>
        <v>41183.518101851849</v>
      </c>
      <c r="C1323">
        <v>80</v>
      </c>
      <c r="D1323">
        <v>79.863761901999993</v>
      </c>
      <c r="E1323">
        <v>50</v>
      </c>
      <c r="F1323">
        <v>44.501712799000003</v>
      </c>
      <c r="G1323">
        <v>1307.3774414</v>
      </c>
      <c r="H1323">
        <v>1296.9207764</v>
      </c>
      <c r="I1323">
        <v>1391.8117675999999</v>
      </c>
      <c r="J1323">
        <v>1373.0242920000001</v>
      </c>
      <c r="K1323">
        <v>0</v>
      </c>
      <c r="L1323">
        <v>2050</v>
      </c>
      <c r="M1323">
        <v>2050</v>
      </c>
      <c r="N1323">
        <v>0</v>
      </c>
    </row>
    <row r="1324" spans="1:14" x14ac:dyDescent="0.25">
      <c r="A1324">
        <v>884.60494000000006</v>
      </c>
      <c r="B1324" s="1">
        <f>DATE(2012,10,1) + TIME(14,31,6)</f>
        <v>41183.604930555557</v>
      </c>
      <c r="C1324">
        <v>80</v>
      </c>
      <c r="D1324">
        <v>79.850418090999995</v>
      </c>
      <c r="E1324">
        <v>50</v>
      </c>
      <c r="F1324">
        <v>44.96352005</v>
      </c>
      <c r="G1324">
        <v>1307.3743896000001</v>
      </c>
      <c r="H1324">
        <v>1296.9172363</v>
      </c>
      <c r="I1324">
        <v>1391.5736084</v>
      </c>
      <c r="J1324">
        <v>1372.9233397999999</v>
      </c>
      <c r="K1324">
        <v>0</v>
      </c>
      <c r="L1324">
        <v>2050</v>
      </c>
      <c r="M1324">
        <v>2050</v>
      </c>
      <c r="N1324">
        <v>0</v>
      </c>
    </row>
    <row r="1325" spans="1:14" x14ac:dyDescent="0.25">
      <c r="A1325">
        <v>884.69780400000002</v>
      </c>
      <c r="B1325" s="1">
        <f>DATE(2012,10,1) + TIME(16,44,50)</f>
        <v>41183.697800925926</v>
      </c>
      <c r="C1325">
        <v>80</v>
      </c>
      <c r="D1325">
        <v>79.836425781000003</v>
      </c>
      <c r="E1325">
        <v>50</v>
      </c>
      <c r="F1325">
        <v>45.413352965999998</v>
      </c>
      <c r="G1325">
        <v>1307.3713379000001</v>
      </c>
      <c r="H1325">
        <v>1296.9136963000001</v>
      </c>
      <c r="I1325">
        <v>1391.3422852000001</v>
      </c>
      <c r="J1325">
        <v>1372.8242187999999</v>
      </c>
      <c r="K1325">
        <v>0</v>
      </c>
      <c r="L1325">
        <v>2050</v>
      </c>
      <c r="M1325">
        <v>2050</v>
      </c>
      <c r="N1325">
        <v>0</v>
      </c>
    </row>
    <row r="1326" spans="1:14" x14ac:dyDescent="0.25">
      <c r="A1326">
        <v>884.79764699999998</v>
      </c>
      <c r="B1326" s="1">
        <f>DATE(2012,10,1) + TIME(19,8,36)</f>
        <v>41183.797638888886</v>
      </c>
      <c r="C1326">
        <v>80</v>
      </c>
      <c r="D1326">
        <v>79.821670531999999</v>
      </c>
      <c r="E1326">
        <v>50</v>
      </c>
      <c r="F1326">
        <v>45.850837708</v>
      </c>
      <c r="G1326">
        <v>1307.3682861</v>
      </c>
      <c r="H1326">
        <v>1296.9100341999999</v>
      </c>
      <c r="I1326">
        <v>1391.1176757999999</v>
      </c>
      <c r="J1326">
        <v>1372.7264404</v>
      </c>
      <c r="K1326">
        <v>0</v>
      </c>
      <c r="L1326">
        <v>2050</v>
      </c>
      <c r="M1326">
        <v>2050</v>
      </c>
      <c r="N1326">
        <v>0</v>
      </c>
    </row>
    <row r="1327" spans="1:14" x14ac:dyDescent="0.25">
      <c r="A1327">
        <v>884.90565100000003</v>
      </c>
      <c r="B1327" s="1">
        <f>DATE(2012,10,1) + TIME(21,44,8)</f>
        <v>41183.905648148146</v>
      </c>
      <c r="C1327">
        <v>80</v>
      </c>
      <c r="D1327">
        <v>79.806030273000005</v>
      </c>
      <c r="E1327">
        <v>50</v>
      </c>
      <c r="F1327">
        <v>46.275501251000001</v>
      </c>
      <c r="G1327">
        <v>1307.3648682</v>
      </c>
      <c r="H1327">
        <v>1296.9061279</v>
      </c>
      <c r="I1327">
        <v>1390.8990478999999</v>
      </c>
      <c r="J1327">
        <v>1372.6296387</v>
      </c>
      <c r="K1327">
        <v>0</v>
      </c>
      <c r="L1327">
        <v>2050</v>
      </c>
      <c r="M1327">
        <v>2050</v>
      </c>
      <c r="N1327">
        <v>0</v>
      </c>
    </row>
    <row r="1328" spans="1:14" x14ac:dyDescent="0.25">
      <c r="A1328">
        <v>885.02330300000006</v>
      </c>
      <c r="B1328" s="1">
        <f>DATE(2012,10,2) + TIME(0,33,33)</f>
        <v>41184.023298611108</v>
      </c>
      <c r="C1328">
        <v>80</v>
      </c>
      <c r="D1328">
        <v>79.789352417000003</v>
      </c>
      <c r="E1328">
        <v>50</v>
      </c>
      <c r="F1328">
        <v>46.686744689999998</v>
      </c>
      <c r="G1328">
        <v>1307.3612060999999</v>
      </c>
      <c r="H1328">
        <v>1296.9019774999999</v>
      </c>
      <c r="I1328">
        <v>1390.6860352000001</v>
      </c>
      <c r="J1328">
        <v>1372.5335693</v>
      </c>
      <c r="K1328">
        <v>0</v>
      </c>
      <c r="L1328">
        <v>2050</v>
      </c>
      <c r="M1328">
        <v>2050</v>
      </c>
      <c r="N1328">
        <v>0</v>
      </c>
    </row>
    <row r="1329" spans="1:14" x14ac:dyDescent="0.25">
      <c r="A1329">
        <v>885.152511</v>
      </c>
      <c r="B1329" s="1">
        <f>DATE(2012,10,2) + TIME(3,39,36)</f>
        <v>41184.152499999997</v>
      </c>
      <c r="C1329">
        <v>80</v>
      </c>
      <c r="D1329">
        <v>79.771430968999994</v>
      </c>
      <c r="E1329">
        <v>50</v>
      </c>
      <c r="F1329">
        <v>47.083816528</v>
      </c>
      <c r="G1329">
        <v>1307.3572998</v>
      </c>
      <c r="H1329">
        <v>1296.8974608999999</v>
      </c>
      <c r="I1329">
        <v>1390.4783935999999</v>
      </c>
      <c r="J1329">
        <v>1372.4377440999999</v>
      </c>
      <c r="K1329">
        <v>0</v>
      </c>
      <c r="L1329">
        <v>2050</v>
      </c>
      <c r="M1329">
        <v>2050</v>
      </c>
      <c r="N1329">
        <v>0</v>
      </c>
    </row>
    <row r="1330" spans="1:14" x14ac:dyDescent="0.25">
      <c r="A1330">
        <v>885.29582800000003</v>
      </c>
      <c r="B1330" s="1">
        <f>DATE(2012,10,2) + TIME(7,5,59)</f>
        <v>41184.29582175926</v>
      </c>
      <c r="C1330">
        <v>80</v>
      </c>
      <c r="D1330">
        <v>79.752021790000001</v>
      </c>
      <c r="E1330">
        <v>50</v>
      </c>
      <c r="F1330">
        <v>47.465896606000001</v>
      </c>
      <c r="G1330">
        <v>1307.3530272999999</v>
      </c>
      <c r="H1330">
        <v>1296.8924560999999</v>
      </c>
      <c r="I1330">
        <v>1390.2755127</v>
      </c>
      <c r="J1330">
        <v>1372.3417969</v>
      </c>
      <c r="K1330">
        <v>0</v>
      </c>
      <c r="L1330">
        <v>2050</v>
      </c>
      <c r="M1330">
        <v>2050</v>
      </c>
      <c r="N1330">
        <v>0</v>
      </c>
    </row>
    <row r="1331" spans="1:14" x14ac:dyDescent="0.25">
      <c r="A1331">
        <v>885.45667600000002</v>
      </c>
      <c r="B1331" s="1">
        <f>DATE(2012,10,2) + TIME(10,57,36)</f>
        <v>41184.456666666665</v>
      </c>
      <c r="C1331">
        <v>80</v>
      </c>
      <c r="D1331">
        <v>79.730773925999998</v>
      </c>
      <c r="E1331">
        <v>50</v>
      </c>
      <c r="F1331">
        <v>47.831886292</v>
      </c>
      <c r="G1331">
        <v>1307.3481445</v>
      </c>
      <c r="H1331">
        <v>1296.8869629000001</v>
      </c>
      <c r="I1331">
        <v>1390.0771483999999</v>
      </c>
      <c r="J1331">
        <v>1372.2453613</v>
      </c>
      <c r="K1331">
        <v>0</v>
      </c>
      <c r="L1331">
        <v>2050</v>
      </c>
      <c r="M1331">
        <v>2050</v>
      </c>
      <c r="N1331">
        <v>0</v>
      </c>
    </row>
    <row r="1332" spans="1:14" x14ac:dyDescent="0.25">
      <c r="A1332">
        <v>885.63981999999999</v>
      </c>
      <c r="B1332" s="1">
        <f>DATE(2012,10,2) + TIME(15,21,20)</f>
        <v>41184.639814814815</v>
      </c>
      <c r="C1332">
        <v>80</v>
      </c>
      <c r="D1332">
        <v>79.707221985000004</v>
      </c>
      <c r="E1332">
        <v>50</v>
      </c>
      <c r="F1332">
        <v>48.180381775000001</v>
      </c>
      <c r="G1332">
        <v>1307.3427733999999</v>
      </c>
      <c r="H1332">
        <v>1296.8807373</v>
      </c>
      <c r="I1332">
        <v>1389.8825684000001</v>
      </c>
      <c r="J1332">
        <v>1372.1477050999999</v>
      </c>
      <c r="K1332">
        <v>0</v>
      </c>
      <c r="L1332">
        <v>2050</v>
      </c>
      <c r="M1332">
        <v>2050</v>
      </c>
      <c r="N1332">
        <v>0</v>
      </c>
    </row>
    <row r="1333" spans="1:14" x14ac:dyDescent="0.25">
      <c r="A1333">
        <v>885.85214099999996</v>
      </c>
      <c r="B1333" s="1">
        <f>DATE(2012,10,2) + TIME(20,27,4)</f>
        <v>41184.852129629631</v>
      </c>
      <c r="C1333">
        <v>80</v>
      </c>
      <c r="D1333">
        <v>79.680740356000001</v>
      </c>
      <c r="E1333">
        <v>50</v>
      </c>
      <c r="F1333">
        <v>48.509601592999999</v>
      </c>
      <c r="G1333">
        <v>1307.3367920000001</v>
      </c>
      <c r="H1333">
        <v>1296.8737793</v>
      </c>
      <c r="I1333">
        <v>1389.6914062000001</v>
      </c>
      <c r="J1333">
        <v>1372.0479736</v>
      </c>
      <c r="K1333">
        <v>0</v>
      </c>
      <c r="L1333">
        <v>2050</v>
      </c>
      <c r="M1333">
        <v>2050</v>
      </c>
      <c r="N1333">
        <v>0</v>
      </c>
    </row>
    <row r="1334" spans="1:14" x14ac:dyDescent="0.25">
      <c r="A1334">
        <v>886.09692500000006</v>
      </c>
      <c r="B1334" s="1">
        <f>DATE(2012,10,3) + TIME(2,19,34)</f>
        <v>41185.096921296295</v>
      </c>
      <c r="C1334">
        <v>80</v>
      </c>
      <c r="D1334">
        <v>79.651069641000007</v>
      </c>
      <c r="E1334">
        <v>50</v>
      </c>
      <c r="F1334">
        <v>48.810321807999998</v>
      </c>
      <c r="G1334">
        <v>1307.3297118999999</v>
      </c>
      <c r="H1334">
        <v>1296.8657227000001</v>
      </c>
      <c r="I1334">
        <v>1389.5068358999999</v>
      </c>
      <c r="J1334">
        <v>1371.9471435999999</v>
      </c>
      <c r="K1334">
        <v>0</v>
      </c>
      <c r="L1334">
        <v>2050</v>
      </c>
      <c r="M1334">
        <v>2050</v>
      </c>
      <c r="N1334">
        <v>0</v>
      </c>
    </row>
    <row r="1335" spans="1:14" x14ac:dyDescent="0.25">
      <c r="A1335">
        <v>886.34190599999999</v>
      </c>
      <c r="B1335" s="1">
        <f>DATE(2012,10,3) + TIME(8,12,20)</f>
        <v>41185.341898148145</v>
      </c>
      <c r="C1335">
        <v>80</v>
      </c>
      <c r="D1335">
        <v>79.621315002000003</v>
      </c>
      <c r="E1335">
        <v>50</v>
      </c>
      <c r="F1335">
        <v>49.048725128000001</v>
      </c>
      <c r="G1335">
        <v>1307.3215332</v>
      </c>
      <c r="H1335">
        <v>1296.8566894999999</v>
      </c>
      <c r="I1335">
        <v>1389.3460693</v>
      </c>
      <c r="J1335">
        <v>1371.8525391000001</v>
      </c>
      <c r="K1335">
        <v>0</v>
      </c>
      <c r="L1335">
        <v>2050</v>
      </c>
      <c r="M1335">
        <v>2050</v>
      </c>
      <c r="N1335">
        <v>0</v>
      </c>
    </row>
    <row r="1336" spans="1:14" x14ac:dyDescent="0.25">
      <c r="A1336">
        <v>886.59273900000005</v>
      </c>
      <c r="B1336" s="1">
        <f>DATE(2012,10,3) + TIME(14,13,32)</f>
        <v>41185.592731481483</v>
      </c>
      <c r="C1336">
        <v>80</v>
      </c>
      <c r="D1336">
        <v>79.590980529999996</v>
      </c>
      <c r="E1336">
        <v>50</v>
      </c>
      <c r="F1336">
        <v>49.241119384999998</v>
      </c>
      <c r="G1336">
        <v>1307.3133545000001</v>
      </c>
      <c r="H1336">
        <v>1296.8476562000001</v>
      </c>
      <c r="I1336">
        <v>1389.2052002</v>
      </c>
      <c r="J1336">
        <v>1371.7662353999999</v>
      </c>
      <c r="K1336">
        <v>0</v>
      </c>
      <c r="L1336">
        <v>2050</v>
      </c>
      <c r="M1336">
        <v>2050</v>
      </c>
      <c r="N1336">
        <v>0</v>
      </c>
    </row>
    <row r="1337" spans="1:14" x14ac:dyDescent="0.25">
      <c r="A1337">
        <v>886.85176300000001</v>
      </c>
      <c r="B1337" s="1">
        <f>DATE(2012,10,3) + TIME(20,26,32)</f>
        <v>41185.851759259262</v>
      </c>
      <c r="C1337">
        <v>80</v>
      </c>
      <c r="D1337">
        <v>79.559867858999993</v>
      </c>
      <c r="E1337">
        <v>50</v>
      </c>
      <c r="F1337">
        <v>49.396652222</v>
      </c>
      <c r="G1337">
        <v>1307.3050536999999</v>
      </c>
      <c r="H1337">
        <v>1296.8383789</v>
      </c>
      <c r="I1337">
        <v>1389.0798339999999</v>
      </c>
      <c r="J1337">
        <v>1371.6860352000001</v>
      </c>
      <c r="K1337">
        <v>0</v>
      </c>
      <c r="L1337">
        <v>2050</v>
      </c>
      <c r="M1337">
        <v>2050</v>
      </c>
      <c r="N1337">
        <v>0</v>
      </c>
    </row>
    <row r="1338" spans="1:14" x14ac:dyDescent="0.25">
      <c r="A1338">
        <v>887.12165000000005</v>
      </c>
      <c r="B1338" s="1">
        <f>DATE(2012,10,4) + TIME(2,55,10)</f>
        <v>41186.12164351852</v>
      </c>
      <c r="C1338">
        <v>80</v>
      </c>
      <c r="D1338">
        <v>79.527732849000003</v>
      </c>
      <c r="E1338">
        <v>50</v>
      </c>
      <c r="F1338">
        <v>49.522392273000001</v>
      </c>
      <c r="G1338">
        <v>1307.2965088000001</v>
      </c>
      <c r="H1338">
        <v>1296.8288574000001</v>
      </c>
      <c r="I1338">
        <v>1388.9667969</v>
      </c>
      <c r="J1338">
        <v>1371.6104736</v>
      </c>
      <c r="K1338">
        <v>0</v>
      </c>
      <c r="L1338">
        <v>2050</v>
      </c>
      <c r="M1338">
        <v>2050</v>
      </c>
      <c r="N1338">
        <v>0</v>
      </c>
    </row>
    <row r="1339" spans="1:14" x14ac:dyDescent="0.25">
      <c r="A1339">
        <v>887.40529500000002</v>
      </c>
      <c r="B1339" s="1">
        <f>DATE(2012,10,4) + TIME(9,43,37)</f>
        <v>41186.405289351853</v>
      </c>
      <c r="C1339">
        <v>80</v>
      </c>
      <c r="D1339">
        <v>79.494323730000005</v>
      </c>
      <c r="E1339">
        <v>50</v>
      </c>
      <c r="F1339">
        <v>49.623802185000002</v>
      </c>
      <c r="G1339">
        <v>1307.2875977000001</v>
      </c>
      <c r="H1339">
        <v>1296.8189697</v>
      </c>
      <c r="I1339">
        <v>1388.8634033000001</v>
      </c>
      <c r="J1339">
        <v>1371.5385742000001</v>
      </c>
      <c r="K1339">
        <v>0</v>
      </c>
      <c r="L1339">
        <v>2050</v>
      </c>
      <c r="M1339">
        <v>2050</v>
      </c>
      <c r="N1339">
        <v>0</v>
      </c>
    </row>
    <row r="1340" spans="1:14" x14ac:dyDescent="0.25">
      <c r="A1340">
        <v>887.70601999999997</v>
      </c>
      <c r="B1340" s="1">
        <f>DATE(2012,10,4) + TIME(16,56,40)</f>
        <v>41186.706018518518</v>
      </c>
      <c r="C1340">
        <v>80</v>
      </c>
      <c r="D1340">
        <v>79.459327697999996</v>
      </c>
      <c r="E1340">
        <v>50</v>
      </c>
      <c r="F1340">
        <v>49.705207825000002</v>
      </c>
      <c r="G1340">
        <v>1307.2784423999999</v>
      </c>
      <c r="H1340">
        <v>1296.8085937999999</v>
      </c>
      <c r="I1340">
        <v>1388.7677002</v>
      </c>
      <c r="J1340">
        <v>1371.4694824000001</v>
      </c>
      <c r="K1340">
        <v>0</v>
      </c>
      <c r="L1340">
        <v>2050</v>
      </c>
      <c r="M1340">
        <v>2050</v>
      </c>
      <c r="N1340">
        <v>0</v>
      </c>
    </row>
    <row r="1341" spans="1:14" x14ac:dyDescent="0.25">
      <c r="A1341">
        <v>888.02775899999995</v>
      </c>
      <c r="B1341" s="1">
        <f>DATE(2012,10,5) + TIME(0,39,58)</f>
        <v>41187.027754629627</v>
      </c>
      <c r="C1341">
        <v>80</v>
      </c>
      <c r="D1341">
        <v>79.422401428000001</v>
      </c>
      <c r="E1341">
        <v>50</v>
      </c>
      <c r="F1341">
        <v>49.770088196000003</v>
      </c>
      <c r="G1341">
        <v>1307.2686768000001</v>
      </c>
      <c r="H1341">
        <v>1296.7976074000001</v>
      </c>
      <c r="I1341">
        <v>1388.6779785000001</v>
      </c>
      <c r="J1341">
        <v>1371.4023437999999</v>
      </c>
      <c r="K1341">
        <v>0</v>
      </c>
      <c r="L1341">
        <v>2050</v>
      </c>
      <c r="M1341">
        <v>2050</v>
      </c>
      <c r="N1341">
        <v>0</v>
      </c>
    </row>
    <row r="1342" spans="1:14" x14ac:dyDescent="0.25">
      <c r="A1342">
        <v>888.37541499999998</v>
      </c>
      <c r="B1342" s="1">
        <f>DATE(2012,10,5) + TIME(9,0,35)</f>
        <v>41187.375405092593</v>
      </c>
      <c r="C1342">
        <v>80</v>
      </c>
      <c r="D1342">
        <v>79.383110045999999</v>
      </c>
      <c r="E1342">
        <v>50</v>
      </c>
      <c r="F1342">
        <v>49.821315765000001</v>
      </c>
      <c r="G1342">
        <v>1307.2581786999999</v>
      </c>
      <c r="H1342">
        <v>1296.7858887</v>
      </c>
      <c r="I1342">
        <v>1388.5927733999999</v>
      </c>
      <c r="J1342">
        <v>1371.3363036999999</v>
      </c>
      <c r="K1342">
        <v>0</v>
      </c>
      <c r="L1342">
        <v>2050</v>
      </c>
      <c r="M1342">
        <v>2050</v>
      </c>
      <c r="N1342">
        <v>0</v>
      </c>
    </row>
    <row r="1343" spans="1:14" x14ac:dyDescent="0.25">
      <c r="A1343">
        <v>888.75091399999997</v>
      </c>
      <c r="B1343" s="1">
        <f>DATE(2012,10,5) + TIME(18,1,19)</f>
        <v>41187.750914351855</v>
      </c>
      <c r="C1343">
        <v>80</v>
      </c>
      <c r="D1343">
        <v>79.341270446999999</v>
      </c>
      <c r="E1343">
        <v>50</v>
      </c>
      <c r="F1343">
        <v>49.860942841000004</v>
      </c>
      <c r="G1343">
        <v>1307.2469481999999</v>
      </c>
      <c r="H1343">
        <v>1296.7733154</v>
      </c>
      <c r="I1343">
        <v>1388.5107422000001</v>
      </c>
      <c r="J1343">
        <v>1371.270874</v>
      </c>
      <c r="K1343">
        <v>0</v>
      </c>
      <c r="L1343">
        <v>2050</v>
      </c>
      <c r="M1343">
        <v>2050</v>
      </c>
      <c r="N1343">
        <v>0</v>
      </c>
    </row>
    <row r="1344" spans="1:14" x14ac:dyDescent="0.25">
      <c r="A1344">
        <v>889.156611</v>
      </c>
      <c r="B1344" s="1">
        <f>DATE(2012,10,6) + TIME(3,45,31)</f>
        <v>41188.156608796293</v>
      </c>
      <c r="C1344">
        <v>80</v>
      </c>
      <c r="D1344">
        <v>79.296653747999997</v>
      </c>
      <c r="E1344">
        <v>50</v>
      </c>
      <c r="F1344">
        <v>49.890972136999999</v>
      </c>
      <c r="G1344">
        <v>1307.2348632999999</v>
      </c>
      <c r="H1344">
        <v>1296.7598877</v>
      </c>
      <c r="I1344">
        <v>1388.4312743999999</v>
      </c>
      <c r="J1344">
        <v>1371.2058105000001</v>
      </c>
      <c r="K1344">
        <v>0</v>
      </c>
      <c r="L1344">
        <v>2050</v>
      </c>
      <c r="M1344">
        <v>2050</v>
      </c>
      <c r="N1344">
        <v>0</v>
      </c>
    </row>
    <row r="1345" spans="1:14" x14ac:dyDescent="0.25">
      <c r="A1345">
        <v>889.59976800000004</v>
      </c>
      <c r="B1345" s="1">
        <f>DATE(2012,10,6) + TIME(14,23,39)</f>
        <v>41188.599756944444</v>
      </c>
      <c r="C1345">
        <v>80</v>
      </c>
      <c r="D1345">
        <v>79.248687743999994</v>
      </c>
      <c r="E1345">
        <v>50</v>
      </c>
      <c r="F1345">
        <v>49.913421630999999</v>
      </c>
      <c r="G1345">
        <v>1307.2219238</v>
      </c>
      <c r="H1345">
        <v>1296.7452393000001</v>
      </c>
      <c r="I1345">
        <v>1388.3537598</v>
      </c>
      <c r="J1345">
        <v>1371.1408690999999</v>
      </c>
      <c r="K1345">
        <v>0</v>
      </c>
      <c r="L1345">
        <v>2050</v>
      </c>
      <c r="M1345">
        <v>2050</v>
      </c>
      <c r="N1345">
        <v>0</v>
      </c>
    </row>
    <row r="1346" spans="1:14" x14ac:dyDescent="0.25">
      <c r="A1346">
        <v>890.089383</v>
      </c>
      <c r="B1346" s="1">
        <f>DATE(2012,10,7) + TIME(2,8,42)</f>
        <v>41189.089375000003</v>
      </c>
      <c r="C1346">
        <v>80</v>
      </c>
      <c r="D1346">
        <v>79.196640015</v>
      </c>
      <c r="E1346">
        <v>50</v>
      </c>
      <c r="F1346">
        <v>49.929908752000003</v>
      </c>
      <c r="G1346">
        <v>1307.2076416</v>
      </c>
      <c r="H1346">
        <v>1296.7293701000001</v>
      </c>
      <c r="I1346">
        <v>1388.2768555</v>
      </c>
      <c r="J1346">
        <v>1371.0755615</v>
      </c>
      <c r="K1346">
        <v>0</v>
      </c>
      <c r="L1346">
        <v>2050</v>
      </c>
      <c r="M1346">
        <v>2050</v>
      </c>
      <c r="N1346">
        <v>0</v>
      </c>
    </row>
    <row r="1347" spans="1:14" x14ac:dyDescent="0.25">
      <c r="A1347">
        <v>890.60330399999998</v>
      </c>
      <c r="B1347" s="1">
        <f>DATE(2012,10,7) + TIME(14,28,45)</f>
        <v>41189.603298611109</v>
      </c>
      <c r="C1347">
        <v>80</v>
      </c>
      <c r="D1347">
        <v>79.141921996999997</v>
      </c>
      <c r="E1347">
        <v>50</v>
      </c>
      <c r="F1347">
        <v>49.941276549999998</v>
      </c>
      <c r="G1347">
        <v>1307.1920166</v>
      </c>
      <c r="H1347">
        <v>1296.7119141000001</v>
      </c>
      <c r="I1347">
        <v>1388.1998291</v>
      </c>
      <c r="J1347">
        <v>1371.0089111</v>
      </c>
      <c r="K1347">
        <v>0</v>
      </c>
      <c r="L1347">
        <v>2050</v>
      </c>
      <c r="M1347">
        <v>2050</v>
      </c>
      <c r="N1347">
        <v>0</v>
      </c>
    </row>
    <row r="1348" spans="1:14" x14ac:dyDescent="0.25">
      <c r="A1348">
        <v>891.12897299999997</v>
      </c>
      <c r="B1348" s="1">
        <f>DATE(2012,10,8) + TIME(3,5,43)</f>
        <v>41190.128969907404</v>
      </c>
      <c r="C1348">
        <v>80</v>
      </c>
      <c r="D1348">
        <v>79.085571289000001</v>
      </c>
      <c r="E1348">
        <v>50</v>
      </c>
      <c r="F1348">
        <v>49.94890213</v>
      </c>
      <c r="G1348">
        <v>1307.1755370999999</v>
      </c>
      <c r="H1348">
        <v>1296.6937256000001</v>
      </c>
      <c r="I1348">
        <v>1388.1256103999999</v>
      </c>
      <c r="J1348">
        <v>1370.9443358999999</v>
      </c>
      <c r="K1348">
        <v>0</v>
      </c>
      <c r="L1348">
        <v>2050</v>
      </c>
      <c r="M1348">
        <v>2050</v>
      </c>
      <c r="N1348">
        <v>0</v>
      </c>
    </row>
    <row r="1349" spans="1:14" x14ac:dyDescent="0.25">
      <c r="A1349">
        <v>891.67389200000002</v>
      </c>
      <c r="B1349" s="1">
        <f>DATE(2012,10,8) + TIME(16,10,24)</f>
        <v>41190.673888888887</v>
      </c>
      <c r="C1349">
        <v>80</v>
      </c>
      <c r="D1349">
        <v>79.027351378999995</v>
      </c>
      <c r="E1349">
        <v>50</v>
      </c>
      <c r="F1349">
        <v>49.954055785999998</v>
      </c>
      <c r="G1349">
        <v>1307.1586914</v>
      </c>
      <c r="H1349">
        <v>1296.6750488</v>
      </c>
      <c r="I1349">
        <v>1388.0556641000001</v>
      </c>
      <c r="J1349">
        <v>1370.8831786999999</v>
      </c>
      <c r="K1349">
        <v>0</v>
      </c>
      <c r="L1349">
        <v>2050</v>
      </c>
      <c r="M1349">
        <v>2050</v>
      </c>
      <c r="N1349">
        <v>0</v>
      </c>
    </row>
    <row r="1350" spans="1:14" x14ac:dyDescent="0.25">
      <c r="A1350">
        <v>892.23652300000003</v>
      </c>
      <c r="B1350" s="1">
        <f>DATE(2012,10,9) + TIME(5,40,35)</f>
        <v>41191.236516203702</v>
      </c>
      <c r="C1350">
        <v>80</v>
      </c>
      <c r="D1350">
        <v>78.967498778999996</v>
      </c>
      <c r="E1350">
        <v>50</v>
      </c>
      <c r="F1350">
        <v>49.957519531000003</v>
      </c>
      <c r="G1350">
        <v>1307.1412353999999</v>
      </c>
      <c r="H1350">
        <v>1296.6556396000001</v>
      </c>
      <c r="I1350">
        <v>1387.9881591999999</v>
      </c>
      <c r="J1350">
        <v>1370.8240966999999</v>
      </c>
      <c r="K1350">
        <v>0</v>
      </c>
      <c r="L1350">
        <v>2050</v>
      </c>
      <c r="M1350">
        <v>2050</v>
      </c>
      <c r="N1350">
        <v>0</v>
      </c>
    </row>
    <row r="1351" spans="1:14" x14ac:dyDescent="0.25">
      <c r="A1351">
        <v>892.81915600000002</v>
      </c>
      <c r="B1351" s="1">
        <f>DATE(2012,10,9) + TIME(19,39,35)</f>
        <v>41191.819155092591</v>
      </c>
      <c r="C1351">
        <v>80</v>
      </c>
      <c r="D1351">
        <v>78.905952454000001</v>
      </c>
      <c r="E1351">
        <v>50</v>
      </c>
      <c r="F1351">
        <v>49.959854126000003</v>
      </c>
      <c r="G1351">
        <v>1307.1234131000001</v>
      </c>
      <c r="H1351">
        <v>1296.6356201000001</v>
      </c>
      <c r="I1351">
        <v>1387.9233397999999</v>
      </c>
      <c r="J1351">
        <v>1370.7670897999999</v>
      </c>
      <c r="K1351">
        <v>0</v>
      </c>
      <c r="L1351">
        <v>2050</v>
      </c>
      <c r="M1351">
        <v>2050</v>
      </c>
      <c r="N1351">
        <v>0</v>
      </c>
    </row>
    <row r="1352" spans="1:14" x14ac:dyDescent="0.25">
      <c r="A1352">
        <v>893.42814199999998</v>
      </c>
      <c r="B1352" s="1">
        <f>DATE(2012,10,10) + TIME(10,16,31)</f>
        <v>41192.428136574075</v>
      </c>
      <c r="C1352">
        <v>80</v>
      </c>
      <c r="D1352">
        <v>78.842369079999997</v>
      </c>
      <c r="E1352">
        <v>50</v>
      </c>
      <c r="F1352">
        <v>49.961444855000003</v>
      </c>
      <c r="G1352">
        <v>1307.1048584</v>
      </c>
      <c r="H1352">
        <v>1296.6149902</v>
      </c>
      <c r="I1352">
        <v>1387.8604736</v>
      </c>
      <c r="J1352">
        <v>1370.7120361</v>
      </c>
      <c r="K1352">
        <v>0</v>
      </c>
      <c r="L1352">
        <v>2050</v>
      </c>
      <c r="M1352">
        <v>2050</v>
      </c>
      <c r="N1352">
        <v>0</v>
      </c>
    </row>
    <row r="1353" spans="1:14" x14ac:dyDescent="0.25">
      <c r="A1353">
        <v>894.07051300000001</v>
      </c>
      <c r="B1353" s="1">
        <f>DATE(2012,10,11) + TIME(1,41,32)</f>
        <v>41193.070509259262</v>
      </c>
      <c r="C1353">
        <v>80</v>
      </c>
      <c r="D1353">
        <v>78.776260375999996</v>
      </c>
      <c r="E1353">
        <v>50</v>
      </c>
      <c r="F1353">
        <v>49.962532043000003</v>
      </c>
      <c r="G1353">
        <v>1307.0855713000001</v>
      </c>
      <c r="H1353">
        <v>1296.5933838000001</v>
      </c>
      <c r="I1353">
        <v>1387.7988281</v>
      </c>
      <c r="J1353">
        <v>1370.6580810999999</v>
      </c>
      <c r="K1353">
        <v>0</v>
      </c>
      <c r="L1353">
        <v>2050</v>
      </c>
      <c r="M1353">
        <v>2050</v>
      </c>
      <c r="N1353">
        <v>0</v>
      </c>
    </row>
    <row r="1354" spans="1:14" x14ac:dyDescent="0.25">
      <c r="A1354">
        <v>894.75449700000001</v>
      </c>
      <c r="B1354" s="1">
        <f>DATE(2012,10,11) + TIME(18,6,28)</f>
        <v>41193.754490740743</v>
      </c>
      <c r="C1354">
        <v>80</v>
      </c>
      <c r="D1354">
        <v>78.70703125</v>
      </c>
      <c r="E1354">
        <v>50</v>
      </c>
      <c r="F1354">
        <v>49.963283539000003</v>
      </c>
      <c r="G1354">
        <v>1307.0651855000001</v>
      </c>
      <c r="H1354">
        <v>1296.5705565999999</v>
      </c>
      <c r="I1354">
        <v>1387.737793</v>
      </c>
      <c r="J1354">
        <v>1370.6047363</v>
      </c>
      <c r="K1354">
        <v>0</v>
      </c>
      <c r="L1354">
        <v>2050</v>
      </c>
      <c r="M1354">
        <v>2050</v>
      </c>
      <c r="N1354">
        <v>0</v>
      </c>
    </row>
    <row r="1355" spans="1:14" x14ac:dyDescent="0.25">
      <c r="A1355">
        <v>895.49043700000004</v>
      </c>
      <c r="B1355" s="1">
        <f>DATE(2012,10,12) + TIME(11,46,13)</f>
        <v>41194.490428240744</v>
      </c>
      <c r="C1355">
        <v>80</v>
      </c>
      <c r="D1355">
        <v>78.633934021000002</v>
      </c>
      <c r="E1355">
        <v>50</v>
      </c>
      <c r="F1355">
        <v>49.963813782000003</v>
      </c>
      <c r="G1355">
        <v>1307.043457</v>
      </c>
      <c r="H1355">
        <v>1296.5462646000001</v>
      </c>
      <c r="I1355">
        <v>1387.6766356999999</v>
      </c>
      <c r="J1355">
        <v>1370.5513916</v>
      </c>
      <c r="K1355">
        <v>0</v>
      </c>
      <c r="L1355">
        <v>2050</v>
      </c>
      <c r="M1355">
        <v>2050</v>
      </c>
      <c r="N1355">
        <v>0</v>
      </c>
    </row>
    <row r="1356" spans="1:14" x14ac:dyDescent="0.25">
      <c r="A1356">
        <v>896.28679599999998</v>
      </c>
      <c r="B1356" s="1">
        <f>DATE(2012,10,13) + TIME(6,52,59)</f>
        <v>41195.286793981482</v>
      </c>
      <c r="C1356">
        <v>80</v>
      </c>
      <c r="D1356">
        <v>78.556266785000005</v>
      </c>
      <c r="E1356">
        <v>50</v>
      </c>
      <c r="F1356">
        <v>49.964187621999997</v>
      </c>
      <c r="G1356">
        <v>1307.0201416</v>
      </c>
      <c r="H1356">
        <v>1296.5201416</v>
      </c>
      <c r="I1356">
        <v>1387.6148682</v>
      </c>
      <c r="J1356">
        <v>1370.4975586</v>
      </c>
      <c r="K1356">
        <v>0</v>
      </c>
      <c r="L1356">
        <v>2050</v>
      </c>
      <c r="M1356">
        <v>2050</v>
      </c>
      <c r="N1356">
        <v>0</v>
      </c>
    </row>
    <row r="1357" spans="1:14" x14ac:dyDescent="0.25">
      <c r="A1357">
        <v>897.09696499999995</v>
      </c>
      <c r="B1357" s="1">
        <f>DATE(2012,10,14) + TIME(2,19,37)</f>
        <v>41196.096956018519</v>
      </c>
      <c r="C1357">
        <v>80</v>
      </c>
      <c r="D1357">
        <v>78.476242064999994</v>
      </c>
      <c r="E1357">
        <v>50</v>
      </c>
      <c r="F1357">
        <v>49.964443207000002</v>
      </c>
      <c r="G1357">
        <v>1306.994751</v>
      </c>
      <c r="H1357">
        <v>1296.4919434000001</v>
      </c>
      <c r="I1357">
        <v>1387.5518798999999</v>
      </c>
      <c r="J1357">
        <v>1370.4428711</v>
      </c>
      <c r="K1357">
        <v>0</v>
      </c>
      <c r="L1357">
        <v>2050</v>
      </c>
      <c r="M1357">
        <v>2050</v>
      </c>
      <c r="N1357">
        <v>0</v>
      </c>
    </row>
    <row r="1358" spans="1:14" x14ac:dyDescent="0.25">
      <c r="A1358">
        <v>897.93040099999996</v>
      </c>
      <c r="B1358" s="1">
        <f>DATE(2012,10,14) + TIME(22,19,46)</f>
        <v>41196.930393518516</v>
      </c>
      <c r="C1358">
        <v>80</v>
      </c>
      <c r="D1358">
        <v>78.394157410000005</v>
      </c>
      <c r="E1358">
        <v>50</v>
      </c>
      <c r="F1358">
        <v>49.964622497999997</v>
      </c>
      <c r="G1358">
        <v>1306.9689940999999</v>
      </c>
      <c r="H1358">
        <v>1296.4631348</v>
      </c>
      <c r="I1358">
        <v>1387.4916992000001</v>
      </c>
      <c r="J1358">
        <v>1370.390625</v>
      </c>
      <c r="K1358">
        <v>0</v>
      </c>
      <c r="L1358">
        <v>2050</v>
      </c>
      <c r="M1358">
        <v>2050</v>
      </c>
      <c r="N1358">
        <v>0</v>
      </c>
    </row>
    <row r="1359" spans="1:14" x14ac:dyDescent="0.25">
      <c r="A1359">
        <v>898.79774799999996</v>
      </c>
      <c r="B1359" s="1">
        <f>DATE(2012,10,15) + TIME(19,8,45)</f>
        <v>41197.797743055555</v>
      </c>
      <c r="C1359">
        <v>80</v>
      </c>
      <c r="D1359">
        <v>78.309738159000005</v>
      </c>
      <c r="E1359">
        <v>50</v>
      </c>
      <c r="F1359">
        <v>49.964752197000003</v>
      </c>
      <c r="G1359">
        <v>1306.9423827999999</v>
      </c>
      <c r="H1359">
        <v>1296.4333495999999</v>
      </c>
      <c r="I1359">
        <v>1387.4333495999999</v>
      </c>
      <c r="J1359">
        <v>1370.3402100000001</v>
      </c>
      <c r="K1359">
        <v>0</v>
      </c>
      <c r="L1359">
        <v>2050</v>
      </c>
      <c r="M1359">
        <v>2050</v>
      </c>
      <c r="N1359">
        <v>0</v>
      </c>
    </row>
    <row r="1360" spans="1:14" x14ac:dyDescent="0.25">
      <c r="A1360">
        <v>899.70490600000005</v>
      </c>
      <c r="B1360" s="1">
        <f>DATE(2012,10,16) + TIME(16,55,3)</f>
        <v>41198.704895833333</v>
      </c>
      <c r="C1360">
        <v>80</v>
      </c>
      <c r="D1360">
        <v>78.222671508999994</v>
      </c>
      <c r="E1360">
        <v>50</v>
      </c>
      <c r="F1360">
        <v>49.964847564999999</v>
      </c>
      <c r="G1360">
        <v>1306.9146728999999</v>
      </c>
      <c r="H1360">
        <v>1296.4022216999999</v>
      </c>
      <c r="I1360">
        <v>1387.3760986</v>
      </c>
      <c r="J1360">
        <v>1370.2907714999999</v>
      </c>
      <c r="K1360">
        <v>0</v>
      </c>
      <c r="L1360">
        <v>2050</v>
      </c>
      <c r="M1360">
        <v>2050</v>
      </c>
      <c r="N1360">
        <v>0</v>
      </c>
    </row>
    <row r="1361" spans="1:14" x14ac:dyDescent="0.25">
      <c r="A1361">
        <v>900.637249</v>
      </c>
      <c r="B1361" s="1">
        <f>DATE(2012,10,17) + TIME(15,17,38)</f>
        <v>41199.637245370373</v>
      </c>
      <c r="C1361">
        <v>80</v>
      </c>
      <c r="D1361">
        <v>78.133575438999998</v>
      </c>
      <c r="E1361">
        <v>50</v>
      </c>
      <c r="F1361">
        <v>49.964920044000003</v>
      </c>
      <c r="G1361">
        <v>1306.8856201000001</v>
      </c>
      <c r="H1361">
        <v>1296.369751</v>
      </c>
      <c r="I1361">
        <v>1387.3193358999999</v>
      </c>
      <c r="J1361">
        <v>1370.2419434000001</v>
      </c>
      <c r="K1361">
        <v>0</v>
      </c>
      <c r="L1361">
        <v>2050</v>
      </c>
      <c r="M1361">
        <v>2050</v>
      </c>
      <c r="N1361">
        <v>0</v>
      </c>
    </row>
    <row r="1362" spans="1:14" x14ac:dyDescent="0.25">
      <c r="A1362">
        <v>901.60512400000005</v>
      </c>
      <c r="B1362" s="1">
        <f>DATE(2012,10,18) + TIME(14,31,22)</f>
        <v>41200.605115740742</v>
      </c>
      <c r="C1362">
        <v>80</v>
      </c>
      <c r="D1362">
        <v>78.042236328000001</v>
      </c>
      <c r="E1362">
        <v>50</v>
      </c>
      <c r="F1362">
        <v>49.964977263999998</v>
      </c>
      <c r="G1362">
        <v>1306.8555908000001</v>
      </c>
      <c r="H1362">
        <v>1296.3360596</v>
      </c>
      <c r="I1362">
        <v>1387.2641602000001</v>
      </c>
      <c r="J1362">
        <v>1370.1945800999999</v>
      </c>
      <c r="K1362">
        <v>0</v>
      </c>
      <c r="L1362">
        <v>2050</v>
      </c>
      <c r="M1362">
        <v>2050</v>
      </c>
      <c r="N1362">
        <v>0</v>
      </c>
    </row>
    <row r="1363" spans="1:14" x14ac:dyDescent="0.25">
      <c r="A1363">
        <v>902.61946399999999</v>
      </c>
      <c r="B1363" s="1">
        <f>DATE(2012,10,19) + TIME(14,52,1)</f>
        <v>41201.619456018518</v>
      </c>
      <c r="C1363">
        <v>80</v>
      </c>
      <c r="D1363">
        <v>77.948112488000007</v>
      </c>
      <c r="E1363">
        <v>50</v>
      </c>
      <c r="F1363">
        <v>49.965023041000002</v>
      </c>
      <c r="G1363">
        <v>1306.8244629000001</v>
      </c>
      <c r="H1363">
        <v>1296.3009033000001</v>
      </c>
      <c r="I1363">
        <v>1387.2098389</v>
      </c>
      <c r="J1363">
        <v>1370.1480713000001</v>
      </c>
      <c r="K1363">
        <v>0</v>
      </c>
      <c r="L1363">
        <v>2050</v>
      </c>
      <c r="M1363">
        <v>2050</v>
      </c>
      <c r="N1363">
        <v>0</v>
      </c>
    </row>
    <row r="1364" spans="1:14" x14ac:dyDescent="0.25">
      <c r="A1364">
        <v>903.69295599999998</v>
      </c>
      <c r="B1364" s="1">
        <f>DATE(2012,10,20) + TIME(16,37,51)</f>
        <v>41202.69295138889</v>
      </c>
      <c r="C1364">
        <v>80</v>
      </c>
      <c r="D1364">
        <v>77.850433350000003</v>
      </c>
      <c r="E1364">
        <v>50</v>
      </c>
      <c r="F1364">
        <v>49.965065002000003</v>
      </c>
      <c r="G1364">
        <v>1306.791626</v>
      </c>
      <c r="H1364">
        <v>1296.2639160000001</v>
      </c>
      <c r="I1364">
        <v>1387.1558838000001</v>
      </c>
      <c r="J1364">
        <v>1370.1019286999999</v>
      </c>
      <c r="K1364">
        <v>0</v>
      </c>
      <c r="L1364">
        <v>2050</v>
      </c>
      <c r="M1364">
        <v>2050</v>
      </c>
      <c r="N1364">
        <v>0</v>
      </c>
    </row>
    <row r="1365" spans="1:14" x14ac:dyDescent="0.25">
      <c r="A1365">
        <v>904.819255</v>
      </c>
      <c r="B1365" s="1">
        <f>DATE(2012,10,21) + TIME(19,39,43)</f>
        <v>41203.819247685184</v>
      </c>
      <c r="C1365">
        <v>80</v>
      </c>
      <c r="D1365">
        <v>77.749107361</v>
      </c>
      <c r="E1365">
        <v>50</v>
      </c>
      <c r="F1365">
        <v>49.965099334999998</v>
      </c>
      <c r="G1365">
        <v>1306.7567139</v>
      </c>
      <c r="H1365">
        <v>1296.2244873</v>
      </c>
      <c r="I1365">
        <v>1387.1016846</v>
      </c>
      <c r="J1365">
        <v>1370.0556641000001</v>
      </c>
      <c r="K1365">
        <v>0</v>
      </c>
      <c r="L1365">
        <v>2050</v>
      </c>
      <c r="M1365">
        <v>2050</v>
      </c>
      <c r="N1365">
        <v>0</v>
      </c>
    </row>
    <row r="1366" spans="1:14" x14ac:dyDescent="0.25">
      <c r="A1366">
        <v>905.98680400000001</v>
      </c>
      <c r="B1366" s="1">
        <f>DATE(2012,10,22) + TIME(23,40,59)</f>
        <v>41204.986793981479</v>
      </c>
      <c r="C1366">
        <v>80</v>
      </c>
      <c r="D1366">
        <v>77.644653320000003</v>
      </c>
      <c r="E1366">
        <v>50</v>
      </c>
      <c r="F1366">
        <v>49.965129851999997</v>
      </c>
      <c r="G1366">
        <v>1306.7198486</v>
      </c>
      <c r="H1366">
        <v>1296.1828613</v>
      </c>
      <c r="I1366">
        <v>1387.0476074000001</v>
      </c>
      <c r="J1366">
        <v>1370.0096435999999</v>
      </c>
      <c r="K1366">
        <v>0</v>
      </c>
      <c r="L1366">
        <v>2050</v>
      </c>
      <c r="M1366">
        <v>2050</v>
      </c>
      <c r="N1366">
        <v>0</v>
      </c>
    </row>
    <row r="1367" spans="1:14" x14ac:dyDescent="0.25">
      <c r="A1367">
        <v>907.212808</v>
      </c>
      <c r="B1367" s="1">
        <f>DATE(2012,10,24) + TIME(5,6,26)</f>
        <v>41206.212800925925</v>
      </c>
      <c r="C1367">
        <v>80</v>
      </c>
      <c r="D1367">
        <v>77.536766052000004</v>
      </c>
      <c r="E1367">
        <v>50</v>
      </c>
      <c r="F1367">
        <v>49.96516037</v>
      </c>
      <c r="G1367">
        <v>1306.6813964999999</v>
      </c>
      <c r="H1367">
        <v>1296.1392822</v>
      </c>
      <c r="I1367">
        <v>1386.9943848</v>
      </c>
      <c r="J1367">
        <v>1369.9643555</v>
      </c>
      <c r="K1367">
        <v>0</v>
      </c>
      <c r="L1367">
        <v>2050</v>
      </c>
      <c r="M1367">
        <v>2050</v>
      </c>
      <c r="N1367">
        <v>0</v>
      </c>
    </row>
    <row r="1368" spans="1:14" x14ac:dyDescent="0.25">
      <c r="A1368">
        <v>908.48600199999998</v>
      </c>
      <c r="B1368" s="1">
        <f>DATE(2012,10,25) + TIME(11,39,50)</f>
        <v>41207.485995370371</v>
      </c>
      <c r="C1368">
        <v>80</v>
      </c>
      <c r="D1368">
        <v>77.425682068</v>
      </c>
      <c r="E1368">
        <v>50</v>
      </c>
      <c r="F1368">
        <v>49.965187073000003</v>
      </c>
      <c r="G1368">
        <v>1306.6407471</v>
      </c>
      <c r="H1368">
        <v>1296.0932617000001</v>
      </c>
      <c r="I1368">
        <v>1386.9412841999999</v>
      </c>
      <c r="J1368">
        <v>1369.9193115</v>
      </c>
      <c r="K1368">
        <v>0</v>
      </c>
      <c r="L1368">
        <v>2050</v>
      </c>
      <c r="M1368">
        <v>2050</v>
      </c>
      <c r="N1368">
        <v>0</v>
      </c>
    </row>
    <row r="1369" spans="1:14" x14ac:dyDescent="0.25">
      <c r="A1369">
        <v>909.78475100000003</v>
      </c>
      <c r="B1369" s="1">
        <f>DATE(2012,10,26) + TIME(18,50,2)</f>
        <v>41208.784745370373</v>
      </c>
      <c r="C1369">
        <v>80</v>
      </c>
      <c r="D1369">
        <v>77.3125</v>
      </c>
      <c r="E1369">
        <v>50</v>
      </c>
      <c r="F1369">
        <v>49.965217590000002</v>
      </c>
      <c r="G1369">
        <v>1306.5981445</v>
      </c>
      <c r="H1369">
        <v>1296.0447998</v>
      </c>
      <c r="I1369">
        <v>1386.8887939000001</v>
      </c>
      <c r="J1369">
        <v>1369.8747559000001</v>
      </c>
      <c r="K1369">
        <v>0</v>
      </c>
      <c r="L1369">
        <v>2050</v>
      </c>
      <c r="M1369">
        <v>2050</v>
      </c>
      <c r="N1369">
        <v>0</v>
      </c>
    </row>
    <row r="1370" spans="1:14" x14ac:dyDescent="0.25">
      <c r="A1370">
        <v>911.12329499999998</v>
      </c>
      <c r="B1370" s="1">
        <f>DATE(2012,10,28) + TIME(2,57,32)</f>
        <v>41210.123287037037</v>
      </c>
      <c r="C1370">
        <v>80</v>
      </c>
      <c r="D1370">
        <v>77.197448730000005</v>
      </c>
      <c r="E1370">
        <v>50</v>
      </c>
      <c r="F1370">
        <v>49.965244292999998</v>
      </c>
      <c r="G1370">
        <v>1306.5543213000001</v>
      </c>
      <c r="H1370">
        <v>1295.9948730000001</v>
      </c>
      <c r="I1370">
        <v>1386.8377685999999</v>
      </c>
      <c r="J1370">
        <v>1369.8316649999999</v>
      </c>
      <c r="K1370">
        <v>0</v>
      </c>
      <c r="L1370">
        <v>2050</v>
      </c>
      <c r="M1370">
        <v>2050</v>
      </c>
      <c r="N1370">
        <v>0</v>
      </c>
    </row>
    <row r="1371" spans="1:14" x14ac:dyDescent="0.25">
      <c r="A1371">
        <v>912.51653199999998</v>
      </c>
      <c r="B1371" s="1">
        <f>DATE(2012,10,29) + TIME(12,23,48)</f>
        <v>41211.516527777778</v>
      </c>
      <c r="C1371">
        <v>80</v>
      </c>
      <c r="D1371">
        <v>77.080001831000004</v>
      </c>
      <c r="E1371">
        <v>50</v>
      </c>
      <c r="F1371">
        <v>49.965274811</v>
      </c>
      <c r="G1371">
        <v>1306.5087891000001</v>
      </c>
      <c r="H1371">
        <v>1295.9426269999999</v>
      </c>
      <c r="I1371">
        <v>1386.7877197</v>
      </c>
      <c r="J1371">
        <v>1369.7893065999999</v>
      </c>
      <c r="K1371">
        <v>0</v>
      </c>
      <c r="L1371">
        <v>2050</v>
      </c>
      <c r="M1371">
        <v>2050</v>
      </c>
      <c r="N1371">
        <v>0</v>
      </c>
    </row>
    <row r="1372" spans="1:14" x14ac:dyDescent="0.25">
      <c r="A1372">
        <v>913.98138100000006</v>
      </c>
      <c r="B1372" s="1">
        <f>DATE(2012,10,30) + TIME(23,33,11)</f>
        <v>41212.981377314813</v>
      </c>
      <c r="C1372">
        <v>80</v>
      </c>
      <c r="D1372">
        <v>76.959228515999996</v>
      </c>
      <c r="E1372">
        <v>50</v>
      </c>
      <c r="F1372">
        <v>49.965305327999999</v>
      </c>
      <c r="G1372">
        <v>1306.4608154</v>
      </c>
      <c r="H1372">
        <v>1295.8875731999999</v>
      </c>
      <c r="I1372">
        <v>1386.7379149999999</v>
      </c>
      <c r="J1372">
        <v>1369.7471923999999</v>
      </c>
      <c r="K1372">
        <v>0</v>
      </c>
      <c r="L1372">
        <v>2050</v>
      </c>
      <c r="M1372">
        <v>2050</v>
      </c>
      <c r="N1372">
        <v>0</v>
      </c>
    </row>
    <row r="1373" spans="1:14" x14ac:dyDescent="0.25">
      <c r="A1373">
        <v>915</v>
      </c>
      <c r="B1373" s="1">
        <f>DATE(2012,11,1) + TIME(0,0,0)</f>
        <v>41214</v>
      </c>
      <c r="C1373">
        <v>80</v>
      </c>
      <c r="D1373">
        <v>76.855537415000001</v>
      </c>
      <c r="E1373">
        <v>50</v>
      </c>
      <c r="F1373">
        <v>49.965324402</v>
      </c>
      <c r="G1373">
        <v>1306.4089355000001</v>
      </c>
      <c r="H1373">
        <v>1295.8298339999999</v>
      </c>
      <c r="I1373">
        <v>1386.6877440999999</v>
      </c>
      <c r="J1373">
        <v>1369.7048339999999</v>
      </c>
      <c r="K1373">
        <v>0</v>
      </c>
      <c r="L1373">
        <v>2050</v>
      </c>
      <c r="M1373">
        <v>2050</v>
      </c>
      <c r="N1373">
        <v>0</v>
      </c>
    </row>
    <row r="1374" spans="1:14" x14ac:dyDescent="0.25">
      <c r="A1374">
        <v>916.51518299999998</v>
      </c>
      <c r="B1374" s="1">
        <f>DATE(2012,11,2) + TIME(12,21,51)</f>
        <v>41215.515173611115</v>
      </c>
      <c r="C1374">
        <v>80</v>
      </c>
      <c r="D1374">
        <v>76.742996215999995</v>
      </c>
      <c r="E1374">
        <v>50</v>
      </c>
      <c r="F1374">
        <v>49.965358733999999</v>
      </c>
      <c r="G1374">
        <v>1306.3736572</v>
      </c>
      <c r="H1374">
        <v>1295.7862548999999</v>
      </c>
      <c r="I1374">
        <v>1386.6546631000001</v>
      </c>
      <c r="J1374">
        <v>1369.6770019999999</v>
      </c>
      <c r="K1374">
        <v>0</v>
      </c>
      <c r="L1374">
        <v>2050</v>
      </c>
      <c r="M1374">
        <v>2050</v>
      </c>
      <c r="N1374">
        <v>0</v>
      </c>
    </row>
    <row r="1375" spans="1:14" x14ac:dyDescent="0.25">
      <c r="A1375">
        <v>918.14483399999995</v>
      </c>
      <c r="B1375" s="1">
        <f>DATE(2012,11,4) + TIME(3,28,33)</f>
        <v>41217.144826388889</v>
      </c>
      <c r="C1375">
        <v>80</v>
      </c>
      <c r="D1375">
        <v>76.619773864999999</v>
      </c>
      <c r="E1375">
        <v>50</v>
      </c>
      <c r="F1375">
        <v>49.965393065999997</v>
      </c>
      <c r="G1375">
        <v>1306.3199463000001</v>
      </c>
      <c r="H1375">
        <v>1295.7243652</v>
      </c>
      <c r="I1375">
        <v>1386.6068115</v>
      </c>
      <c r="J1375">
        <v>1369.6367187999999</v>
      </c>
      <c r="K1375">
        <v>0</v>
      </c>
      <c r="L1375">
        <v>2050</v>
      </c>
      <c r="M1375">
        <v>2050</v>
      </c>
      <c r="N1375">
        <v>0</v>
      </c>
    </row>
    <row r="1376" spans="1:14" x14ac:dyDescent="0.25">
      <c r="A1376">
        <v>919.85403699999995</v>
      </c>
      <c r="B1376" s="1">
        <f>DATE(2012,11,5) + TIME(20,29,48)</f>
        <v>41218.854027777779</v>
      </c>
      <c r="C1376">
        <v>80</v>
      </c>
      <c r="D1376">
        <v>76.488777161000002</v>
      </c>
      <c r="E1376">
        <v>50</v>
      </c>
      <c r="F1376">
        <v>49.965431213000002</v>
      </c>
      <c r="G1376">
        <v>1306.2612305</v>
      </c>
      <c r="H1376">
        <v>1295.65625</v>
      </c>
      <c r="I1376">
        <v>1386.5574951000001</v>
      </c>
      <c r="J1376">
        <v>1369.5952147999999</v>
      </c>
      <c r="K1376">
        <v>0</v>
      </c>
      <c r="L1376">
        <v>2050</v>
      </c>
      <c r="M1376">
        <v>2050</v>
      </c>
      <c r="N1376">
        <v>0</v>
      </c>
    </row>
    <row r="1377" spans="1:14" x14ac:dyDescent="0.25">
      <c r="A1377">
        <v>921.59328000000005</v>
      </c>
      <c r="B1377" s="1">
        <f>DATE(2012,11,7) + TIME(14,14,19)</f>
        <v>41220.593275462961</v>
      </c>
      <c r="C1377">
        <v>80</v>
      </c>
      <c r="D1377">
        <v>76.353523253999995</v>
      </c>
      <c r="E1377">
        <v>50</v>
      </c>
      <c r="F1377">
        <v>49.96546936</v>
      </c>
      <c r="G1377">
        <v>1306.1984863</v>
      </c>
      <c r="H1377">
        <v>1295.5832519999999</v>
      </c>
      <c r="I1377">
        <v>1386.5080565999999</v>
      </c>
      <c r="J1377">
        <v>1369.5535889</v>
      </c>
      <c r="K1377">
        <v>0</v>
      </c>
      <c r="L1377">
        <v>2050</v>
      </c>
      <c r="M1377">
        <v>2050</v>
      </c>
      <c r="N1377">
        <v>0</v>
      </c>
    </row>
    <row r="1378" spans="1:14" x14ac:dyDescent="0.25">
      <c r="A1378">
        <v>923.37432100000001</v>
      </c>
      <c r="B1378" s="1">
        <f>DATE(2012,11,9) + TIME(8,59,1)</f>
        <v>41222.37431712963</v>
      </c>
      <c r="C1378">
        <v>80</v>
      </c>
      <c r="D1378">
        <v>76.216178893999995</v>
      </c>
      <c r="E1378">
        <v>50</v>
      </c>
      <c r="F1378">
        <v>49.965507506999998</v>
      </c>
      <c r="G1378">
        <v>1306.1335449000001</v>
      </c>
      <c r="H1378">
        <v>1295.5072021000001</v>
      </c>
      <c r="I1378">
        <v>1386.4599608999999</v>
      </c>
      <c r="J1378">
        <v>1369.5131836</v>
      </c>
      <c r="K1378">
        <v>0</v>
      </c>
      <c r="L1378">
        <v>2050</v>
      </c>
      <c r="M1378">
        <v>2050</v>
      </c>
      <c r="N1378">
        <v>0</v>
      </c>
    </row>
    <row r="1379" spans="1:14" x14ac:dyDescent="0.25">
      <c r="A1379">
        <v>925.21650699999998</v>
      </c>
      <c r="B1379" s="1">
        <f>DATE(2012,11,11) + TIME(5,11,46)</f>
        <v>41224.216504629629</v>
      </c>
      <c r="C1379">
        <v>80</v>
      </c>
      <c r="D1379">
        <v>76.076820373999993</v>
      </c>
      <c r="E1379">
        <v>50</v>
      </c>
      <c r="F1379">
        <v>49.965549469000003</v>
      </c>
      <c r="G1379">
        <v>1306.065918</v>
      </c>
      <c r="H1379">
        <v>1295.4273682</v>
      </c>
      <c r="I1379">
        <v>1386.4127197</v>
      </c>
      <c r="J1379">
        <v>1369.4735106999999</v>
      </c>
      <c r="K1379">
        <v>0</v>
      </c>
      <c r="L1379">
        <v>2050</v>
      </c>
      <c r="M1379">
        <v>2050</v>
      </c>
      <c r="N1379">
        <v>0</v>
      </c>
    </row>
    <row r="1380" spans="1:14" x14ac:dyDescent="0.25">
      <c r="A1380">
        <v>927.13462000000004</v>
      </c>
      <c r="B1380" s="1">
        <f>DATE(2012,11,13) + TIME(3,13,51)</f>
        <v>41226.134618055556</v>
      </c>
      <c r="C1380">
        <v>80</v>
      </c>
      <c r="D1380">
        <v>75.934761046999995</v>
      </c>
      <c r="E1380">
        <v>50</v>
      </c>
      <c r="F1380">
        <v>49.965591431</v>
      </c>
      <c r="G1380">
        <v>1305.994751</v>
      </c>
      <c r="H1380">
        <v>1295.3428954999999</v>
      </c>
      <c r="I1380">
        <v>1386.3658447</v>
      </c>
      <c r="J1380">
        <v>1369.4342041</v>
      </c>
      <c r="K1380">
        <v>0</v>
      </c>
      <c r="L1380">
        <v>2050</v>
      </c>
      <c r="M1380">
        <v>2050</v>
      </c>
      <c r="N1380">
        <v>0</v>
      </c>
    </row>
    <row r="1381" spans="1:14" x14ac:dyDescent="0.25">
      <c r="A1381">
        <v>929.15307700000005</v>
      </c>
      <c r="B1381" s="1">
        <f>DATE(2012,11,15) + TIME(3,40,25)</f>
        <v>41228.153067129628</v>
      </c>
      <c r="C1381">
        <v>80</v>
      </c>
      <c r="D1381">
        <v>75.788925171000002</v>
      </c>
      <c r="E1381">
        <v>50</v>
      </c>
      <c r="F1381">
        <v>49.965637207</v>
      </c>
      <c r="G1381">
        <v>1305.9190673999999</v>
      </c>
      <c r="H1381">
        <v>1295.2526855000001</v>
      </c>
      <c r="I1381">
        <v>1386.3190918</v>
      </c>
      <c r="J1381">
        <v>1369.3948975000001</v>
      </c>
      <c r="K1381">
        <v>0</v>
      </c>
      <c r="L1381">
        <v>2050</v>
      </c>
      <c r="M1381">
        <v>2050</v>
      </c>
      <c r="N1381">
        <v>0</v>
      </c>
    </row>
    <row r="1382" spans="1:14" x14ac:dyDescent="0.25">
      <c r="A1382">
        <v>931.25447299999996</v>
      </c>
      <c r="B1382" s="1">
        <f>DATE(2012,11,17) + TIME(6,6,26)</f>
        <v>41230.254467592589</v>
      </c>
      <c r="C1382">
        <v>80</v>
      </c>
      <c r="D1382">
        <v>75.638900757000002</v>
      </c>
      <c r="E1382">
        <v>50</v>
      </c>
      <c r="F1382">
        <v>49.965686798</v>
      </c>
      <c r="G1382">
        <v>1305.8378906</v>
      </c>
      <c r="H1382">
        <v>1295.1555175999999</v>
      </c>
      <c r="I1382">
        <v>1386.2718506000001</v>
      </c>
      <c r="J1382">
        <v>1369.3553466999999</v>
      </c>
      <c r="K1382">
        <v>0</v>
      </c>
      <c r="L1382">
        <v>2050</v>
      </c>
      <c r="M1382">
        <v>2050</v>
      </c>
      <c r="N1382">
        <v>0</v>
      </c>
    </row>
    <row r="1383" spans="1:14" x14ac:dyDescent="0.25">
      <c r="A1383">
        <v>933.38146500000005</v>
      </c>
      <c r="B1383" s="1">
        <f>DATE(2012,11,19) + TIME(9,9,18)</f>
        <v>41232.381458333337</v>
      </c>
      <c r="C1383">
        <v>80</v>
      </c>
      <c r="D1383">
        <v>75.486412048000005</v>
      </c>
      <c r="E1383">
        <v>50</v>
      </c>
      <c r="F1383">
        <v>49.965732574</v>
      </c>
      <c r="G1383">
        <v>1305.7513428</v>
      </c>
      <c r="H1383">
        <v>1295.0515137</v>
      </c>
      <c r="I1383">
        <v>1386.2246094</v>
      </c>
      <c r="J1383">
        <v>1369.3156738</v>
      </c>
      <c r="K1383">
        <v>0</v>
      </c>
      <c r="L1383">
        <v>2050</v>
      </c>
      <c r="M1383">
        <v>2050</v>
      </c>
      <c r="N1383">
        <v>0</v>
      </c>
    </row>
    <row r="1384" spans="1:14" x14ac:dyDescent="0.25">
      <c r="A1384">
        <v>935.54955500000005</v>
      </c>
      <c r="B1384" s="1">
        <f>DATE(2012,11,21) + TIME(13,11,21)</f>
        <v>41234.54954861111</v>
      </c>
      <c r="C1384">
        <v>80</v>
      </c>
      <c r="D1384">
        <v>75.333168029999996</v>
      </c>
      <c r="E1384">
        <v>50</v>
      </c>
      <c r="F1384">
        <v>49.965782165999997</v>
      </c>
      <c r="G1384">
        <v>1305.6617432</v>
      </c>
      <c r="H1384">
        <v>1294.9428711</v>
      </c>
      <c r="I1384">
        <v>1386.1788329999999</v>
      </c>
      <c r="J1384">
        <v>1369.2772216999999</v>
      </c>
      <c r="K1384">
        <v>0</v>
      </c>
      <c r="L1384">
        <v>2050</v>
      </c>
      <c r="M1384">
        <v>2050</v>
      </c>
      <c r="N1384">
        <v>0</v>
      </c>
    </row>
    <row r="1385" spans="1:14" x14ac:dyDescent="0.25">
      <c r="A1385">
        <v>937.75603799999999</v>
      </c>
      <c r="B1385" s="1">
        <f>DATE(2012,11,23) + TIME(18,8,41)</f>
        <v>41236.756030092591</v>
      </c>
      <c r="C1385">
        <v>80</v>
      </c>
      <c r="D1385">
        <v>75.179405212000006</v>
      </c>
      <c r="E1385">
        <v>50</v>
      </c>
      <c r="F1385">
        <v>49.965835571</v>
      </c>
      <c r="G1385">
        <v>1305.5681152</v>
      </c>
      <c r="H1385">
        <v>1294.8288574000001</v>
      </c>
      <c r="I1385">
        <v>1386.1339111</v>
      </c>
      <c r="J1385">
        <v>1369.2395019999999</v>
      </c>
      <c r="K1385">
        <v>0</v>
      </c>
      <c r="L1385">
        <v>2050</v>
      </c>
      <c r="M1385">
        <v>2050</v>
      </c>
      <c r="N1385">
        <v>0</v>
      </c>
    </row>
    <row r="1386" spans="1:14" x14ac:dyDescent="0.25">
      <c r="A1386">
        <v>939.99338</v>
      </c>
      <c r="B1386" s="1">
        <f>DATE(2012,11,25) + TIME(23,50,28)</f>
        <v>41238.993379629632</v>
      </c>
      <c r="C1386">
        <v>80</v>
      </c>
      <c r="D1386">
        <v>75.025474548000005</v>
      </c>
      <c r="E1386">
        <v>50</v>
      </c>
      <c r="F1386">
        <v>49.965885161999999</v>
      </c>
      <c r="G1386">
        <v>1305.4704589999999</v>
      </c>
      <c r="H1386">
        <v>1294.7092285000001</v>
      </c>
      <c r="I1386">
        <v>1386.0898437999999</v>
      </c>
      <c r="J1386">
        <v>1369.2025146000001</v>
      </c>
      <c r="K1386">
        <v>0</v>
      </c>
      <c r="L1386">
        <v>2050</v>
      </c>
      <c r="M1386">
        <v>2050</v>
      </c>
      <c r="N1386">
        <v>0</v>
      </c>
    </row>
    <row r="1387" spans="1:14" x14ac:dyDescent="0.25">
      <c r="A1387">
        <v>942.26211699999999</v>
      </c>
      <c r="B1387" s="1">
        <f>DATE(2012,11,28) + TIME(6,17,26)</f>
        <v>41241.262106481481</v>
      </c>
      <c r="C1387">
        <v>80</v>
      </c>
      <c r="D1387">
        <v>74.871551514000004</v>
      </c>
      <c r="E1387">
        <v>50</v>
      </c>
      <c r="F1387">
        <v>49.965938567999999</v>
      </c>
      <c r="G1387">
        <v>1305.3690185999999</v>
      </c>
      <c r="H1387">
        <v>1294.5841064000001</v>
      </c>
      <c r="I1387">
        <v>1386.046875</v>
      </c>
      <c r="J1387">
        <v>1369.1665039</v>
      </c>
      <c r="K1387">
        <v>0</v>
      </c>
      <c r="L1387">
        <v>2050</v>
      </c>
      <c r="M1387">
        <v>2050</v>
      </c>
      <c r="N1387">
        <v>0</v>
      </c>
    </row>
    <row r="1388" spans="1:14" x14ac:dyDescent="0.25">
      <c r="A1388">
        <v>944.56573900000001</v>
      </c>
      <c r="B1388" s="1">
        <f>DATE(2012,11,30) + TIME(13,34,39)</f>
        <v>41243.565729166665</v>
      </c>
      <c r="C1388">
        <v>80</v>
      </c>
      <c r="D1388">
        <v>74.717651367000002</v>
      </c>
      <c r="E1388">
        <v>50</v>
      </c>
      <c r="F1388">
        <v>49.965991973999998</v>
      </c>
      <c r="G1388">
        <v>1305.2635498</v>
      </c>
      <c r="H1388">
        <v>1294.4533690999999</v>
      </c>
      <c r="I1388">
        <v>1386.0047606999999</v>
      </c>
      <c r="J1388">
        <v>1369.1311035000001</v>
      </c>
      <c r="K1388">
        <v>0</v>
      </c>
      <c r="L1388">
        <v>2050</v>
      </c>
      <c r="M1388">
        <v>2050</v>
      </c>
      <c r="N1388">
        <v>0</v>
      </c>
    </row>
    <row r="1389" spans="1:14" x14ac:dyDescent="0.25">
      <c r="A1389">
        <v>945</v>
      </c>
      <c r="B1389" s="1">
        <f>DATE(2012,12,1) + TIME(0,0,0)</f>
        <v>41244</v>
      </c>
      <c r="C1389">
        <v>80</v>
      </c>
      <c r="D1389">
        <v>74.651596068999993</v>
      </c>
      <c r="E1389">
        <v>50</v>
      </c>
      <c r="F1389">
        <v>49.965995788999997</v>
      </c>
      <c r="G1389">
        <v>1305.1560059000001</v>
      </c>
      <c r="H1389">
        <v>1294.3305664</v>
      </c>
      <c r="I1389">
        <v>1385.9630127</v>
      </c>
      <c r="J1389">
        <v>1369.0959473</v>
      </c>
      <c r="K1389">
        <v>0</v>
      </c>
      <c r="L1389">
        <v>2050</v>
      </c>
      <c r="M1389">
        <v>2050</v>
      </c>
      <c r="N1389">
        <v>0</v>
      </c>
    </row>
    <row r="1390" spans="1:14" x14ac:dyDescent="0.25">
      <c r="A1390">
        <v>947.343661</v>
      </c>
      <c r="B1390" s="1">
        <f>DATE(2012,12,3) + TIME(8,14,52)</f>
        <v>41246.343657407408</v>
      </c>
      <c r="C1390">
        <v>80</v>
      </c>
      <c r="D1390">
        <v>74.523590088000006</v>
      </c>
      <c r="E1390">
        <v>50</v>
      </c>
      <c r="F1390">
        <v>49.966056823999999</v>
      </c>
      <c r="G1390">
        <v>1305.1300048999999</v>
      </c>
      <c r="H1390">
        <v>1294.2845459</v>
      </c>
      <c r="I1390">
        <v>1385.9560547000001</v>
      </c>
      <c r="J1390">
        <v>1369.0900879000001</v>
      </c>
      <c r="K1390">
        <v>0</v>
      </c>
      <c r="L1390">
        <v>2050</v>
      </c>
      <c r="M1390">
        <v>2050</v>
      </c>
      <c r="N1390">
        <v>0</v>
      </c>
    </row>
    <row r="1391" spans="1:14" x14ac:dyDescent="0.25">
      <c r="A1391">
        <v>949.73078799999996</v>
      </c>
      <c r="B1391" s="1">
        <f>DATE(2012,12,5) + TIME(17,32,20)</f>
        <v>41248.730787037035</v>
      </c>
      <c r="C1391">
        <v>80</v>
      </c>
      <c r="D1391">
        <v>74.377136230000005</v>
      </c>
      <c r="E1391">
        <v>50</v>
      </c>
      <c r="F1391">
        <v>49.966110229000002</v>
      </c>
      <c r="G1391">
        <v>1305.0166016000001</v>
      </c>
      <c r="H1391">
        <v>1294.1439209</v>
      </c>
      <c r="I1391">
        <v>1385.9157714999999</v>
      </c>
      <c r="J1391">
        <v>1369.0562743999999</v>
      </c>
      <c r="K1391">
        <v>0</v>
      </c>
      <c r="L1391">
        <v>2050</v>
      </c>
      <c r="M1391">
        <v>2050</v>
      </c>
      <c r="N1391">
        <v>0</v>
      </c>
    </row>
    <row r="1392" spans="1:14" x14ac:dyDescent="0.25">
      <c r="A1392">
        <v>952.13744199999996</v>
      </c>
      <c r="B1392" s="1">
        <f>DATE(2012,12,8) + TIME(3,17,55)</f>
        <v>41251.137442129628</v>
      </c>
      <c r="C1392">
        <v>80</v>
      </c>
      <c r="D1392">
        <v>74.224945067999997</v>
      </c>
      <c r="E1392">
        <v>50</v>
      </c>
      <c r="F1392">
        <v>49.96616745</v>
      </c>
      <c r="G1392">
        <v>1304.8968506000001</v>
      </c>
      <c r="H1392">
        <v>1293.9934082</v>
      </c>
      <c r="I1392">
        <v>1385.8760986</v>
      </c>
      <c r="J1392">
        <v>1369.0229492000001</v>
      </c>
      <c r="K1392">
        <v>0</v>
      </c>
      <c r="L1392">
        <v>2050</v>
      </c>
      <c r="M1392">
        <v>2050</v>
      </c>
      <c r="N1392">
        <v>0</v>
      </c>
    </row>
    <row r="1393" spans="1:14" x14ac:dyDescent="0.25">
      <c r="A1393">
        <v>954.57005400000003</v>
      </c>
      <c r="B1393" s="1">
        <f>DATE(2012,12,10) + TIME(13,40,52)</f>
        <v>41253.5700462963</v>
      </c>
      <c r="C1393">
        <v>80</v>
      </c>
      <c r="D1393">
        <v>74.071327209000003</v>
      </c>
      <c r="E1393">
        <v>50</v>
      </c>
      <c r="F1393">
        <v>49.966224670000003</v>
      </c>
      <c r="G1393">
        <v>1304.7725829999999</v>
      </c>
      <c r="H1393">
        <v>1293.8360596</v>
      </c>
      <c r="I1393">
        <v>1385.8374022999999</v>
      </c>
      <c r="J1393">
        <v>1368.9903564000001</v>
      </c>
      <c r="K1393">
        <v>0</v>
      </c>
      <c r="L1393">
        <v>2050</v>
      </c>
      <c r="M1393">
        <v>2050</v>
      </c>
      <c r="N1393">
        <v>0</v>
      </c>
    </row>
    <row r="1394" spans="1:14" x14ac:dyDescent="0.25">
      <c r="A1394">
        <v>957.03408400000001</v>
      </c>
      <c r="B1394" s="1">
        <f>DATE(2012,12,13) + TIME(0,49,4)</f>
        <v>41256.034074074072</v>
      </c>
      <c r="C1394">
        <v>80</v>
      </c>
      <c r="D1394">
        <v>73.917236328000001</v>
      </c>
      <c r="E1394">
        <v>50</v>
      </c>
      <c r="F1394">
        <v>49.966281891000001</v>
      </c>
      <c r="G1394">
        <v>1304.6436768000001</v>
      </c>
      <c r="H1394">
        <v>1293.671875</v>
      </c>
      <c r="I1394">
        <v>1385.7994385</v>
      </c>
      <c r="J1394">
        <v>1368.958374</v>
      </c>
      <c r="K1394">
        <v>0</v>
      </c>
      <c r="L1394">
        <v>2050</v>
      </c>
      <c r="M1394">
        <v>2050</v>
      </c>
      <c r="N1394">
        <v>0</v>
      </c>
    </row>
    <row r="1395" spans="1:14" x14ac:dyDescent="0.25">
      <c r="A1395">
        <v>959.53488000000004</v>
      </c>
      <c r="B1395" s="1">
        <f>DATE(2012,12,15) + TIME(12,50,13)</f>
        <v>41258.534872685188</v>
      </c>
      <c r="C1395">
        <v>80</v>
      </c>
      <c r="D1395">
        <v>73.762641907000003</v>
      </c>
      <c r="E1395">
        <v>50</v>
      </c>
      <c r="F1395">
        <v>49.966339111000003</v>
      </c>
      <c r="G1395">
        <v>1304.5098877</v>
      </c>
      <c r="H1395">
        <v>1293.5004882999999</v>
      </c>
      <c r="I1395">
        <v>1385.762207</v>
      </c>
      <c r="J1395">
        <v>1368.9270019999999</v>
      </c>
      <c r="K1395">
        <v>0</v>
      </c>
      <c r="L1395">
        <v>2050</v>
      </c>
      <c r="M1395">
        <v>2050</v>
      </c>
      <c r="N1395">
        <v>0</v>
      </c>
    </row>
    <row r="1396" spans="1:14" x14ac:dyDescent="0.25">
      <c r="A1396">
        <v>962.06663600000002</v>
      </c>
      <c r="B1396" s="1">
        <f>DATE(2012,12,18) + TIME(1,35,57)</f>
        <v>41261.066631944443</v>
      </c>
      <c r="C1396">
        <v>80</v>
      </c>
      <c r="D1396">
        <v>73.607406616000006</v>
      </c>
      <c r="E1396">
        <v>50</v>
      </c>
      <c r="F1396">
        <v>49.966400145999998</v>
      </c>
      <c r="G1396">
        <v>1304.3706055</v>
      </c>
      <c r="H1396">
        <v>1293.3212891000001</v>
      </c>
      <c r="I1396">
        <v>1385.7255858999999</v>
      </c>
      <c r="J1396">
        <v>1368.8961182</v>
      </c>
      <c r="K1396">
        <v>0</v>
      </c>
      <c r="L1396">
        <v>2050</v>
      </c>
      <c r="M1396">
        <v>2050</v>
      </c>
      <c r="N1396">
        <v>0</v>
      </c>
    </row>
    <row r="1397" spans="1:14" x14ac:dyDescent="0.25">
      <c r="A1397">
        <v>964.62907499999994</v>
      </c>
      <c r="B1397" s="1">
        <f>DATE(2012,12,20) + TIME(15,5,52)</f>
        <v>41263.629074074073</v>
      </c>
      <c r="C1397">
        <v>80</v>
      </c>
      <c r="D1397">
        <v>73.451560974000003</v>
      </c>
      <c r="E1397">
        <v>50</v>
      </c>
      <c r="F1397">
        <v>49.966457366999997</v>
      </c>
      <c r="G1397">
        <v>1304.2261963000001</v>
      </c>
      <c r="H1397">
        <v>1293.1346435999999</v>
      </c>
      <c r="I1397">
        <v>1385.6895752</v>
      </c>
      <c r="J1397">
        <v>1368.8656006000001</v>
      </c>
      <c r="K1397">
        <v>0</v>
      </c>
      <c r="L1397">
        <v>2050</v>
      </c>
      <c r="M1397">
        <v>2050</v>
      </c>
      <c r="N1397">
        <v>0</v>
      </c>
    </row>
    <row r="1398" spans="1:14" x14ac:dyDescent="0.25">
      <c r="A1398">
        <v>967.227712</v>
      </c>
      <c r="B1398" s="1">
        <f>DATE(2012,12,23) + TIME(5,27,54)</f>
        <v>41266.227708333332</v>
      </c>
      <c r="C1398">
        <v>80</v>
      </c>
      <c r="D1398">
        <v>73.294891356999997</v>
      </c>
      <c r="E1398">
        <v>50</v>
      </c>
      <c r="F1398">
        <v>49.966518401999998</v>
      </c>
      <c r="G1398">
        <v>1304.0764160000001</v>
      </c>
      <c r="H1398">
        <v>1292.9400635</v>
      </c>
      <c r="I1398">
        <v>1385.6540527</v>
      </c>
      <c r="J1398">
        <v>1368.8356934000001</v>
      </c>
      <c r="K1398">
        <v>0</v>
      </c>
      <c r="L1398">
        <v>2050</v>
      </c>
      <c r="M1398">
        <v>2050</v>
      </c>
      <c r="N1398">
        <v>0</v>
      </c>
    </row>
    <row r="1399" spans="1:14" x14ac:dyDescent="0.25">
      <c r="A1399">
        <v>969.86797999999999</v>
      </c>
      <c r="B1399" s="1">
        <f>DATE(2012,12,25) + TIME(20,49,53)</f>
        <v>41268.867974537039</v>
      </c>
      <c r="C1399">
        <v>80</v>
      </c>
      <c r="D1399">
        <v>73.136993407999995</v>
      </c>
      <c r="E1399">
        <v>50</v>
      </c>
      <c r="F1399">
        <v>49.966579437</v>
      </c>
      <c r="G1399">
        <v>1303.9207764</v>
      </c>
      <c r="H1399">
        <v>1292.7370605000001</v>
      </c>
      <c r="I1399">
        <v>1385.6191406</v>
      </c>
      <c r="J1399">
        <v>1368.8061522999999</v>
      </c>
      <c r="K1399">
        <v>0</v>
      </c>
      <c r="L1399">
        <v>2050</v>
      </c>
      <c r="M1399">
        <v>2050</v>
      </c>
      <c r="N1399">
        <v>0</v>
      </c>
    </row>
    <row r="1400" spans="1:14" x14ac:dyDescent="0.25">
      <c r="A1400">
        <v>972.55533600000001</v>
      </c>
      <c r="B1400" s="1">
        <f>DATE(2012,12,28) + TIME(13,19,41)</f>
        <v>41271.555335648147</v>
      </c>
      <c r="C1400">
        <v>80</v>
      </c>
      <c r="D1400">
        <v>72.977371215999995</v>
      </c>
      <c r="E1400">
        <v>50</v>
      </c>
      <c r="F1400">
        <v>49.966640472000002</v>
      </c>
      <c r="G1400">
        <v>1303.7590332</v>
      </c>
      <c r="H1400">
        <v>1292.5251464999999</v>
      </c>
      <c r="I1400">
        <v>1385.5844727000001</v>
      </c>
      <c r="J1400">
        <v>1368.7768555</v>
      </c>
      <c r="K1400">
        <v>0</v>
      </c>
      <c r="L1400">
        <v>2050</v>
      </c>
      <c r="M1400">
        <v>2050</v>
      </c>
      <c r="N1400">
        <v>0</v>
      </c>
    </row>
    <row r="1401" spans="1:14" x14ac:dyDescent="0.25">
      <c r="A1401">
        <v>975.27591199999995</v>
      </c>
      <c r="B1401" s="1">
        <f>DATE(2012,12,31) + TIME(6,37,18)</f>
        <v>41274.275902777779</v>
      </c>
      <c r="C1401">
        <v>80</v>
      </c>
      <c r="D1401">
        <v>72.815803528000004</v>
      </c>
      <c r="E1401">
        <v>50</v>
      </c>
      <c r="F1401">
        <v>49.966705322000003</v>
      </c>
      <c r="G1401">
        <v>1303.5905762</v>
      </c>
      <c r="H1401">
        <v>1292.3035889</v>
      </c>
      <c r="I1401">
        <v>1385.550293</v>
      </c>
      <c r="J1401">
        <v>1368.7478027</v>
      </c>
      <c r="K1401">
        <v>0</v>
      </c>
      <c r="L1401">
        <v>2050</v>
      </c>
      <c r="M1401">
        <v>2050</v>
      </c>
      <c r="N1401">
        <v>0</v>
      </c>
    </row>
    <row r="1402" spans="1:14" x14ac:dyDescent="0.25">
      <c r="A1402">
        <v>976</v>
      </c>
      <c r="B1402" s="1">
        <f>DATE(2013,1,1) + TIME(0,0,0)</f>
        <v>41275</v>
      </c>
      <c r="C1402">
        <v>80</v>
      </c>
      <c r="D1402">
        <v>72.722312927000004</v>
      </c>
      <c r="E1402">
        <v>50</v>
      </c>
      <c r="F1402">
        <v>49.966716765999998</v>
      </c>
      <c r="G1402">
        <v>1303.4237060999999</v>
      </c>
      <c r="H1402">
        <v>1292.0949707</v>
      </c>
      <c r="I1402">
        <v>1385.515625</v>
      </c>
      <c r="J1402">
        <v>1368.7183838000001</v>
      </c>
      <c r="K1402">
        <v>0</v>
      </c>
      <c r="L1402">
        <v>2050</v>
      </c>
      <c r="M1402">
        <v>2050</v>
      </c>
      <c r="N1402">
        <v>0</v>
      </c>
    </row>
    <row r="1403" spans="1:14" x14ac:dyDescent="0.25">
      <c r="A1403">
        <v>978.74913000000004</v>
      </c>
      <c r="B1403" s="1">
        <f>DATE(2013,1,3) + TIME(17,58,44)</f>
        <v>41277.749120370368</v>
      </c>
      <c r="C1403">
        <v>80</v>
      </c>
      <c r="D1403">
        <v>72.595550536999994</v>
      </c>
      <c r="E1403">
        <v>50</v>
      </c>
      <c r="F1403">
        <v>49.966785430999998</v>
      </c>
      <c r="G1403">
        <v>1303.3610839999999</v>
      </c>
      <c r="H1403">
        <v>1291.9959716999999</v>
      </c>
      <c r="I1403">
        <v>1385.5076904</v>
      </c>
      <c r="J1403">
        <v>1368.7116699000001</v>
      </c>
      <c r="K1403">
        <v>0</v>
      </c>
      <c r="L1403">
        <v>2050</v>
      </c>
      <c r="M1403">
        <v>2050</v>
      </c>
      <c r="N1403">
        <v>0</v>
      </c>
    </row>
    <row r="1404" spans="1:14" x14ac:dyDescent="0.25">
      <c r="A1404">
        <v>981.54414399999996</v>
      </c>
      <c r="B1404" s="1">
        <f>DATE(2013,1,6) + TIME(13,3,34)</f>
        <v>41280.54414351852</v>
      </c>
      <c r="C1404">
        <v>80</v>
      </c>
      <c r="D1404">
        <v>72.439926146999994</v>
      </c>
      <c r="E1404">
        <v>50</v>
      </c>
      <c r="F1404">
        <v>49.966850280999999</v>
      </c>
      <c r="G1404">
        <v>1303.1851807</v>
      </c>
      <c r="H1404">
        <v>1291.7655029</v>
      </c>
      <c r="I1404">
        <v>1385.4746094</v>
      </c>
      <c r="J1404">
        <v>1368.6835937999999</v>
      </c>
      <c r="K1404">
        <v>0</v>
      </c>
      <c r="L1404">
        <v>2050</v>
      </c>
      <c r="M1404">
        <v>2050</v>
      </c>
      <c r="N1404">
        <v>0</v>
      </c>
    </row>
    <row r="1405" spans="1:14" x14ac:dyDescent="0.25">
      <c r="A1405">
        <v>984.37415199999998</v>
      </c>
      <c r="B1405" s="1">
        <f>DATE(2013,1,9) + TIME(8,58,46)</f>
        <v>41283.374143518522</v>
      </c>
      <c r="C1405">
        <v>80</v>
      </c>
      <c r="D1405">
        <v>72.274414062000005</v>
      </c>
      <c r="E1405">
        <v>50</v>
      </c>
      <c r="F1405">
        <v>49.966911316000001</v>
      </c>
      <c r="G1405">
        <v>1302.9981689000001</v>
      </c>
      <c r="H1405">
        <v>1291.5169678</v>
      </c>
      <c r="I1405">
        <v>1385.4417725000001</v>
      </c>
      <c r="J1405">
        <v>1368.6557617000001</v>
      </c>
      <c r="K1405">
        <v>0</v>
      </c>
      <c r="L1405">
        <v>2050</v>
      </c>
      <c r="M1405">
        <v>2050</v>
      </c>
      <c r="N1405">
        <v>0</v>
      </c>
    </row>
    <row r="1406" spans="1:14" x14ac:dyDescent="0.25">
      <c r="A1406">
        <v>987.24021500000003</v>
      </c>
      <c r="B1406" s="1">
        <f>DATE(2013,1,12) + TIME(5,45,54)</f>
        <v>41286.240208333336</v>
      </c>
      <c r="C1406">
        <v>80</v>
      </c>
      <c r="D1406">
        <v>72.104171753000003</v>
      </c>
      <c r="E1406">
        <v>50</v>
      </c>
      <c r="F1406">
        <v>49.966979979999998</v>
      </c>
      <c r="G1406">
        <v>1302.8037108999999</v>
      </c>
      <c r="H1406">
        <v>1291.2569579999999</v>
      </c>
      <c r="I1406">
        <v>1385.4093018000001</v>
      </c>
      <c r="J1406">
        <v>1368.6281738</v>
      </c>
      <c r="K1406">
        <v>0</v>
      </c>
      <c r="L1406">
        <v>2050</v>
      </c>
      <c r="M1406">
        <v>2050</v>
      </c>
      <c r="N1406">
        <v>0</v>
      </c>
    </row>
    <row r="1407" spans="1:14" x14ac:dyDescent="0.25">
      <c r="A1407">
        <v>990.14839700000005</v>
      </c>
      <c r="B1407" s="1">
        <f>DATE(2013,1,15) + TIME(3,33,41)</f>
        <v>41289.1483912037</v>
      </c>
      <c r="C1407">
        <v>80</v>
      </c>
      <c r="D1407">
        <v>71.930175781000003</v>
      </c>
      <c r="E1407">
        <v>50</v>
      </c>
      <c r="F1407">
        <v>49.967044829999999</v>
      </c>
      <c r="G1407">
        <v>1302.6022949000001</v>
      </c>
      <c r="H1407">
        <v>1290.9864502</v>
      </c>
      <c r="I1407">
        <v>1385.3771973</v>
      </c>
      <c r="J1407">
        <v>1368.6008300999999</v>
      </c>
      <c r="K1407">
        <v>0</v>
      </c>
      <c r="L1407">
        <v>2050</v>
      </c>
      <c r="M1407">
        <v>2050</v>
      </c>
      <c r="N1407">
        <v>0</v>
      </c>
    </row>
    <row r="1408" spans="1:14" x14ac:dyDescent="0.25">
      <c r="A1408">
        <v>993.10461599999996</v>
      </c>
      <c r="B1408" s="1">
        <f>DATE(2013,1,18) + TIME(2,30,38)</f>
        <v>41292.10460648148</v>
      </c>
      <c r="C1408">
        <v>80</v>
      </c>
      <c r="D1408">
        <v>71.752128600999995</v>
      </c>
      <c r="E1408">
        <v>50</v>
      </c>
      <c r="F1408">
        <v>49.96710968</v>
      </c>
      <c r="G1408">
        <v>1302.3937988</v>
      </c>
      <c r="H1408">
        <v>1290.7054443</v>
      </c>
      <c r="I1408">
        <v>1385.3453368999999</v>
      </c>
      <c r="J1408">
        <v>1368.5737305</v>
      </c>
      <c r="K1408">
        <v>0</v>
      </c>
      <c r="L1408">
        <v>2050</v>
      </c>
      <c r="M1408">
        <v>2050</v>
      </c>
      <c r="N1408">
        <v>0</v>
      </c>
    </row>
    <row r="1409" spans="1:14" x14ac:dyDescent="0.25">
      <c r="A1409">
        <v>996.11490800000001</v>
      </c>
      <c r="B1409" s="1">
        <f>DATE(2013,1,21) + TIME(2,45,28)</f>
        <v>41295.114907407406</v>
      </c>
      <c r="C1409">
        <v>80</v>
      </c>
      <c r="D1409">
        <v>71.569358825999998</v>
      </c>
      <c r="E1409">
        <v>50</v>
      </c>
      <c r="F1409">
        <v>49.967178345000001</v>
      </c>
      <c r="G1409">
        <v>1302.1777344</v>
      </c>
      <c r="H1409">
        <v>1290.4130858999999</v>
      </c>
      <c r="I1409">
        <v>1385.3135986</v>
      </c>
      <c r="J1409">
        <v>1368.5466309000001</v>
      </c>
      <c r="K1409">
        <v>0</v>
      </c>
      <c r="L1409">
        <v>2050</v>
      </c>
      <c r="M1409">
        <v>2050</v>
      </c>
      <c r="N1409">
        <v>0</v>
      </c>
    </row>
    <row r="1410" spans="1:14" x14ac:dyDescent="0.25">
      <c r="A1410">
        <v>999.159809</v>
      </c>
      <c r="B1410" s="1">
        <f>DATE(2013,1,24) + TIME(3,50,7)</f>
        <v>41298.159803240742</v>
      </c>
      <c r="C1410">
        <v>80</v>
      </c>
      <c r="D1410">
        <v>71.381431579999997</v>
      </c>
      <c r="E1410">
        <v>50</v>
      </c>
      <c r="F1410">
        <v>49.967247008999998</v>
      </c>
      <c r="G1410">
        <v>1301.9536132999999</v>
      </c>
      <c r="H1410">
        <v>1290.1090088000001</v>
      </c>
      <c r="I1410">
        <v>1385.2819824000001</v>
      </c>
      <c r="J1410">
        <v>1368.5196533000001</v>
      </c>
      <c r="K1410">
        <v>0</v>
      </c>
      <c r="L1410">
        <v>2050</v>
      </c>
      <c r="M1410">
        <v>2050</v>
      </c>
      <c r="N1410">
        <v>0</v>
      </c>
    </row>
    <row r="1411" spans="1:14" x14ac:dyDescent="0.25">
      <c r="A1411">
        <v>1002.233644</v>
      </c>
      <c r="B1411" s="1">
        <f>DATE(2013,1,27) + TIME(5,36,26)</f>
        <v>41301.233634259261</v>
      </c>
      <c r="C1411">
        <v>80</v>
      </c>
      <c r="D1411">
        <v>71.188552856000001</v>
      </c>
      <c r="E1411">
        <v>50</v>
      </c>
      <c r="F1411">
        <v>49.967315673999998</v>
      </c>
      <c r="G1411">
        <v>1301.7225341999999</v>
      </c>
      <c r="H1411">
        <v>1289.7941894999999</v>
      </c>
      <c r="I1411">
        <v>1385.2507324000001</v>
      </c>
      <c r="J1411">
        <v>1368.4929199000001</v>
      </c>
      <c r="K1411">
        <v>0</v>
      </c>
      <c r="L1411">
        <v>2050</v>
      </c>
      <c r="M1411">
        <v>2050</v>
      </c>
      <c r="N1411">
        <v>0</v>
      </c>
    </row>
    <row r="1412" spans="1:14" x14ac:dyDescent="0.25">
      <c r="A1412">
        <v>1005.343075</v>
      </c>
      <c r="B1412" s="1">
        <f>DATE(2013,1,30) + TIME(8,14,1)</f>
        <v>41304.34306712963</v>
      </c>
      <c r="C1412">
        <v>80</v>
      </c>
      <c r="D1412">
        <v>70.990478515999996</v>
      </c>
      <c r="E1412">
        <v>50</v>
      </c>
      <c r="F1412">
        <v>49.967384338000002</v>
      </c>
      <c r="G1412">
        <v>1301.4849853999999</v>
      </c>
      <c r="H1412">
        <v>1289.4694824000001</v>
      </c>
      <c r="I1412">
        <v>1385.2197266000001</v>
      </c>
      <c r="J1412">
        <v>1368.4664307</v>
      </c>
      <c r="K1412">
        <v>0</v>
      </c>
      <c r="L1412">
        <v>2050</v>
      </c>
      <c r="M1412">
        <v>2050</v>
      </c>
      <c r="N1412">
        <v>0</v>
      </c>
    </row>
    <row r="1413" spans="1:14" x14ac:dyDescent="0.25">
      <c r="A1413">
        <v>1007</v>
      </c>
      <c r="B1413" s="1">
        <f>DATE(2013,2,1) + TIME(0,0,0)</f>
        <v>41306</v>
      </c>
      <c r="C1413">
        <v>80</v>
      </c>
      <c r="D1413">
        <v>70.822044372999997</v>
      </c>
      <c r="E1413">
        <v>50</v>
      </c>
      <c r="F1413">
        <v>49.967418670999997</v>
      </c>
      <c r="G1413">
        <v>1301.2462158000001</v>
      </c>
      <c r="H1413">
        <v>1289.1492920000001</v>
      </c>
      <c r="I1413">
        <v>1385.1883545000001</v>
      </c>
      <c r="J1413">
        <v>1368.4394531</v>
      </c>
      <c r="K1413">
        <v>0</v>
      </c>
      <c r="L1413">
        <v>2050</v>
      </c>
      <c r="M1413">
        <v>2050</v>
      </c>
      <c r="N1413">
        <v>0</v>
      </c>
    </row>
    <row r="1414" spans="1:14" x14ac:dyDescent="0.25">
      <c r="A1414">
        <v>1010.1514570000001</v>
      </c>
      <c r="B1414" s="1">
        <f>DATE(2013,2,4) + TIME(3,38,5)</f>
        <v>41309.151446759257</v>
      </c>
      <c r="C1414">
        <v>80</v>
      </c>
      <c r="D1414">
        <v>70.661399841000005</v>
      </c>
      <c r="E1414">
        <v>50</v>
      </c>
      <c r="F1414">
        <v>49.967491150000001</v>
      </c>
      <c r="G1414">
        <v>1301.097168</v>
      </c>
      <c r="H1414">
        <v>1288.9313964999999</v>
      </c>
      <c r="I1414">
        <v>1385.1728516000001</v>
      </c>
      <c r="J1414">
        <v>1368.4261475000001</v>
      </c>
      <c r="K1414">
        <v>0</v>
      </c>
      <c r="L1414">
        <v>2050</v>
      </c>
      <c r="M1414">
        <v>2050</v>
      </c>
      <c r="N1414">
        <v>0</v>
      </c>
    </row>
    <row r="1415" spans="1:14" x14ac:dyDescent="0.25">
      <c r="A1415">
        <v>1013.380408</v>
      </c>
      <c r="B1415" s="1">
        <f>DATE(2013,2,7) + TIME(9,7,47)</f>
        <v>41312.38040509259</v>
      </c>
      <c r="C1415">
        <v>80</v>
      </c>
      <c r="D1415">
        <v>70.458297728999995</v>
      </c>
      <c r="E1415">
        <v>50</v>
      </c>
      <c r="F1415">
        <v>49.967559813999998</v>
      </c>
      <c r="G1415">
        <v>1300.8520507999999</v>
      </c>
      <c r="H1415">
        <v>1288.5975341999999</v>
      </c>
      <c r="I1415">
        <v>1385.1424560999999</v>
      </c>
      <c r="J1415">
        <v>1368.4000243999999</v>
      </c>
      <c r="K1415">
        <v>0</v>
      </c>
      <c r="L1415">
        <v>2050</v>
      </c>
      <c r="M1415">
        <v>2050</v>
      </c>
      <c r="N1415">
        <v>0</v>
      </c>
    </row>
    <row r="1416" spans="1:14" x14ac:dyDescent="0.25">
      <c r="A1416">
        <v>1016.639662</v>
      </c>
      <c r="B1416" s="1">
        <f>DATE(2013,2,10) + TIME(15,21,6)</f>
        <v>41315.639652777776</v>
      </c>
      <c r="C1416">
        <v>80</v>
      </c>
      <c r="D1416">
        <v>70.237846375000004</v>
      </c>
      <c r="E1416">
        <v>50</v>
      </c>
      <c r="F1416">
        <v>49.967632293999998</v>
      </c>
      <c r="G1416">
        <v>1300.5905762</v>
      </c>
      <c r="H1416">
        <v>1288.2370605000001</v>
      </c>
      <c r="I1416">
        <v>1385.1118164</v>
      </c>
      <c r="J1416">
        <v>1368.3737793</v>
      </c>
      <c r="K1416">
        <v>0</v>
      </c>
      <c r="L1416">
        <v>2050</v>
      </c>
      <c r="M1416">
        <v>2050</v>
      </c>
      <c r="N1416">
        <v>0</v>
      </c>
    </row>
    <row r="1417" spans="1:14" x14ac:dyDescent="0.25">
      <c r="A1417">
        <v>1019.933351</v>
      </c>
      <c r="B1417" s="1">
        <f>DATE(2013,2,13) + TIME(22,24,1)</f>
        <v>41318.933344907404</v>
      </c>
      <c r="C1417">
        <v>80</v>
      </c>
      <c r="D1417">
        <v>70.007431030000006</v>
      </c>
      <c r="E1417">
        <v>50</v>
      </c>
      <c r="F1417">
        <v>49.967704773000001</v>
      </c>
      <c r="G1417">
        <v>1300.3208007999999</v>
      </c>
      <c r="H1417">
        <v>1287.8629149999999</v>
      </c>
      <c r="I1417">
        <v>1385.0814209</v>
      </c>
      <c r="J1417">
        <v>1368.3475341999999</v>
      </c>
      <c r="K1417">
        <v>0</v>
      </c>
      <c r="L1417">
        <v>2050</v>
      </c>
      <c r="M1417">
        <v>2050</v>
      </c>
      <c r="N1417">
        <v>0</v>
      </c>
    </row>
    <row r="1418" spans="1:14" x14ac:dyDescent="0.25">
      <c r="A1418">
        <v>1023.268492</v>
      </c>
      <c r="B1418" s="1">
        <f>DATE(2013,2,17) + TIME(6,26,37)</f>
        <v>41322.268483796295</v>
      </c>
      <c r="C1418">
        <v>80</v>
      </c>
      <c r="D1418">
        <v>69.767616271999998</v>
      </c>
      <c r="E1418">
        <v>50</v>
      </c>
      <c r="F1418">
        <v>49.967773438000002</v>
      </c>
      <c r="G1418">
        <v>1300.0440673999999</v>
      </c>
      <c r="H1418">
        <v>1287.4776611</v>
      </c>
      <c r="I1418">
        <v>1385.0511475000001</v>
      </c>
      <c r="J1418">
        <v>1368.3215332</v>
      </c>
      <c r="K1418">
        <v>0</v>
      </c>
      <c r="L1418">
        <v>2050</v>
      </c>
      <c r="M1418">
        <v>2050</v>
      </c>
      <c r="N1418">
        <v>0</v>
      </c>
    </row>
    <row r="1419" spans="1:14" x14ac:dyDescent="0.25">
      <c r="A1419">
        <v>1026.6519490000001</v>
      </c>
      <c r="B1419" s="1">
        <f>DATE(2013,2,20) + TIME(15,38,48)</f>
        <v>41325.651944444442</v>
      </c>
      <c r="C1419">
        <v>80</v>
      </c>
      <c r="D1419">
        <v>69.517868042000003</v>
      </c>
      <c r="E1419">
        <v>50</v>
      </c>
      <c r="F1419">
        <v>49.967845916999998</v>
      </c>
      <c r="G1419">
        <v>1299.7601318</v>
      </c>
      <c r="H1419">
        <v>1287.0811768000001</v>
      </c>
      <c r="I1419">
        <v>1385.020874</v>
      </c>
      <c r="J1419">
        <v>1368.2954102000001</v>
      </c>
      <c r="K1419">
        <v>0</v>
      </c>
      <c r="L1419">
        <v>2050</v>
      </c>
      <c r="M1419">
        <v>2050</v>
      </c>
      <c r="N1419">
        <v>0</v>
      </c>
    </row>
    <row r="1420" spans="1:14" x14ac:dyDescent="0.25">
      <c r="A1420">
        <v>1030.0906399999999</v>
      </c>
      <c r="B1420" s="1">
        <f>DATE(2013,2,24) + TIME(2,10,31)</f>
        <v>41329.090636574074</v>
      </c>
      <c r="C1420">
        <v>80</v>
      </c>
      <c r="D1420">
        <v>69.257034301999994</v>
      </c>
      <c r="E1420">
        <v>50</v>
      </c>
      <c r="F1420">
        <v>49.967922211000001</v>
      </c>
      <c r="G1420">
        <v>1299.46875</v>
      </c>
      <c r="H1420">
        <v>1286.6727295000001</v>
      </c>
      <c r="I1420">
        <v>1384.9906006000001</v>
      </c>
      <c r="J1420">
        <v>1368.2692870999999</v>
      </c>
      <c r="K1420">
        <v>0</v>
      </c>
      <c r="L1420">
        <v>2050</v>
      </c>
      <c r="M1420">
        <v>2050</v>
      </c>
      <c r="N1420">
        <v>0</v>
      </c>
    </row>
    <row r="1421" spans="1:14" x14ac:dyDescent="0.25">
      <c r="A1421">
        <v>1033.5903989999999</v>
      </c>
      <c r="B1421" s="1">
        <f>DATE(2013,2,27) + TIME(14,10,10)</f>
        <v>41332.59039351852</v>
      </c>
      <c r="C1421">
        <v>80</v>
      </c>
      <c r="D1421">
        <v>68.983848571999999</v>
      </c>
      <c r="E1421">
        <v>50</v>
      </c>
      <c r="F1421">
        <v>49.967994689999998</v>
      </c>
      <c r="G1421">
        <v>1299.1691894999999</v>
      </c>
      <c r="H1421">
        <v>1286.2517089999999</v>
      </c>
      <c r="I1421">
        <v>1384.9602050999999</v>
      </c>
      <c r="J1421">
        <v>1368.2429199000001</v>
      </c>
      <c r="K1421">
        <v>0</v>
      </c>
      <c r="L1421">
        <v>2050</v>
      </c>
      <c r="M1421">
        <v>2050</v>
      </c>
      <c r="N1421">
        <v>0</v>
      </c>
    </row>
    <row r="1422" spans="1:14" x14ac:dyDescent="0.25">
      <c r="A1422">
        <v>1035</v>
      </c>
      <c r="B1422" s="1">
        <f>DATE(2013,3,1) + TIME(0,0,0)</f>
        <v>41334</v>
      </c>
      <c r="C1422">
        <v>80</v>
      </c>
      <c r="D1422">
        <v>68.765594481999997</v>
      </c>
      <c r="E1422">
        <v>50</v>
      </c>
      <c r="F1422">
        <v>49.968021393000001</v>
      </c>
      <c r="G1422">
        <v>1298.871582</v>
      </c>
      <c r="H1422">
        <v>1285.8472899999999</v>
      </c>
      <c r="I1422">
        <v>1384.9289550999999</v>
      </c>
      <c r="J1422">
        <v>1368.2158202999999</v>
      </c>
      <c r="K1422">
        <v>0</v>
      </c>
      <c r="L1422">
        <v>2050</v>
      </c>
      <c r="M1422">
        <v>2050</v>
      </c>
      <c r="N1422">
        <v>0</v>
      </c>
    </row>
    <row r="1423" spans="1:14" x14ac:dyDescent="0.25">
      <c r="A1423">
        <v>1038.5487459999999</v>
      </c>
      <c r="B1423" s="1">
        <f>DATE(2013,3,4) + TIME(13,10,11)</f>
        <v>41337.548738425925</v>
      </c>
      <c r="C1423">
        <v>80</v>
      </c>
      <c r="D1423">
        <v>68.556709290000001</v>
      </c>
      <c r="E1423">
        <v>50</v>
      </c>
      <c r="F1423">
        <v>49.968097686999997</v>
      </c>
      <c r="G1423">
        <v>1298.71875</v>
      </c>
      <c r="H1423">
        <v>1285.6071777</v>
      </c>
      <c r="I1423">
        <v>1384.9174805</v>
      </c>
      <c r="J1423">
        <v>1368.2058105000001</v>
      </c>
      <c r="K1423">
        <v>0</v>
      </c>
      <c r="L1423">
        <v>2050</v>
      </c>
      <c r="M1423">
        <v>2050</v>
      </c>
      <c r="N1423">
        <v>0</v>
      </c>
    </row>
    <row r="1424" spans="1:14" x14ac:dyDescent="0.25">
      <c r="A1424">
        <v>1042.1765350000001</v>
      </c>
      <c r="B1424" s="1">
        <f>DATE(2013,3,8) + TIME(4,14,12)</f>
        <v>41341.176527777781</v>
      </c>
      <c r="C1424">
        <v>80</v>
      </c>
      <c r="D1424">
        <v>68.269065857000001</v>
      </c>
      <c r="E1424">
        <v>50</v>
      </c>
      <c r="F1424">
        <v>49.968173981</v>
      </c>
      <c r="G1424">
        <v>1298.4160156</v>
      </c>
      <c r="H1424">
        <v>1285.1848144999999</v>
      </c>
      <c r="I1424">
        <v>1384.8868408000001</v>
      </c>
      <c r="J1424">
        <v>1368.1791992000001</v>
      </c>
      <c r="K1424">
        <v>0</v>
      </c>
      <c r="L1424">
        <v>2050</v>
      </c>
      <c r="M1424">
        <v>2050</v>
      </c>
      <c r="N1424">
        <v>0</v>
      </c>
    </row>
    <row r="1425" spans="1:14" x14ac:dyDescent="0.25">
      <c r="A1425">
        <v>1045.8611410000001</v>
      </c>
      <c r="B1425" s="1">
        <f>DATE(2013,3,11) + TIME(20,40,2)</f>
        <v>41344.861134259256</v>
      </c>
      <c r="C1425">
        <v>80</v>
      </c>
      <c r="D1425">
        <v>67.951515197999996</v>
      </c>
      <c r="E1425">
        <v>50</v>
      </c>
      <c r="F1425">
        <v>49.968250275000003</v>
      </c>
      <c r="G1425">
        <v>1298.0930175999999</v>
      </c>
      <c r="H1425">
        <v>1284.7269286999999</v>
      </c>
      <c r="I1425">
        <v>1384.855957</v>
      </c>
      <c r="J1425">
        <v>1368.1522216999999</v>
      </c>
      <c r="K1425">
        <v>0</v>
      </c>
      <c r="L1425">
        <v>2050</v>
      </c>
      <c r="M1425">
        <v>2050</v>
      </c>
      <c r="N1425">
        <v>0</v>
      </c>
    </row>
    <row r="1426" spans="1:14" x14ac:dyDescent="0.25">
      <c r="A1426">
        <v>1049.599901</v>
      </c>
      <c r="B1426" s="1">
        <f>DATE(2013,3,15) + TIME(14,23,51)</f>
        <v>41348.599895833337</v>
      </c>
      <c r="C1426">
        <v>80</v>
      </c>
      <c r="D1426">
        <v>67.615127563000001</v>
      </c>
      <c r="E1426">
        <v>50</v>
      </c>
      <c r="F1426">
        <v>49.968326568999998</v>
      </c>
      <c r="G1426">
        <v>1297.7600098</v>
      </c>
      <c r="H1426">
        <v>1284.2520752</v>
      </c>
      <c r="I1426">
        <v>1384.824707</v>
      </c>
      <c r="J1426">
        <v>1368.1251221</v>
      </c>
      <c r="K1426">
        <v>0</v>
      </c>
      <c r="L1426">
        <v>2050</v>
      </c>
      <c r="M1426">
        <v>2050</v>
      </c>
      <c r="N1426">
        <v>0</v>
      </c>
    </row>
    <row r="1427" spans="1:14" x14ac:dyDescent="0.25">
      <c r="A1427">
        <v>1053.391916</v>
      </c>
      <c r="B1427" s="1">
        <f>DATE(2013,3,19) + TIME(9,24,21)</f>
        <v>41352.391909722224</v>
      </c>
      <c r="C1427">
        <v>80</v>
      </c>
      <c r="D1427">
        <v>67.26171875</v>
      </c>
      <c r="E1427">
        <v>50</v>
      </c>
      <c r="F1427">
        <v>49.968402863000001</v>
      </c>
      <c r="G1427">
        <v>1297.4193115</v>
      </c>
      <c r="H1427">
        <v>1283.7644043</v>
      </c>
      <c r="I1427">
        <v>1384.7933350000001</v>
      </c>
      <c r="J1427">
        <v>1368.0976562000001</v>
      </c>
      <c r="K1427">
        <v>0</v>
      </c>
      <c r="L1427">
        <v>2050</v>
      </c>
      <c r="M1427">
        <v>2050</v>
      </c>
      <c r="N1427">
        <v>0</v>
      </c>
    </row>
    <row r="1428" spans="1:14" x14ac:dyDescent="0.25">
      <c r="A1428">
        <v>1057.2459309999999</v>
      </c>
      <c r="B1428" s="1">
        <f>DATE(2013,3,23) + TIME(5,54,8)</f>
        <v>41356.245925925927</v>
      </c>
      <c r="C1428">
        <v>80</v>
      </c>
      <c r="D1428">
        <v>66.891044617000006</v>
      </c>
      <c r="E1428">
        <v>50</v>
      </c>
      <c r="F1428">
        <v>49.968482971</v>
      </c>
      <c r="G1428">
        <v>1297.0717772999999</v>
      </c>
      <c r="H1428">
        <v>1283.2651367000001</v>
      </c>
      <c r="I1428">
        <v>1384.7615966999999</v>
      </c>
      <c r="J1428">
        <v>1368.0698242000001</v>
      </c>
      <c r="K1428">
        <v>0</v>
      </c>
      <c r="L1428">
        <v>2050</v>
      </c>
      <c r="M1428">
        <v>2050</v>
      </c>
      <c r="N1428">
        <v>0</v>
      </c>
    </row>
    <row r="1429" spans="1:14" x14ac:dyDescent="0.25">
      <c r="A1429">
        <v>1061.171061</v>
      </c>
      <c r="B1429" s="1">
        <f>DATE(2013,3,27) + TIME(4,6,19)</f>
        <v>41360.171053240738</v>
      </c>
      <c r="C1429">
        <v>80</v>
      </c>
      <c r="D1429">
        <v>66.501884459999999</v>
      </c>
      <c r="E1429">
        <v>50</v>
      </c>
      <c r="F1429">
        <v>49.968559265000003</v>
      </c>
      <c r="G1429">
        <v>1296.7171631000001</v>
      </c>
      <c r="H1429">
        <v>1282.7536620999999</v>
      </c>
      <c r="I1429">
        <v>1384.7296143000001</v>
      </c>
      <c r="J1429">
        <v>1368.0417480000001</v>
      </c>
      <c r="K1429">
        <v>0</v>
      </c>
      <c r="L1429">
        <v>2050</v>
      </c>
      <c r="M1429">
        <v>2050</v>
      </c>
      <c r="N1429">
        <v>0</v>
      </c>
    </row>
    <row r="1430" spans="1:14" x14ac:dyDescent="0.25">
      <c r="A1430">
        <v>1065.1769059999999</v>
      </c>
      <c r="B1430" s="1">
        <f>DATE(2013,3,31) + TIME(4,14,44)</f>
        <v>41364.176898148151</v>
      </c>
      <c r="C1430">
        <v>80</v>
      </c>
      <c r="D1430">
        <v>66.092750549000002</v>
      </c>
      <c r="E1430">
        <v>50</v>
      </c>
      <c r="F1430">
        <v>49.968639373999999</v>
      </c>
      <c r="G1430">
        <v>1296.3548584</v>
      </c>
      <c r="H1430">
        <v>1282.2292480000001</v>
      </c>
      <c r="I1430">
        <v>1384.6971435999999</v>
      </c>
      <c r="J1430">
        <v>1368.0133057</v>
      </c>
      <c r="K1430">
        <v>0</v>
      </c>
      <c r="L1430">
        <v>2050</v>
      </c>
      <c r="M1430">
        <v>2050</v>
      </c>
      <c r="N1430">
        <v>0</v>
      </c>
    </row>
    <row r="1431" spans="1:14" x14ac:dyDescent="0.25">
      <c r="A1431">
        <v>1066</v>
      </c>
      <c r="B1431" s="1">
        <f>DATE(2013,4,1) + TIME(0,0,0)</f>
        <v>41365</v>
      </c>
      <c r="C1431">
        <v>80</v>
      </c>
      <c r="D1431">
        <v>65.839591979999994</v>
      </c>
      <c r="E1431">
        <v>50</v>
      </c>
      <c r="F1431">
        <v>49.968650818</v>
      </c>
      <c r="G1431">
        <v>1296.0039062000001</v>
      </c>
      <c r="H1431">
        <v>1281.7612305</v>
      </c>
      <c r="I1431">
        <v>1384.6633300999999</v>
      </c>
      <c r="J1431">
        <v>1367.9833983999999</v>
      </c>
      <c r="K1431">
        <v>0</v>
      </c>
      <c r="L1431">
        <v>2050</v>
      </c>
      <c r="M1431">
        <v>2050</v>
      </c>
      <c r="N1431">
        <v>0</v>
      </c>
    </row>
    <row r="1432" spans="1:14" x14ac:dyDescent="0.25">
      <c r="A1432">
        <v>1070.0763890000001</v>
      </c>
      <c r="B1432" s="1">
        <f>DATE(2013,4,5) + TIME(1,50,0)</f>
        <v>41369.076388888891</v>
      </c>
      <c r="C1432">
        <v>80</v>
      </c>
      <c r="D1432">
        <v>65.541969299000002</v>
      </c>
      <c r="E1432">
        <v>50</v>
      </c>
      <c r="F1432">
        <v>49.968734740999999</v>
      </c>
      <c r="G1432">
        <v>1295.8879394999999</v>
      </c>
      <c r="H1432">
        <v>1281.5394286999999</v>
      </c>
      <c r="I1432">
        <v>1384.6574707</v>
      </c>
      <c r="J1432">
        <v>1367.9781493999999</v>
      </c>
      <c r="K1432">
        <v>0</v>
      </c>
      <c r="L1432">
        <v>2050</v>
      </c>
      <c r="M1432">
        <v>2050</v>
      </c>
      <c r="N1432">
        <v>0</v>
      </c>
    </row>
    <row r="1433" spans="1:14" x14ac:dyDescent="0.25">
      <c r="A1433">
        <v>1074.2396639999999</v>
      </c>
      <c r="B1433" s="1">
        <f>DATE(2013,4,9) + TIME(5,45,6)</f>
        <v>41373.239652777775</v>
      </c>
      <c r="C1433">
        <v>80</v>
      </c>
      <c r="D1433">
        <v>65.111694335999999</v>
      </c>
      <c r="E1433">
        <v>50</v>
      </c>
      <c r="F1433">
        <v>49.968818665000001</v>
      </c>
      <c r="G1433">
        <v>1295.5273437999999</v>
      </c>
      <c r="H1433">
        <v>1281.0224608999999</v>
      </c>
      <c r="I1433">
        <v>1384.6240233999999</v>
      </c>
      <c r="J1433">
        <v>1367.9486084</v>
      </c>
      <c r="K1433">
        <v>0</v>
      </c>
      <c r="L1433">
        <v>2050</v>
      </c>
      <c r="M1433">
        <v>2050</v>
      </c>
      <c r="N1433">
        <v>0</v>
      </c>
    </row>
    <row r="1434" spans="1:14" x14ac:dyDescent="0.25">
      <c r="A1434">
        <v>1078.48919</v>
      </c>
      <c r="B1434" s="1">
        <f>DATE(2013,4,13) + TIME(11,44,26)</f>
        <v>41377.489189814813</v>
      </c>
      <c r="C1434">
        <v>80</v>
      </c>
      <c r="D1434">
        <v>64.638648986999996</v>
      </c>
      <c r="E1434">
        <v>50</v>
      </c>
      <c r="F1434">
        <v>49.968898772999999</v>
      </c>
      <c r="G1434">
        <v>1295.1456298999999</v>
      </c>
      <c r="H1434">
        <v>1280.4648437999999</v>
      </c>
      <c r="I1434">
        <v>1384.5898437999999</v>
      </c>
      <c r="J1434">
        <v>1367.9183350000001</v>
      </c>
      <c r="K1434">
        <v>0</v>
      </c>
      <c r="L1434">
        <v>2050</v>
      </c>
      <c r="M1434">
        <v>2050</v>
      </c>
      <c r="N1434">
        <v>0</v>
      </c>
    </row>
    <row r="1435" spans="1:14" x14ac:dyDescent="0.25">
      <c r="A1435">
        <v>1082.836699</v>
      </c>
      <c r="B1435" s="1">
        <f>DATE(2013,4,17) + TIME(20,4,50)</f>
        <v>41381.836689814816</v>
      </c>
      <c r="C1435">
        <v>80</v>
      </c>
      <c r="D1435">
        <v>64.139091492000006</v>
      </c>
      <c r="E1435">
        <v>50</v>
      </c>
      <c r="F1435">
        <v>49.968982697000001</v>
      </c>
      <c r="G1435">
        <v>1294.7542725000001</v>
      </c>
      <c r="H1435">
        <v>1279.8895264</v>
      </c>
      <c r="I1435">
        <v>1384.5550536999999</v>
      </c>
      <c r="J1435">
        <v>1367.8874512</v>
      </c>
      <c r="K1435">
        <v>0</v>
      </c>
      <c r="L1435">
        <v>2050</v>
      </c>
      <c r="M1435">
        <v>2050</v>
      </c>
      <c r="N1435">
        <v>0</v>
      </c>
    </row>
    <row r="1436" spans="1:14" x14ac:dyDescent="0.25">
      <c r="A1436">
        <v>1087.279802</v>
      </c>
      <c r="B1436" s="1">
        <f>DATE(2013,4,22) + TIME(6,42,54)</f>
        <v>41386.279791666668</v>
      </c>
      <c r="C1436">
        <v>80</v>
      </c>
      <c r="D1436">
        <v>63.614448547000002</v>
      </c>
      <c r="E1436">
        <v>50</v>
      </c>
      <c r="F1436">
        <v>49.96906662</v>
      </c>
      <c r="G1436">
        <v>1294.3548584</v>
      </c>
      <c r="H1436">
        <v>1279.2999268000001</v>
      </c>
      <c r="I1436">
        <v>1384.5194091999999</v>
      </c>
      <c r="J1436">
        <v>1367.8557129000001</v>
      </c>
      <c r="K1436">
        <v>0</v>
      </c>
      <c r="L1436">
        <v>2050</v>
      </c>
      <c r="M1436">
        <v>2050</v>
      </c>
      <c r="N1436">
        <v>0</v>
      </c>
    </row>
    <row r="1437" spans="1:14" x14ac:dyDescent="0.25">
      <c r="A1437">
        <v>1091.814112</v>
      </c>
      <c r="B1437" s="1">
        <f>DATE(2013,4,26) + TIME(19,32,19)</f>
        <v>41390.814108796294</v>
      </c>
      <c r="C1437">
        <v>80</v>
      </c>
      <c r="D1437">
        <v>63.065719604000002</v>
      </c>
      <c r="E1437">
        <v>50</v>
      </c>
      <c r="F1437">
        <v>49.969154357999997</v>
      </c>
      <c r="G1437">
        <v>1293.9488524999999</v>
      </c>
      <c r="H1437">
        <v>1278.697876</v>
      </c>
      <c r="I1437">
        <v>1384.4830322</v>
      </c>
      <c r="J1437">
        <v>1367.8232422000001</v>
      </c>
      <c r="K1437">
        <v>0</v>
      </c>
      <c r="L1437">
        <v>2050</v>
      </c>
      <c r="M1437">
        <v>2050</v>
      </c>
      <c r="N1437">
        <v>0</v>
      </c>
    </row>
    <row r="1438" spans="1:14" x14ac:dyDescent="0.25">
      <c r="A1438">
        <v>1096</v>
      </c>
      <c r="B1438" s="1">
        <f>DATE(2013,5,1) + TIME(0,0,0)</f>
        <v>41395</v>
      </c>
      <c r="C1438">
        <v>80</v>
      </c>
      <c r="D1438">
        <v>62.502784728999998</v>
      </c>
      <c r="E1438">
        <v>50</v>
      </c>
      <c r="F1438">
        <v>49.969230652</v>
      </c>
      <c r="G1438">
        <v>1293.5379639</v>
      </c>
      <c r="H1438">
        <v>1278.0886230000001</v>
      </c>
      <c r="I1438">
        <v>1384.4458007999999</v>
      </c>
      <c r="J1438">
        <v>1367.7899170000001</v>
      </c>
      <c r="K1438">
        <v>0</v>
      </c>
      <c r="L1438">
        <v>2050</v>
      </c>
      <c r="M1438">
        <v>2050</v>
      </c>
      <c r="N1438">
        <v>0</v>
      </c>
    </row>
    <row r="1439" spans="1:14" x14ac:dyDescent="0.25">
      <c r="A1439">
        <v>1096.0000010000001</v>
      </c>
      <c r="B1439" s="1">
        <f>DATE(2013,5,1) + TIME(0,0,0)</f>
        <v>41395</v>
      </c>
      <c r="C1439">
        <v>80</v>
      </c>
      <c r="D1439">
        <v>62.502948760999999</v>
      </c>
      <c r="E1439">
        <v>50</v>
      </c>
      <c r="F1439">
        <v>49.969120025999999</v>
      </c>
      <c r="G1439">
        <v>1316.9470214999999</v>
      </c>
      <c r="H1439">
        <v>1294.5794678</v>
      </c>
      <c r="I1439">
        <v>1366.8927002</v>
      </c>
      <c r="J1439">
        <v>1344.208374</v>
      </c>
      <c r="K1439">
        <v>2875</v>
      </c>
      <c r="L1439">
        <v>0</v>
      </c>
      <c r="M1439">
        <v>0</v>
      </c>
      <c r="N1439">
        <v>2875</v>
      </c>
    </row>
    <row r="1440" spans="1:14" x14ac:dyDescent="0.25">
      <c r="A1440">
        <v>1096.000004</v>
      </c>
      <c r="B1440" s="1">
        <f>DATE(2013,5,1) + TIME(0,0,0)</f>
        <v>41395</v>
      </c>
      <c r="C1440">
        <v>80</v>
      </c>
      <c r="D1440">
        <v>62.503395081000001</v>
      </c>
      <c r="E1440">
        <v>50</v>
      </c>
      <c r="F1440">
        <v>49.968814850000001</v>
      </c>
      <c r="G1440">
        <v>1319.3798827999999</v>
      </c>
      <c r="H1440">
        <v>1297.2795410000001</v>
      </c>
      <c r="I1440">
        <v>1364.4996338000001</v>
      </c>
      <c r="J1440">
        <v>1341.8144531</v>
      </c>
      <c r="K1440">
        <v>2875</v>
      </c>
      <c r="L1440">
        <v>0</v>
      </c>
      <c r="M1440">
        <v>0</v>
      </c>
      <c r="N1440">
        <v>2875</v>
      </c>
    </row>
    <row r="1441" spans="1:14" x14ac:dyDescent="0.25">
      <c r="A1441">
        <v>1096.0000130000001</v>
      </c>
      <c r="B1441" s="1">
        <f>DATE(2013,5,1) + TIME(0,0,1)</f>
        <v>41395.000011574077</v>
      </c>
      <c r="C1441">
        <v>80</v>
      </c>
      <c r="D1441">
        <v>62.504421233999999</v>
      </c>
      <c r="E1441">
        <v>50</v>
      </c>
      <c r="F1441">
        <v>49.968139647999998</v>
      </c>
      <c r="G1441">
        <v>1324.7553711</v>
      </c>
      <c r="H1441">
        <v>1303.0175781</v>
      </c>
      <c r="I1441">
        <v>1359.1312256000001</v>
      </c>
      <c r="J1441">
        <v>1336.4448242000001</v>
      </c>
      <c r="K1441">
        <v>2875</v>
      </c>
      <c r="L1441">
        <v>0</v>
      </c>
      <c r="M1441">
        <v>0</v>
      </c>
      <c r="N1441">
        <v>2875</v>
      </c>
    </row>
    <row r="1442" spans="1:14" x14ac:dyDescent="0.25">
      <c r="A1442">
        <v>1096.0000399999999</v>
      </c>
      <c r="B1442" s="1">
        <f>DATE(2013,5,1) + TIME(0,0,3)</f>
        <v>41395.000034722223</v>
      </c>
      <c r="C1442">
        <v>80</v>
      </c>
      <c r="D1442">
        <v>62.506393433</v>
      </c>
      <c r="E1442">
        <v>50</v>
      </c>
      <c r="F1442">
        <v>49.967006683000001</v>
      </c>
      <c r="G1442">
        <v>1333.5705565999999</v>
      </c>
      <c r="H1442">
        <v>1311.9913329999999</v>
      </c>
      <c r="I1442">
        <v>1350.1582031</v>
      </c>
      <c r="J1442">
        <v>1327.4736327999999</v>
      </c>
      <c r="K1442">
        <v>2875</v>
      </c>
      <c r="L1442">
        <v>0</v>
      </c>
      <c r="M1442">
        <v>0</v>
      </c>
      <c r="N1442">
        <v>2875</v>
      </c>
    </row>
    <row r="1443" spans="1:14" x14ac:dyDescent="0.25">
      <c r="A1443">
        <v>1096.000121</v>
      </c>
      <c r="B1443" s="1">
        <f>DATE(2013,5,1) + TIME(0,0,10)</f>
        <v>41395.000115740739</v>
      </c>
      <c r="C1443">
        <v>80</v>
      </c>
      <c r="D1443">
        <v>62.510147095000001</v>
      </c>
      <c r="E1443">
        <v>50</v>
      </c>
      <c r="F1443">
        <v>49.965618134000003</v>
      </c>
      <c r="G1443">
        <v>1344.2650146000001</v>
      </c>
      <c r="H1443">
        <v>1322.574707</v>
      </c>
      <c r="I1443">
        <v>1339.2036132999999</v>
      </c>
      <c r="J1443">
        <v>1316.5256348</v>
      </c>
      <c r="K1443">
        <v>2875</v>
      </c>
      <c r="L1443">
        <v>0</v>
      </c>
      <c r="M1443">
        <v>0</v>
      </c>
      <c r="N1443">
        <v>2875</v>
      </c>
    </row>
    <row r="1444" spans="1:14" x14ac:dyDescent="0.25">
      <c r="A1444">
        <v>1096.000364</v>
      </c>
      <c r="B1444" s="1">
        <f>DATE(2013,5,1) + TIME(0,0,31)</f>
        <v>41395.000358796293</v>
      </c>
      <c r="C1444">
        <v>80</v>
      </c>
      <c r="D1444">
        <v>62.518703461000001</v>
      </c>
      <c r="E1444">
        <v>50</v>
      </c>
      <c r="F1444">
        <v>49.964160919000001</v>
      </c>
      <c r="G1444">
        <v>1355.3933105000001</v>
      </c>
      <c r="H1444">
        <v>1333.5391846</v>
      </c>
      <c r="I1444">
        <v>1327.9239502</v>
      </c>
      <c r="J1444">
        <v>1305.2579346</v>
      </c>
      <c r="K1444">
        <v>2875</v>
      </c>
      <c r="L1444">
        <v>0</v>
      </c>
      <c r="M1444">
        <v>0</v>
      </c>
      <c r="N1444">
        <v>2875</v>
      </c>
    </row>
    <row r="1445" spans="1:14" x14ac:dyDescent="0.25">
      <c r="A1445">
        <v>1096.0010930000001</v>
      </c>
      <c r="B1445" s="1">
        <f>DATE(2013,5,1) + TIME(0,1,34)</f>
        <v>41395.001087962963</v>
      </c>
      <c r="C1445">
        <v>80</v>
      </c>
      <c r="D1445">
        <v>62.541641235</v>
      </c>
      <c r="E1445">
        <v>50</v>
      </c>
      <c r="F1445">
        <v>49.962627411</v>
      </c>
      <c r="G1445">
        <v>1366.8466797000001</v>
      </c>
      <c r="H1445">
        <v>1344.8128661999999</v>
      </c>
      <c r="I1445">
        <v>1316.6428223</v>
      </c>
      <c r="J1445">
        <v>1293.9897461</v>
      </c>
      <c r="K1445">
        <v>2875</v>
      </c>
      <c r="L1445">
        <v>0</v>
      </c>
      <c r="M1445">
        <v>0</v>
      </c>
      <c r="N1445">
        <v>2875</v>
      </c>
    </row>
    <row r="1446" spans="1:14" x14ac:dyDescent="0.25">
      <c r="A1446">
        <v>1096.0032799999999</v>
      </c>
      <c r="B1446" s="1">
        <f>DATE(2013,5,1) + TIME(0,4,43)</f>
        <v>41395.003275462965</v>
      </c>
      <c r="C1446">
        <v>80</v>
      </c>
      <c r="D1446">
        <v>62.607952118</v>
      </c>
      <c r="E1446">
        <v>50</v>
      </c>
      <c r="F1446">
        <v>49.960853577000002</v>
      </c>
      <c r="G1446">
        <v>1378.9613036999999</v>
      </c>
      <c r="H1446">
        <v>1356.7258300999999</v>
      </c>
      <c r="I1446">
        <v>1305.2257079999999</v>
      </c>
      <c r="J1446">
        <v>1282.5529785000001</v>
      </c>
      <c r="K1446">
        <v>2875</v>
      </c>
      <c r="L1446">
        <v>0</v>
      </c>
      <c r="M1446">
        <v>0</v>
      </c>
      <c r="N1446">
        <v>2875</v>
      </c>
    </row>
    <row r="1447" spans="1:14" x14ac:dyDescent="0.25">
      <c r="A1447">
        <v>1096.0098410000001</v>
      </c>
      <c r="B1447" s="1">
        <f>DATE(2013,5,1) + TIME(0,14,10)</f>
        <v>41395.009837962964</v>
      </c>
      <c r="C1447">
        <v>80</v>
      </c>
      <c r="D1447">
        <v>62.803344727000002</v>
      </c>
      <c r="E1447">
        <v>50</v>
      </c>
      <c r="F1447">
        <v>49.958419800000001</v>
      </c>
      <c r="G1447">
        <v>1391.1628418</v>
      </c>
      <c r="H1447">
        <v>1368.7822266000001</v>
      </c>
      <c r="I1447">
        <v>1293.9208983999999</v>
      </c>
      <c r="J1447">
        <v>1271.1801757999999</v>
      </c>
      <c r="K1447">
        <v>2875</v>
      </c>
      <c r="L1447">
        <v>0</v>
      </c>
      <c r="M1447">
        <v>0</v>
      </c>
      <c r="N1447">
        <v>2875</v>
      </c>
    </row>
    <row r="1448" spans="1:14" x14ac:dyDescent="0.25">
      <c r="A1448">
        <v>1096.029524</v>
      </c>
      <c r="B1448" s="1">
        <f>DATE(2013,5,1) + TIME(0,42,30)</f>
        <v>41395.029513888891</v>
      </c>
      <c r="C1448">
        <v>80</v>
      </c>
      <c r="D1448">
        <v>63.369689940999997</v>
      </c>
      <c r="E1448">
        <v>50</v>
      </c>
      <c r="F1448">
        <v>49.954292297000002</v>
      </c>
      <c r="G1448">
        <v>1400.8653564000001</v>
      </c>
      <c r="H1448">
        <v>1378.5546875</v>
      </c>
      <c r="I1448">
        <v>1284.8679199000001</v>
      </c>
      <c r="J1448">
        <v>1262.067749</v>
      </c>
      <c r="K1448">
        <v>2875</v>
      </c>
      <c r="L1448">
        <v>0</v>
      </c>
      <c r="M1448">
        <v>0</v>
      </c>
      <c r="N1448">
        <v>2875</v>
      </c>
    </row>
    <row r="1449" spans="1:14" x14ac:dyDescent="0.25">
      <c r="A1449">
        <v>1096.0517110000001</v>
      </c>
      <c r="B1449" s="1">
        <f>DATE(2013,5,1) + TIME(1,14,27)</f>
        <v>41395.051701388889</v>
      </c>
      <c r="C1449">
        <v>80</v>
      </c>
      <c r="D1449">
        <v>63.984577178999999</v>
      </c>
      <c r="E1449">
        <v>50</v>
      </c>
      <c r="F1449">
        <v>49.950534820999998</v>
      </c>
      <c r="G1449">
        <v>1404.4613036999999</v>
      </c>
      <c r="H1449">
        <v>1382.3135986</v>
      </c>
      <c r="I1449">
        <v>1281.6251221</v>
      </c>
      <c r="J1449">
        <v>1258.8061522999999</v>
      </c>
      <c r="K1449">
        <v>2875</v>
      </c>
      <c r="L1449">
        <v>0</v>
      </c>
      <c r="M1449">
        <v>0</v>
      </c>
      <c r="N1449">
        <v>2875</v>
      </c>
    </row>
    <row r="1450" spans="1:14" x14ac:dyDescent="0.25">
      <c r="A1450">
        <v>1096.0744079999999</v>
      </c>
      <c r="B1450" s="1">
        <f>DATE(2013,5,1) + TIME(1,47,8)</f>
        <v>41395.07439814815</v>
      </c>
      <c r="C1450">
        <v>80</v>
      </c>
      <c r="D1450">
        <v>64.589904785000002</v>
      </c>
      <c r="E1450">
        <v>50</v>
      </c>
      <c r="F1450">
        <v>49.946998596</v>
      </c>
      <c r="G1450">
        <v>1405.7805175999999</v>
      </c>
      <c r="H1450">
        <v>1383.8121338000001</v>
      </c>
      <c r="I1450">
        <v>1280.5136719</v>
      </c>
      <c r="J1450">
        <v>1257.6882324000001</v>
      </c>
      <c r="K1450">
        <v>2875</v>
      </c>
      <c r="L1450">
        <v>0</v>
      </c>
      <c r="M1450">
        <v>0</v>
      </c>
      <c r="N1450">
        <v>2875</v>
      </c>
    </row>
    <row r="1451" spans="1:14" x14ac:dyDescent="0.25">
      <c r="A1451">
        <v>1096.097581</v>
      </c>
      <c r="B1451" s="1">
        <f>DATE(2013,5,1) + TIME(2,20,30)</f>
        <v>41395.097569444442</v>
      </c>
      <c r="C1451">
        <v>80</v>
      </c>
      <c r="D1451">
        <v>65.184249878000003</v>
      </c>
      <c r="E1451">
        <v>50</v>
      </c>
      <c r="F1451">
        <v>49.943515777999998</v>
      </c>
      <c r="G1451">
        <v>1406.2176514</v>
      </c>
      <c r="H1451">
        <v>1384.4293213000001</v>
      </c>
      <c r="I1451">
        <v>1280.1578368999999</v>
      </c>
      <c r="J1451">
        <v>1257.3297118999999</v>
      </c>
      <c r="K1451">
        <v>2875</v>
      </c>
      <c r="L1451">
        <v>0</v>
      </c>
      <c r="M1451">
        <v>0</v>
      </c>
      <c r="N1451">
        <v>2875</v>
      </c>
    </row>
    <row r="1452" spans="1:14" x14ac:dyDescent="0.25">
      <c r="A1452">
        <v>1096.1212370000001</v>
      </c>
      <c r="B1452" s="1">
        <f>DATE(2013,5,1) + TIME(2,54,34)</f>
        <v>41395.12122685185</v>
      </c>
      <c r="C1452">
        <v>80</v>
      </c>
      <c r="D1452">
        <v>65.767295837000006</v>
      </c>
      <c r="E1452">
        <v>50</v>
      </c>
      <c r="F1452">
        <v>49.940032959</v>
      </c>
      <c r="G1452">
        <v>1406.2794189000001</v>
      </c>
      <c r="H1452">
        <v>1384.6672363</v>
      </c>
      <c r="I1452">
        <v>1280.0700684000001</v>
      </c>
      <c r="J1452">
        <v>1257.2408447</v>
      </c>
      <c r="K1452">
        <v>2875</v>
      </c>
      <c r="L1452">
        <v>0</v>
      </c>
      <c r="M1452">
        <v>0</v>
      </c>
      <c r="N1452">
        <v>2875</v>
      </c>
    </row>
    <row r="1453" spans="1:14" x14ac:dyDescent="0.25">
      <c r="A1453">
        <v>1096.145395</v>
      </c>
      <c r="B1453" s="1">
        <f>DATE(2013,5,1) + TIME(3,29,22)</f>
        <v>41395.14539351852</v>
      </c>
      <c r="C1453">
        <v>80</v>
      </c>
      <c r="D1453">
        <v>66.338905334000003</v>
      </c>
      <c r="E1453">
        <v>50</v>
      </c>
      <c r="F1453">
        <v>49.936523438000002</v>
      </c>
      <c r="G1453">
        <v>1406.1730957</v>
      </c>
      <c r="H1453">
        <v>1384.7318115</v>
      </c>
      <c r="I1453">
        <v>1280.0698242000001</v>
      </c>
      <c r="J1453">
        <v>1257.2399902</v>
      </c>
      <c r="K1453">
        <v>2875</v>
      </c>
      <c r="L1453">
        <v>0</v>
      </c>
      <c r="M1453">
        <v>0</v>
      </c>
      <c r="N1453">
        <v>2875</v>
      </c>
    </row>
    <row r="1454" spans="1:14" x14ac:dyDescent="0.25">
      <c r="A1454">
        <v>1096.170075</v>
      </c>
      <c r="B1454" s="1">
        <f>DATE(2013,5,1) + TIME(4,4,54)</f>
        <v>41395.170069444444</v>
      </c>
      <c r="C1454">
        <v>80</v>
      </c>
      <c r="D1454">
        <v>66.899009704999997</v>
      </c>
      <c r="E1454">
        <v>50</v>
      </c>
      <c r="F1454">
        <v>49.932979584000002</v>
      </c>
      <c r="G1454">
        <v>1405.989624</v>
      </c>
      <c r="H1454">
        <v>1384.7136230000001</v>
      </c>
      <c r="I1454">
        <v>1280.0916748</v>
      </c>
      <c r="J1454">
        <v>1257.2613524999999</v>
      </c>
      <c r="K1454">
        <v>2875</v>
      </c>
      <c r="L1454">
        <v>0</v>
      </c>
      <c r="M1454">
        <v>0</v>
      </c>
      <c r="N1454">
        <v>2875</v>
      </c>
    </row>
    <row r="1455" spans="1:14" x14ac:dyDescent="0.25">
      <c r="A1455">
        <v>1096.1953080000001</v>
      </c>
      <c r="B1455" s="1">
        <f>DATE(2013,5,1) + TIME(4,41,14)</f>
        <v>41395.195300925923</v>
      </c>
      <c r="C1455">
        <v>80</v>
      </c>
      <c r="D1455">
        <v>67.447784424000005</v>
      </c>
      <c r="E1455">
        <v>50</v>
      </c>
      <c r="F1455">
        <v>49.929397582999997</v>
      </c>
      <c r="G1455">
        <v>1405.770874</v>
      </c>
      <c r="H1455">
        <v>1384.6546631000001</v>
      </c>
      <c r="I1455">
        <v>1280.1137695</v>
      </c>
      <c r="J1455">
        <v>1257.2830810999999</v>
      </c>
      <c r="K1455">
        <v>2875</v>
      </c>
      <c r="L1455">
        <v>0</v>
      </c>
      <c r="M1455">
        <v>0</v>
      </c>
      <c r="N1455">
        <v>2875</v>
      </c>
    </row>
    <row r="1456" spans="1:14" x14ac:dyDescent="0.25">
      <c r="A1456">
        <v>1096.221127</v>
      </c>
      <c r="B1456" s="1">
        <f>DATE(2013,5,1) + TIME(5,18,25)</f>
        <v>41395.221122685187</v>
      </c>
      <c r="C1456">
        <v>80</v>
      </c>
      <c r="D1456">
        <v>67.985328674000002</v>
      </c>
      <c r="E1456">
        <v>50</v>
      </c>
      <c r="F1456">
        <v>49.925769805999998</v>
      </c>
      <c r="G1456">
        <v>1405.5373535000001</v>
      </c>
      <c r="H1456">
        <v>1384.5753173999999</v>
      </c>
      <c r="I1456">
        <v>1280.1307373</v>
      </c>
      <c r="J1456">
        <v>1257.2996826000001</v>
      </c>
      <c r="K1456">
        <v>2875</v>
      </c>
      <c r="L1456">
        <v>0</v>
      </c>
      <c r="M1456">
        <v>0</v>
      </c>
      <c r="N1456">
        <v>2875</v>
      </c>
    </row>
    <row r="1457" spans="1:14" x14ac:dyDescent="0.25">
      <c r="A1457">
        <v>1096.2475629999999</v>
      </c>
      <c r="B1457" s="1">
        <f>DATE(2013,5,1) + TIME(5,56,29)</f>
        <v>41395.247557870367</v>
      </c>
      <c r="C1457">
        <v>80</v>
      </c>
      <c r="D1457">
        <v>68.511711121000005</v>
      </c>
      <c r="E1457">
        <v>50</v>
      </c>
      <c r="F1457">
        <v>49.922092438</v>
      </c>
      <c r="G1457">
        <v>1405.2991943</v>
      </c>
      <c r="H1457">
        <v>1384.4860839999999</v>
      </c>
      <c r="I1457">
        <v>1280.1423339999999</v>
      </c>
      <c r="J1457">
        <v>1257.3109131000001</v>
      </c>
      <c r="K1457">
        <v>2875</v>
      </c>
      <c r="L1457">
        <v>0</v>
      </c>
      <c r="M1457">
        <v>0</v>
      </c>
      <c r="N1457">
        <v>2875</v>
      </c>
    </row>
    <row r="1458" spans="1:14" x14ac:dyDescent="0.25">
      <c r="A1458">
        <v>1096.2746549999999</v>
      </c>
      <c r="B1458" s="1">
        <f>DATE(2013,5,1) + TIME(6,35,30)</f>
        <v>41395.274652777778</v>
      </c>
      <c r="C1458">
        <v>80</v>
      </c>
      <c r="D1458">
        <v>69.027015685999999</v>
      </c>
      <c r="E1458">
        <v>50</v>
      </c>
      <c r="F1458">
        <v>49.918365479000002</v>
      </c>
      <c r="G1458">
        <v>1405.0614014</v>
      </c>
      <c r="H1458">
        <v>1384.3923339999999</v>
      </c>
      <c r="I1458">
        <v>1280.1497803</v>
      </c>
      <c r="J1458">
        <v>1257.3178711</v>
      </c>
      <c r="K1458">
        <v>2875</v>
      </c>
      <c r="L1458">
        <v>0</v>
      </c>
      <c r="M1458">
        <v>0</v>
      </c>
      <c r="N1458">
        <v>2875</v>
      </c>
    </row>
    <row r="1459" spans="1:14" x14ac:dyDescent="0.25">
      <c r="A1459">
        <v>1096.3024399999999</v>
      </c>
      <c r="B1459" s="1">
        <f>DATE(2013,5,1) + TIME(7,15,30)</f>
        <v>41395.302430555559</v>
      </c>
      <c r="C1459">
        <v>80</v>
      </c>
      <c r="D1459">
        <v>69.531303406000006</v>
      </c>
      <c r="E1459">
        <v>50</v>
      </c>
      <c r="F1459">
        <v>49.914581298999998</v>
      </c>
      <c r="G1459">
        <v>1404.8270264</v>
      </c>
      <c r="H1459">
        <v>1384.296875</v>
      </c>
      <c r="I1459">
        <v>1280.1542969</v>
      </c>
      <c r="J1459">
        <v>1257.3220214999999</v>
      </c>
      <c r="K1459">
        <v>2875</v>
      </c>
      <c r="L1459">
        <v>0</v>
      </c>
      <c r="M1459">
        <v>0</v>
      </c>
      <c r="N1459">
        <v>2875</v>
      </c>
    </row>
    <row r="1460" spans="1:14" x14ac:dyDescent="0.25">
      <c r="A1460">
        <v>1096.330962</v>
      </c>
      <c r="B1460" s="1">
        <f>DATE(2013,5,1) + TIME(7,56,35)</f>
        <v>41395.330960648149</v>
      </c>
      <c r="C1460">
        <v>80</v>
      </c>
      <c r="D1460">
        <v>70.024612426999994</v>
      </c>
      <c r="E1460">
        <v>50</v>
      </c>
      <c r="F1460">
        <v>49.910739898999999</v>
      </c>
      <c r="G1460">
        <v>1404.597168</v>
      </c>
      <c r="H1460">
        <v>1384.2012939000001</v>
      </c>
      <c r="I1460">
        <v>1280.1569824000001</v>
      </c>
      <c r="J1460">
        <v>1257.3243408000001</v>
      </c>
      <c r="K1460">
        <v>2875</v>
      </c>
      <c r="L1460">
        <v>0</v>
      </c>
      <c r="M1460">
        <v>0</v>
      </c>
      <c r="N1460">
        <v>2875</v>
      </c>
    </row>
    <row r="1461" spans="1:14" x14ac:dyDescent="0.25">
      <c r="A1461">
        <v>1096.360267</v>
      </c>
      <c r="B1461" s="1">
        <f>DATE(2013,5,1) + TIME(8,38,47)</f>
        <v>41395.360266203701</v>
      </c>
      <c r="C1461">
        <v>80</v>
      </c>
      <c r="D1461">
        <v>70.506652832</v>
      </c>
      <c r="E1461">
        <v>50</v>
      </c>
      <c r="F1461">
        <v>49.906837463000002</v>
      </c>
      <c r="G1461">
        <v>1404.3726807</v>
      </c>
      <c r="H1461">
        <v>1384.1064452999999</v>
      </c>
      <c r="I1461">
        <v>1280.1584473</v>
      </c>
      <c r="J1461">
        <v>1257.3253173999999</v>
      </c>
      <c r="K1461">
        <v>2875</v>
      </c>
      <c r="L1461">
        <v>0</v>
      </c>
      <c r="M1461">
        <v>0</v>
      </c>
      <c r="N1461">
        <v>2875</v>
      </c>
    </row>
    <row r="1462" spans="1:14" x14ac:dyDescent="0.25">
      <c r="A1462">
        <v>1096.390404</v>
      </c>
      <c r="B1462" s="1">
        <f>DATE(2013,5,1) + TIME(9,22,10)</f>
        <v>41395.390393518515</v>
      </c>
      <c r="C1462">
        <v>80</v>
      </c>
      <c r="D1462">
        <v>70.977798461999996</v>
      </c>
      <c r="E1462">
        <v>50</v>
      </c>
      <c r="F1462">
        <v>49.902866363999998</v>
      </c>
      <c r="G1462">
        <v>1404.1538086</v>
      </c>
      <c r="H1462">
        <v>1384.0128173999999</v>
      </c>
      <c r="I1462">
        <v>1280.1591797000001</v>
      </c>
      <c r="J1462">
        <v>1257.3256836</v>
      </c>
      <c r="K1462">
        <v>2875</v>
      </c>
      <c r="L1462">
        <v>0</v>
      </c>
      <c r="M1462">
        <v>0</v>
      </c>
      <c r="N1462">
        <v>2875</v>
      </c>
    </row>
    <row r="1463" spans="1:14" x14ac:dyDescent="0.25">
      <c r="A1463">
        <v>1096.421429</v>
      </c>
      <c r="B1463" s="1">
        <f>DATE(2013,5,1) + TIME(10,6,51)</f>
        <v>41395.421423611115</v>
      </c>
      <c r="C1463">
        <v>80</v>
      </c>
      <c r="D1463">
        <v>71.438079834000007</v>
      </c>
      <c r="E1463">
        <v>50</v>
      </c>
      <c r="F1463">
        <v>49.898826599000003</v>
      </c>
      <c r="G1463">
        <v>1403.9404297000001</v>
      </c>
      <c r="H1463">
        <v>1383.9206543</v>
      </c>
      <c r="I1463">
        <v>1280.1594238</v>
      </c>
      <c r="J1463">
        <v>1257.3255615</v>
      </c>
      <c r="K1463">
        <v>2875</v>
      </c>
      <c r="L1463">
        <v>0</v>
      </c>
      <c r="M1463">
        <v>0</v>
      </c>
      <c r="N1463">
        <v>2875</v>
      </c>
    </row>
    <row r="1464" spans="1:14" x14ac:dyDescent="0.25">
      <c r="A1464">
        <v>1096.4534120000001</v>
      </c>
      <c r="B1464" s="1">
        <f>DATE(2013,5,1) + TIME(10,52,54)</f>
        <v>41395.453402777777</v>
      </c>
      <c r="C1464">
        <v>80</v>
      </c>
      <c r="D1464">
        <v>71.887626647999994</v>
      </c>
      <c r="E1464">
        <v>50</v>
      </c>
      <c r="F1464">
        <v>49.894702911000003</v>
      </c>
      <c r="G1464">
        <v>1403.7325439000001</v>
      </c>
      <c r="H1464">
        <v>1383.8298339999999</v>
      </c>
      <c r="I1464">
        <v>1280.1594238</v>
      </c>
      <c r="J1464">
        <v>1257.3250731999999</v>
      </c>
      <c r="K1464">
        <v>2875</v>
      </c>
      <c r="L1464">
        <v>0</v>
      </c>
      <c r="M1464">
        <v>0</v>
      </c>
      <c r="N1464">
        <v>2875</v>
      </c>
    </row>
    <row r="1465" spans="1:14" x14ac:dyDescent="0.25">
      <c r="A1465">
        <v>1096.4864150000001</v>
      </c>
      <c r="B1465" s="1">
        <f>DATE(2013,5,1) + TIME(11,40,26)</f>
        <v>41395.48641203704</v>
      </c>
      <c r="C1465">
        <v>80</v>
      </c>
      <c r="D1465">
        <v>72.326393127000003</v>
      </c>
      <c r="E1465">
        <v>50</v>
      </c>
      <c r="F1465">
        <v>49.890495299999998</v>
      </c>
      <c r="G1465">
        <v>1403.5300293</v>
      </c>
      <c r="H1465">
        <v>1383.7403564000001</v>
      </c>
      <c r="I1465">
        <v>1280.1591797000001</v>
      </c>
      <c r="J1465">
        <v>1257.3243408000001</v>
      </c>
      <c r="K1465">
        <v>2875</v>
      </c>
      <c r="L1465">
        <v>0</v>
      </c>
      <c r="M1465">
        <v>0</v>
      </c>
      <c r="N1465">
        <v>2875</v>
      </c>
    </row>
    <row r="1466" spans="1:14" x14ac:dyDescent="0.25">
      <c r="A1466">
        <v>1096.5205060000001</v>
      </c>
      <c r="B1466" s="1">
        <f>DATE(2013,5,1) + TIME(12,29,31)</f>
        <v>41395.520497685182</v>
      </c>
      <c r="C1466">
        <v>80</v>
      </c>
      <c r="D1466">
        <v>72.754295349000003</v>
      </c>
      <c r="E1466">
        <v>50</v>
      </c>
      <c r="F1466">
        <v>49.886199951000002</v>
      </c>
      <c r="G1466">
        <v>1403.3326416</v>
      </c>
      <c r="H1466">
        <v>1383.6523437999999</v>
      </c>
      <c r="I1466">
        <v>1280.1588135</v>
      </c>
      <c r="J1466">
        <v>1257.3234863</v>
      </c>
      <c r="K1466">
        <v>2875</v>
      </c>
      <c r="L1466">
        <v>0</v>
      </c>
      <c r="M1466">
        <v>0</v>
      </c>
      <c r="N1466">
        <v>2875</v>
      </c>
    </row>
    <row r="1467" spans="1:14" x14ac:dyDescent="0.25">
      <c r="A1467">
        <v>1096.5557659999999</v>
      </c>
      <c r="B1467" s="1">
        <f>DATE(2013,5,1) + TIME(13,20,18)</f>
        <v>41395.555763888886</v>
      </c>
      <c r="C1467">
        <v>80</v>
      </c>
      <c r="D1467">
        <v>73.171325683999996</v>
      </c>
      <c r="E1467">
        <v>50</v>
      </c>
      <c r="F1467">
        <v>49.881805419999999</v>
      </c>
      <c r="G1467">
        <v>1403.1401367000001</v>
      </c>
      <c r="H1467">
        <v>1383.5655518000001</v>
      </c>
      <c r="I1467">
        <v>1280.1583252</v>
      </c>
      <c r="J1467">
        <v>1257.3226318</v>
      </c>
      <c r="K1467">
        <v>2875</v>
      </c>
      <c r="L1467">
        <v>0</v>
      </c>
      <c r="M1467">
        <v>0</v>
      </c>
      <c r="N1467">
        <v>2875</v>
      </c>
    </row>
    <row r="1468" spans="1:14" x14ac:dyDescent="0.25">
      <c r="A1468">
        <v>1096.5922840000001</v>
      </c>
      <c r="B1468" s="1">
        <f>DATE(2013,5,1) + TIME(14,12,53)</f>
        <v>41395.592280092591</v>
      </c>
      <c r="C1468">
        <v>80</v>
      </c>
      <c r="D1468">
        <v>73.577453613000003</v>
      </c>
      <c r="E1468">
        <v>50</v>
      </c>
      <c r="F1468">
        <v>49.877307891999997</v>
      </c>
      <c r="G1468">
        <v>1402.9522704999999</v>
      </c>
      <c r="H1468">
        <v>1383.4798584</v>
      </c>
      <c r="I1468">
        <v>1280.1578368999999</v>
      </c>
      <c r="J1468">
        <v>1257.3215332</v>
      </c>
      <c r="K1468">
        <v>2875</v>
      </c>
      <c r="L1468">
        <v>0</v>
      </c>
      <c r="M1468">
        <v>0</v>
      </c>
      <c r="N1468">
        <v>2875</v>
      </c>
    </row>
    <row r="1469" spans="1:14" x14ac:dyDescent="0.25">
      <c r="A1469">
        <v>1096.630159</v>
      </c>
      <c r="B1469" s="1">
        <f>DATE(2013,5,1) + TIME(15,7,25)</f>
        <v>41395.630150462966</v>
      </c>
      <c r="C1469">
        <v>80</v>
      </c>
      <c r="D1469">
        <v>73.972640991000006</v>
      </c>
      <c r="E1469">
        <v>50</v>
      </c>
      <c r="F1469">
        <v>49.872692108000003</v>
      </c>
      <c r="G1469">
        <v>1402.7689209</v>
      </c>
      <c r="H1469">
        <v>1383.3951416</v>
      </c>
      <c r="I1469">
        <v>1280.1572266000001</v>
      </c>
      <c r="J1469">
        <v>1257.3204346</v>
      </c>
      <c r="K1469">
        <v>2875</v>
      </c>
      <c r="L1469">
        <v>0</v>
      </c>
      <c r="M1469">
        <v>0</v>
      </c>
      <c r="N1469">
        <v>2875</v>
      </c>
    </row>
    <row r="1470" spans="1:14" x14ac:dyDescent="0.25">
      <c r="A1470">
        <v>1096.6695010000001</v>
      </c>
      <c r="B1470" s="1">
        <f>DATE(2013,5,1) + TIME(16,4,4)</f>
        <v>41395.669490740744</v>
      </c>
      <c r="C1470">
        <v>80</v>
      </c>
      <c r="D1470">
        <v>74.356849670000003</v>
      </c>
      <c r="E1470">
        <v>50</v>
      </c>
      <c r="F1470">
        <v>49.867954253999997</v>
      </c>
      <c r="G1470">
        <v>1402.5895995999999</v>
      </c>
      <c r="H1470">
        <v>1383.3112793</v>
      </c>
      <c r="I1470">
        <v>1280.1564940999999</v>
      </c>
      <c r="J1470">
        <v>1257.3193358999999</v>
      </c>
      <c r="K1470">
        <v>2875</v>
      </c>
      <c r="L1470">
        <v>0</v>
      </c>
      <c r="M1470">
        <v>0</v>
      </c>
      <c r="N1470">
        <v>2875</v>
      </c>
    </row>
    <row r="1471" spans="1:14" x14ac:dyDescent="0.25">
      <c r="A1471">
        <v>1096.7104360000001</v>
      </c>
      <c r="B1471" s="1">
        <f>DATE(2013,5,1) + TIME(17,3,1)</f>
        <v>41395.710428240738</v>
      </c>
      <c r="C1471">
        <v>80</v>
      </c>
      <c r="D1471">
        <v>74.730010985999996</v>
      </c>
      <c r="E1471">
        <v>50</v>
      </c>
      <c r="F1471">
        <v>49.863082886000001</v>
      </c>
      <c r="G1471">
        <v>1402.4143065999999</v>
      </c>
      <c r="H1471">
        <v>1383.2282714999999</v>
      </c>
      <c r="I1471">
        <v>1280.1557617000001</v>
      </c>
      <c r="J1471">
        <v>1257.3179932</v>
      </c>
      <c r="K1471">
        <v>2875</v>
      </c>
      <c r="L1471">
        <v>0</v>
      </c>
      <c r="M1471">
        <v>0</v>
      </c>
      <c r="N1471">
        <v>2875</v>
      </c>
    </row>
    <row r="1472" spans="1:14" x14ac:dyDescent="0.25">
      <c r="A1472">
        <v>1096.7531039999999</v>
      </c>
      <c r="B1472" s="1">
        <f>DATE(2013,5,1) + TIME(18,4,28)</f>
        <v>41395.753101851849</v>
      </c>
      <c r="C1472">
        <v>80</v>
      </c>
      <c r="D1472">
        <v>75.091987610000004</v>
      </c>
      <c r="E1472">
        <v>50</v>
      </c>
      <c r="F1472">
        <v>49.858062744000001</v>
      </c>
      <c r="G1472">
        <v>1402.2427978999999</v>
      </c>
      <c r="H1472">
        <v>1383.1457519999999</v>
      </c>
      <c r="I1472">
        <v>1280.1550293</v>
      </c>
      <c r="J1472">
        <v>1257.3166504000001</v>
      </c>
      <c r="K1472">
        <v>2875</v>
      </c>
      <c r="L1472">
        <v>0</v>
      </c>
      <c r="M1472">
        <v>0</v>
      </c>
      <c r="N1472">
        <v>2875</v>
      </c>
    </row>
    <row r="1473" spans="1:14" x14ac:dyDescent="0.25">
      <c r="A1473">
        <v>1096.7976619999999</v>
      </c>
      <c r="B1473" s="1">
        <f>DATE(2013,5,1) + TIME(19,8,38)</f>
        <v>41395.797662037039</v>
      </c>
      <c r="C1473">
        <v>80</v>
      </c>
      <c r="D1473">
        <v>75.442565918</v>
      </c>
      <c r="E1473">
        <v>50</v>
      </c>
      <c r="F1473">
        <v>49.852882385000001</v>
      </c>
      <c r="G1473">
        <v>1402.0745850000001</v>
      </c>
      <c r="H1473">
        <v>1383.0637207</v>
      </c>
      <c r="I1473">
        <v>1280.1541748</v>
      </c>
      <c r="J1473">
        <v>1257.3153076000001</v>
      </c>
      <c r="K1473">
        <v>2875</v>
      </c>
      <c r="L1473">
        <v>0</v>
      </c>
      <c r="M1473">
        <v>0</v>
      </c>
      <c r="N1473">
        <v>2875</v>
      </c>
    </row>
    <row r="1474" spans="1:14" x14ac:dyDescent="0.25">
      <c r="A1474">
        <v>1096.8443030000001</v>
      </c>
      <c r="B1474" s="1">
        <f>DATE(2013,5,1) + TIME(20,15,47)</f>
        <v>41395.844293981485</v>
      </c>
      <c r="C1474">
        <v>80</v>
      </c>
      <c r="D1474">
        <v>75.781913756999998</v>
      </c>
      <c r="E1474">
        <v>50</v>
      </c>
      <c r="F1474">
        <v>49.847522736000002</v>
      </c>
      <c r="G1474">
        <v>1401.909668</v>
      </c>
      <c r="H1474">
        <v>1382.9819336</v>
      </c>
      <c r="I1474">
        <v>1280.1531981999999</v>
      </c>
      <c r="J1474">
        <v>1257.3138428</v>
      </c>
      <c r="K1474">
        <v>2875</v>
      </c>
      <c r="L1474">
        <v>0</v>
      </c>
      <c r="M1474">
        <v>0</v>
      </c>
      <c r="N1474">
        <v>2875</v>
      </c>
    </row>
    <row r="1475" spans="1:14" x14ac:dyDescent="0.25">
      <c r="A1475">
        <v>1096.8932500000001</v>
      </c>
      <c r="B1475" s="1">
        <f>DATE(2013,5,1) + TIME(21,26,16)</f>
        <v>41395.893240740741</v>
      </c>
      <c r="C1475">
        <v>80</v>
      </c>
      <c r="D1475">
        <v>76.110015868999994</v>
      </c>
      <c r="E1475">
        <v>50</v>
      </c>
      <c r="F1475">
        <v>49.841968536000003</v>
      </c>
      <c r="G1475">
        <v>1401.7475586</v>
      </c>
      <c r="H1475">
        <v>1382.9002685999999</v>
      </c>
      <c r="I1475">
        <v>1280.1522216999999</v>
      </c>
      <c r="J1475">
        <v>1257.3122559000001</v>
      </c>
      <c r="K1475">
        <v>2875</v>
      </c>
      <c r="L1475">
        <v>0</v>
      </c>
      <c r="M1475">
        <v>0</v>
      </c>
      <c r="N1475">
        <v>2875</v>
      </c>
    </row>
    <row r="1476" spans="1:14" x14ac:dyDescent="0.25">
      <c r="A1476">
        <v>1096.944722</v>
      </c>
      <c r="B1476" s="1">
        <f>DATE(2013,5,1) + TIME(22,40,23)</f>
        <v>41395.944710648146</v>
      </c>
      <c r="C1476">
        <v>80</v>
      </c>
      <c r="D1476">
        <v>76.426597595000004</v>
      </c>
      <c r="E1476">
        <v>50</v>
      </c>
      <c r="F1476">
        <v>49.836196899000001</v>
      </c>
      <c r="G1476">
        <v>1401.5882568</v>
      </c>
      <c r="H1476">
        <v>1382.8186035000001</v>
      </c>
      <c r="I1476">
        <v>1280.1512451000001</v>
      </c>
      <c r="J1476">
        <v>1257.3105469</v>
      </c>
      <c r="K1476">
        <v>2875</v>
      </c>
      <c r="L1476">
        <v>0</v>
      </c>
      <c r="M1476">
        <v>0</v>
      </c>
      <c r="N1476">
        <v>2875</v>
      </c>
    </row>
    <row r="1477" spans="1:14" x14ac:dyDescent="0.25">
      <c r="A1477">
        <v>1096.9989969999999</v>
      </c>
      <c r="B1477" s="1">
        <f>DATE(2013,5,1) + TIME(23,58,33)</f>
        <v>41395.998993055553</v>
      </c>
      <c r="C1477">
        <v>80</v>
      </c>
      <c r="D1477">
        <v>76.731513977000006</v>
      </c>
      <c r="E1477">
        <v>50</v>
      </c>
      <c r="F1477">
        <v>49.830188751000001</v>
      </c>
      <c r="G1477">
        <v>1401.4313964999999</v>
      </c>
      <c r="H1477">
        <v>1382.7366943</v>
      </c>
      <c r="I1477">
        <v>1280.1501464999999</v>
      </c>
      <c r="J1477">
        <v>1257.3088379000001</v>
      </c>
      <c r="K1477">
        <v>2875</v>
      </c>
      <c r="L1477">
        <v>0</v>
      </c>
      <c r="M1477">
        <v>0</v>
      </c>
      <c r="N1477">
        <v>2875</v>
      </c>
    </row>
    <row r="1478" spans="1:14" x14ac:dyDescent="0.25">
      <c r="A1478">
        <v>1097.0564010000001</v>
      </c>
      <c r="B1478" s="1">
        <f>DATE(2013,5,2) + TIME(1,21,13)</f>
        <v>41396.056400462963</v>
      </c>
      <c r="C1478">
        <v>80</v>
      </c>
      <c r="D1478">
        <v>77.024620056000003</v>
      </c>
      <c r="E1478">
        <v>50</v>
      </c>
      <c r="F1478">
        <v>49.823913574000002</v>
      </c>
      <c r="G1478">
        <v>1401.2766113</v>
      </c>
      <c r="H1478">
        <v>1382.6544189000001</v>
      </c>
      <c r="I1478">
        <v>1280.1489257999999</v>
      </c>
      <c r="J1478">
        <v>1257.3070068</v>
      </c>
      <c r="K1478">
        <v>2875</v>
      </c>
      <c r="L1478">
        <v>0</v>
      </c>
      <c r="M1478">
        <v>0</v>
      </c>
      <c r="N1478">
        <v>2875</v>
      </c>
    </row>
    <row r="1479" spans="1:14" x14ac:dyDescent="0.25">
      <c r="A1479">
        <v>1097.1173180000001</v>
      </c>
      <c r="B1479" s="1">
        <f>DATE(2013,5,2) + TIME(2,48,56)</f>
        <v>41396.117314814815</v>
      </c>
      <c r="C1479">
        <v>80</v>
      </c>
      <c r="D1479">
        <v>77.305747986</v>
      </c>
      <c r="E1479">
        <v>50</v>
      </c>
      <c r="F1479">
        <v>49.817340850999997</v>
      </c>
      <c r="G1479">
        <v>1401.1237793</v>
      </c>
      <c r="H1479">
        <v>1382.5714111</v>
      </c>
      <c r="I1479">
        <v>1280.1477050999999</v>
      </c>
      <c r="J1479">
        <v>1257.3050536999999</v>
      </c>
      <c r="K1479">
        <v>2875</v>
      </c>
      <c r="L1479">
        <v>0</v>
      </c>
      <c r="M1479">
        <v>0</v>
      </c>
      <c r="N1479">
        <v>2875</v>
      </c>
    </row>
    <row r="1480" spans="1:14" x14ac:dyDescent="0.25">
      <c r="A1480">
        <v>1097.1821890000001</v>
      </c>
      <c r="B1480" s="1">
        <f>DATE(2013,5,2) + TIME(4,22,21)</f>
        <v>41396.182187500002</v>
      </c>
      <c r="C1480">
        <v>80</v>
      </c>
      <c r="D1480">
        <v>77.574661254999995</v>
      </c>
      <c r="E1480">
        <v>50</v>
      </c>
      <c r="F1480">
        <v>49.810432433999999</v>
      </c>
      <c r="G1480">
        <v>1400.9725341999999</v>
      </c>
      <c r="H1480">
        <v>1382.4876709</v>
      </c>
      <c r="I1480">
        <v>1280.1462402</v>
      </c>
      <c r="J1480">
        <v>1257.3029785000001</v>
      </c>
      <c r="K1480">
        <v>2875</v>
      </c>
      <c r="L1480">
        <v>0</v>
      </c>
      <c r="M1480">
        <v>0</v>
      </c>
      <c r="N1480">
        <v>2875</v>
      </c>
    </row>
    <row r="1481" spans="1:14" x14ac:dyDescent="0.25">
      <c r="A1481">
        <v>1097.251579</v>
      </c>
      <c r="B1481" s="1">
        <f>DATE(2013,5,2) + TIME(6,2,16)</f>
        <v>41396.251574074071</v>
      </c>
      <c r="C1481">
        <v>80</v>
      </c>
      <c r="D1481">
        <v>77.831199646000002</v>
      </c>
      <c r="E1481">
        <v>50</v>
      </c>
      <c r="F1481">
        <v>49.803142547999997</v>
      </c>
      <c r="G1481">
        <v>1400.8226318</v>
      </c>
      <c r="H1481">
        <v>1382.402832</v>
      </c>
      <c r="I1481">
        <v>1280.1448975000001</v>
      </c>
      <c r="J1481">
        <v>1257.3007812000001</v>
      </c>
      <c r="K1481">
        <v>2875</v>
      </c>
      <c r="L1481">
        <v>0</v>
      </c>
      <c r="M1481">
        <v>0</v>
      </c>
      <c r="N1481">
        <v>2875</v>
      </c>
    </row>
    <row r="1482" spans="1:14" x14ac:dyDescent="0.25">
      <c r="A1482">
        <v>1097.3261560000001</v>
      </c>
      <c r="B1482" s="1">
        <f>DATE(2013,5,2) + TIME(7,49,39)</f>
        <v>41396.326145833336</v>
      </c>
      <c r="C1482">
        <v>80</v>
      </c>
      <c r="D1482">
        <v>78.075141907000003</v>
      </c>
      <c r="E1482">
        <v>50</v>
      </c>
      <c r="F1482">
        <v>49.795421599999997</v>
      </c>
      <c r="G1482">
        <v>1400.6735839999999</v>
      </c>
      <c r="H1482">
        <v>1382.3165283000001</v>
      </c>
      <c r="I1482">
        <v>1280.1433105000001</v>
      </c>
      <c r="J1482">
        <v>1257.2983397999999</v>
      </c>
      <c r="K1482">
        <v>2875</v>
      </c>
      <c r="L1482">
        <v>0</v>
      </c>
      <c r="M1482">
        <v>0</v>
      </c>
      <c r="N1482">
        <v>2875</v>
      </c>
    </row>
    <row r="1483" spans="1:14" x14ac:dyDescent="0.25">
      <c r="A1483">
        <v>1097.406745</v>
      </c>
      <c r="B1483" s="1">
        <f>DATE(2013,5,2) + TIME(9,45,42)</f>
        <v>41396.406736111108</v>
      </c>
      <c r="C1483">
        <v>80</v>
      </c>
      <c r="D1483">
        <v>78.306228637999993</v>
      </c>
      <c r="E1483">
        <v>50</v>
      </c>
      <c r="F1483">
        <v>49.787197112999998</v>
      </c>
      <c r="G1483">
        <v>1400.5249022999999</v>
      </c>
      <c r="H1483">
        <v>1382.2285156</v>
      </c>
      <c r="I1483">
        <v>1280.1416016000001</v>
      </c>
      <c r="J1483">
        <v>1257.2958983999999</v>
      </c>
      <c r="K1483">
        <v>2875</v>
      </c>
      <c r="L1483">
        <v>0</v>
      </c>
      <c r="M1483">
        <v>0</v>
      </c>
      <c r="N1483">
        <v>2875</v>
      </c>
    </row>
    <row r="1484" spans="1:14" x14ac:dyDescent="0.25">
      <c r="A1484">
        <v>1097.4943780000001</v>
      </c>
      <c r="B1484" s="1">
        <f>DATE(2013,5,2) + TIME(11,51,54)</f>
        <v>41396.494375000002</v>
      </c>
      <c r="C1484">
        <v>80</v>
      </c>
      <c r="D1484">
        <v>78.524185181000007</v>
      </c>
      <c r="E1484">
        <v>50</v>
      </c>
      <c r="F1484">
        <v>49.778388976999999</v>
      </c>
      <c r="G1484">
        <v>1400.3762207</v>
      </c>
      <c r="H1484">
        <v>1382.1383057</v>
      </c>
      <c r="I1484">
        <v>1280.1397704999999</v>
      </c>
      <c r="J1484">
        <v>1257.2930908000001</v>
      </c>
      <c r="K1484">
        <v>2875</v>
      </c>
      <c r="L1484">
        <v>0</v>
      </c>
      <c r="M1484">
        <v>0</v>
      </c>
      <c r="N1484">
        <v>2875</v>
      </c>
    </row>
    <row r="1485" spans="1:14" x14ac:dyDescent="0.25">
      <c r="A1485">
        <v>1097.5408480000001</v>
      </c>
      <c r="B1485" s="1">
        <f>DATE(2013,5,2) + TIME(12,58,49)</f>
        <v>41396.540844907409</v>
      </c>
      <c r="C1485">
        <v>80</v>
      </c>
      <c r="D1485">
        <v>78.631111145000006</v>
      </c>
      <c r="E1485">
        <v>50</v>
      </c>
      <c r="F1485">
        <v>49.773487091</v>
      </c>
      <c r="G1485">
        <v>1400.2871094</v>
      </c>
      <c r="H1485">
        <v>1382.0754394999999</v>
      </c>
      <c r="I1485">
        <v>1280.137207</v>
      </c>
      <c r="J1485">
        <v>1257.2905272999999</v>
      </c>
      <c r="K1485">
        <v>2875</v>
      </c>
      <c r="L1485">
        <v>0</v>
      </c>
      <c r="M1485">
        <v>0</v>
      </c>
      <c r="N1485">
        <v>2875</v>
      </c>
    </row>
    <row r="1486" spans="1:14" x14ac:dyDescent="0.25">
      <c r="A1486">
        <v>1097.633787</v>
      </c>
      <c r="B1486" s="1">
        <f>DATE(2013,5,2) + TIME(15,12,39)</f>
        <v>41396.633784722224</v>
      </c>
      <c r="C1486">
        <v>80</v>
      </c>
      <c r="D1486">
        <v>78.815124511999997</v>
      </c>
      <c r="E1486">
        <v>50</v>
      </c>
      <c r="F1486">
        <v>49.764316559000001</v>
      </c>
      <c r="G1486">
        <v>1400.1601562000001</v>
      </c>
      <c r="H1486">
        <v>1382.0023193</v>
      </c>
      <c r="I1486">
        <v>1280.1365966999999</v>
      </c>
      <c r="J1486">
        <v>1257.2885742000001</v>
      </c>
      <c r="K1486">
        <v>2875</v>
      </c>
      <c r="L1486">
        <v>0</v>
      </c>
      <c r="M1486">
        <v>0</v>
      </c>
      <c r="N1486">
        <v>2875</v>
      </c>
    </row>
    <row r="1487" spans="1:14" x14ac:dyDescent="0.25">
      <c r="A1487">
        <v>1097.7268429999999</v>
      </c>
      <c r="B1487" s="1">
        <f>DATE(2013,5,2) + TIME(17,26,39)</f>
        <v>41396.726840277777</v>
      </c>
      <c r="C1487">
        <v>80</v>
      </c>
      <c r="D1487">
        <v>78.973663329999994</v>
      </c>
      <c r="E1487">
        <v>50</v>
      </c>
      <c r="F1487">
        <v>49.755180359000001</v>
      </c>
      <c r="G1487">
        <v>1400.0284423999999</v>
      </c>
      <c r="H1487">
        <v>1381.9162598</v>
      </c>
      <c r="I1487">
        <v>1280.1343993999999</v>
      </c>
      <c r="J1487">
        <v>1257.2854004000001</v>
      </c>
      <c r="K1487">
        <v>2875</v>
      </c>
      <c r="L1487">
        <v>0</v>
      </c>
      <c r="M1487">
        <v>0</v>
      </c>
      <c r="N1487">
        <v>2875</v>
      </c>
    </row>
    <row r="1488" spans="1:14" x14ac:dyDescent="0.25">
      <c r="A1488">
        <v>1097.8205290000001</v>
      </c>
      <c r="B1488" s="1">
        <f>DATE(2013,5,2) + TIME(19,41,33)</f>
        <v>41396.820520833331</v>
      </c>
      <c r="C1488">
        <v>80</v>
      </c>
      <c r="D1488">
        <v>79.110893250000004</v>
      </c>
      <c r="E1488">
        <v>50</v>
      </c>
      <c r="F1488">
        <v>49.746025084999999</v>
      </c>
      <c r="G1488">
        <v>1399.9046631000001</v>
      </c>
      <c r="H1488">
        <v>1381.8337402</v>
      </c>
      <c r="I1488">
        <v>1280.1320800999999</v>
      </c>
      <c r="J1488">
        <v>1257.2823486</v>
      </c>
      <c r="K1488">
        <v>2875</v>
      </c>
      <c r="L1488">
        <v>0</v>
      </c>
      <c r="M1488">
        <v>0</v>
      </c>
      <c r="N1488">
        <v>2875</v>
      </c>
    </row>
    <row r="1489" spans="1:14" x14ac:dyDescent="0.25">
      <c r="A1489">
        <v>1097.915082</v>
      </c>
      <c r="B1489" s="1">
        <f>DATE(2013,5,2) + TIME(21,57,43)</f>
        <v>41396.915081018517</v>
      </c>
      <c r="C1489">
        <v>80</v>
      </c>
      <c r="D1489">
        <v>79.229835510000001</v>
      </c>
      <c r="E1489">
        <v>50</v>
      </c>
      <c r="F1489">
        <v>49.736839293999999</v>
      </c>
      <c r="G1489">
        <v>1399.7879639</v>
      </c>
      <c r="H1489">
        <v>1381.7542725000001</v>
      </c>
      <c r="I1489">
        <v>1280.1298827999999</v>
      </c>
      <c r="J1489">
        <v>1257.2791748</v>
      </c>
      <c r="K1489">
        <v>2875</v>
      </c>
      <c r="L1489">
        <v>0</v>
      </c>
      <c r="M1489">
        <v>0</v>
      </c>
      <c r="N1489">
        <v>2875</v>
      </c>
    </row>
    <row r="1490" spans="1:14" x14ac:dyDescent="0.25">
      <c r="A1490">
        <v>1098.010743</v>
      </c>
      <c r="B1490" s="1">
        <f>DATE(2013,5,3) + TIME(0,15,28)</f>
        <v>41397.010740740741</v>
      </c>
      <c r="C1490">
        <v>80</v>
      </c>
      <c r="D1490">
        <v>79.333023071</v>
      </c>
      <c r="E1490">
        <v>50</v>
      </c>
      <c r="F1490">
        <v>49.727596282999997</v>
      </c>
      <c r="G1490">
        <v>1399.677124</v>
      </c>
      <c r="H1490">
        <v>1381.6776123</v>
      </c>
      <c r="I1490">
        <v>1280.1275635</v>
      </c>
      <c r="J1490">
        <v>1257.276001</v>
      </c>
      <c r="K1490">
        <v>2875</v>
      </c>
      <c r="L1490">
        <v>0</v>
      </c>
      <c r="M1490">
        <v>0</v>
      </c>
      <c r="N1490">
        <v>2875</v>
      </c>
    </row>
    <row r="1491" spans="1:14" x14ac:dyDescent="0.25">
      <c r="A1491">
        <v>1098.1077479999999</v>
      </c>
      <c r="B1491" s="1">
        <f>DATE(2013,5,3) + TIME(2,35,9)</f>
        <v>41397.107743055552</v>
      </c>
      <c r="C1491">
        <v>80</v>
      </c>
      <c r="D1491">
        <v>79.422592163000004</v>
      </c>
      <c r="E1491">
        <v>50</v>
      </c>
      <c r="F1491">
        <v>49.718273162999999</v>
      </c>
      <c r="G1491">
        <v>1399.5715332</v>
      </c>
      <c r="H1491">
        <v>1381.6032714999999</v>
      </c>
      <c r="I1491">
        <v>1280.1252440999999</v>
      </c>
      <c r="J1491">
        <v>1257.2728271000001</v>
      </c>
      <c r="K1491">
        <v>2875</v>
      </c>
      <c r="L1491">
        <v>0</v>
      </c>
      <c r="M1491">
        <v>0</v>
      </c>
      <c r="N1491">
        <v>2875</v>
      </c>
    </row>
    <row r="1492" spans="1:14" x14ac:dyDescent="0.25">
      <c r="A1492">
        <v>1098.2063720000001</v>
      </c>
      <c r="B1492" s="1">
        <f>DATE(2013,5,3) + TIME(4,57,10)</f>
        <v>41397.206365740742</v>
      </c>
      <c r="C1492">
        <v>80</v>
      </c>
      <c r="D1492">
        <v>79.500358582000004</v>
      </c>
      <c r="E1492">
        <v>50</v>
      </c>
      <c r="F1492">
        <v>49.708854674999998</v>
      </c>
      <c r="G1492">
        <v>1399.4704589999999</v>
      </c>
      <c r="H1492">
        <v>1381.5308838000001</v>
      </c>
      <c r="I1492">
        <v>1280.1228027</v>
      </c>
      <c r="J1492">
        <v>1257.2695312000001</v>
      </c>
      <c r="K1492">
        <v>2875</v>
      </c>
      <c r="L1492">
        <v>0</v>
      </c>
      <c r="M1492">
        <v>0</v>
      </c>
      <c r="N1492">
        <v>2875</v>
      </c>
    </row>
    <row r="1493" spans="1:14" x14ac:dyDescent="0.25">
      <c r="A1493">
        <v>1098.306814</v>
      </c>
      <c r="B1493" s="1">
        <f>DATE(2013,5,3) + TIME(7,21,48)</f>
        <v>41397.306805555556</v>
      </c>
      <c r="C1493">
        <v>80</v>
      </c>
      <c r="D1493">
        <v>79.567832946999999</v>
      </c>
      <c r="E1493">
        <v>50</v>
      </c>
      <c r="F1493">
        <v>49.699314117</v>
      </c>
      <c r="G1493">
        <v>1399.3734131000001</v>
      </c>
      <c r="H1493">
        <v>1381.4603271000001</v>
      </c>
      <c r="I1493">
        <v>1280.1204834</v>
      </c>
      <c r="J1493">
        <v>1257.2662353999999</v>
      </c>
      <c r="K1493">
        <v>2875</v>
      </c>
      <c r="L1493">
        <v>0</v>
      </c>
      <c r="M1493">
        <v>0</v>
      </c>
      <c r="N1493">
        <v>2875</v>
      </c>
    </row>
    <row r="1494" spans="1:14" x14ac:dyDescent="0.25">
      <c r="A1494">
        <v>1098.4093230000001</v>
      </c>
      <c r="B1494" s="1">
        <f>DATE(2013,5,3) + TIME(9,49,25)</f>
        <v>41397.409317129626</v>
      </c>
      <c r="C1494">
        <v>80</v>
      </c>
      <c r="D1494">
        <v>79.626335143999995</v>
      </c>
      <c r="E1494">
        <v>50</v>
      </c>
      <c r="F1494">
        <v>49.689640044999997</v>
      </c>
      <c r="G1494">
        <v>1399.2796631000001</v>
      </c>
      <c r="H1494">
        <v>1381.3912353999999</v>
      </c>
      <c r="I1494">
        <v>1280.1180420000001</v>
      </c>
      <c r="J1494">
        <v>1257.2628173999999</v>
      </c>
      <c r="K1494">
        <v>2875</v>
      </c>
      <c r="L1494">
        <v>0</v>
      </c>
      <c r="M1494">
        <v>0</v>
      </c>
      <c r="N1494">
        <v>2875</v>
      </c>
    </row>
    <row r="1495" spans="1:14" x14ac:dyDescent="0.25">
      <c r="A1495">
        <v>1098.5141619999999</v>
      </c>
      <c r="B1495" s="1">
        <f>DATE(2013,5,3) + TIME(12,20,23)</f>
        <v>41397.514155092591</v>
      </c>
      <c r="C1495">
        <v>80</v>
      </c>
      <c r="D1495">
        <v>79.677009583</v>
      </c>
      <c r="E1495">
        <v>50</v>
      </c>
      <c r="F1495">
        <v>49.679801941000001</v>
      </c>
      <c r="G1495">
        <v>1399.1888428</v>
      </c>
      <c r="H1495">
        <v>1381.3234863</v>
      </c>
      <c r="I1495">
        <v>1280.1154785000001</v>
      </c>
      <c r="J1495">
        <v>1257.2592772999999</v>
      </c>
      <c r="K1495">
        <v>2875</v>
      </c>
      <c r="L1495">
        <v>0</v>
      </c>
      <c r="M1495">
        <v>0</v>
      </c>
      <c r="N1495">
        <v>2875</v>
      </c>
    </row>
    <row r="1496" spans="1:14" x14ac:dyDescent="0.25">
      <c r="A1496">
        <v>1098.621607</v>
      </c>
      <c r="B1496" s="1">
        <f>DATE(2013,5,3) + TIME(14,55,6)</f>
        <v>41397.62159722222</v>
      </c>
      <c r="C1496">
        <v>80</v>
      </c>
      <c r="D1496">
        <v>79.720832825000002</v>
      </c>
      <c r="E1496">
        <v>50</v>
      </c>
      <c r="F1496">
        <v>49.669784546000002</v>
      </c>
      <c r="G1496">
        <v>1399.1005858999999</v>
      </c>
      <c r="H1496">
        <v>1381.2569579999999</v>
      </c>
      <c r="I1496">
        <v>1280.1129149999999</v>
      </c>
      <c r="J1496">
        <v>1257.2557373</v>
      </c>
      <c r="K1496">
        <v>2875</v>
      </c>
      <c r="L1496">
        <v>0</v>
      </c>
      <c r="M1496">
        <v>0</v>
      </c>
      <c r="N1496">
        <v>2875</v>
      </c>
    </row>
    <row r="1497" spans="1:14" x14ac:dyDescent="0.25">
      <c r="A1497">
        <v>1098.731957</v>
      </c>
      <c r="B1497" s="1">
        <f>DATE(2013,5,3) + TIME(17,34,1)</f>
        <v>41397.731956018521</v>
      </c>
      <c r="C1497">
        <v>80</v>
      </c>
      <c r="D1497">
        <v>79.758674622000001</v>
      </c>
      <c r="E1497">
        <v>50</v>
      </c>
      <c r="F1497">
        <v>49.659561156999999</v>
      </c>
      <c r="G1497">
        <v>1399.0144043</v>
      </c>
      <c r="H1497">
        <v>1381.1911620999999</v>
      </c>
      <c r="I1497">
        <v>1280.1102295000001</v>
      </c>
      <c r="J1497">
        <v>1257.2520752</v>
      </c>
      <c r="K1497">
        <v>2875</v>
      </c>
      <c r="L1497">
        <v>0</v>
      </c>
      <c r="M1497">
        <v>0</v>
      </c>
      <c r="N1497">
        <v>2875</v>
      </c>
    </row>
    <row r="1498" spans="1:14" x14ac:dyDescent="0.25">
      <c r="A1498">
        <v>1098.845536</v>
      </c>
      <c r="B1498" s="1">
        <f>DATE(2013,5,3) + TIME(20,17,34)</f>
        <v>41397.845532407409</v>
      </c>
      <c r="C1498">
        <v>80</v>
      </c>
      <c r="D1498">
        <v>79.791275024000001</v>
      </c>
      <c r="E1498">
        <v>50</v>
      </c>
      <c r="F1498">
        <v>49.649101256999998</v>
      </c>
      <c r="G1498">
        <v>1398.9300536999999</v>
      </c>
      <c r="H1498">
        <v>1381.1262207</v>
      </c>
      <c r="I1498">
        <v>1280.1075439000001</v>
      </c>
      <c r="J1498">
        <v>1257.2484131000001</v>
      </c>
      <c r="K1498">
        <v>2875</v>
      </c>
      <c r="L1498">
        <v>0</v>
      </c>
      <c r="M1498">
        <v>0</v>
      </c>
      <c r="N1498">
        <v>2875</v>
      </c>
    </row>
    <row r="1499" spans="1:14" x14ac:dyDescent="0.25">
      <c r="A1499">
        <v>1098.9627</v>
      </c>
      <c r="B1499" s="1">
        <f>DATE(2013,5,3) + TIME(23,6,17)</f>
        <v>41397.962696759256</v>
      </c>
      <c r="C1499">
        <v>80</v>
      </c>
      <c r="D1499">
        <v>79.819290160999998</v>
      </c>
      <c r="E1499">
        <v>50</v>
      </c>
      <c r="F1499">
        <v>49.638385773000003</v>
      </c>
      <c r="G1499">
        <v>1398.847168</v>
      </c>
      <c r="H1499">
        <v>1381.0618896000001</v>
      </c>
      <c r="I1499">
        <v>1280.1046143000001</v>
      </c>
      <c r="J1499">
        <v>1257.2445068</v>
      </c>
      <c r="K1499">
        <v>2875</v>
      </c>
      <c r="L1499">
        <v>0</v>
      </c>
      <c r="M1499">
        <v>0</v>
      </c>
      <c r="N1499">
        <v>2875</v>
      </c>
    </row>
    <row r="1500" spans="1:14" x14ac:dyDescent="0.25">
      <c r="A1500">
        <v>1099.083842</v>
      </c>
      <c r="B1500" s="1">
        <f>DATE(2013,5,4) + TIME(2,0,43)</f>
        <v>41398.083831018521</v>
      </c>
      <c r="C1500">
        <v>80</v>
      </c>
      <c r="D1500">
        <v>79.843299865999995</v>
      </c>
      <c r="E1500">
        <v>50</v>
      </c>
      <c r="F1500">
        <v>49.627376556000002</v>
      </c>
      <c r="G1500">
        <v>1398.7655029</v>
      </c>
      <c r="H1500">
        <v>1380.9978027</v>
      </c>
      <c r="I1500">
        <v>1280.1018065999999</v>
      </c>
      <c r="J1500">
        <v>1257.2404785000001</v>
      </c>
      <c r="K1500">
        <v>2875</v>
      </c>
      <c r="L1500">
        <v>0</v>
      </c>
      <c r="M1500">
        <v>0</v>
      </c>
      <c r="N1500">
        <v>2875</v>
      </c>
    </row>
    <row r="1501" spans="1:14" x14ac:dyDescent="0.25">
      <c r="A1501">
        <v>1099.2094010000001</v>
      </c>
      <c r="B1501" s="1">
        <f>DATE(2013,5,4) + TIME(5,1,32)</f>
        <v>41398.209398148145</v>
      </c>
      <c r="C1501">
        <v>80</v>
      </c>
      <c r="D1501">
        <v>79.863807678000001</v>
      </c>
      <c r="E1501">
        <v>50</v>
      </c>
      <c r="F1501">
        <v>49.616043091000002</v>
      </c>
      <c r="G1501">
        <v>1398.6846923999999</v>
      </c>
      <c r="H1501">
        <v>1380.934082</v>
      </c>
      <c r="I1501">
        <v>1280.0987548999999</v>
      </c>
      <c r="J1501">
        <v>1257.2363281</v>
      </c>
      <c r="K1501">
        <v>2875</v>
      </c>
      <c r="L1501">
        <v>0</v>
      </c>
      <c r="M1501">
        <v>0</v>
      </c>
      <c r="N1501">
        <v>2875</v>
      </c>
    </row>
    <row r="1502" spans="1:14" x14ac:dyDescent="0.25">
      <c r="A1502">
        <v>1099.3399460000001</v>
      </c>
      <c r="B1502" s="1">
        <f>DATE(2013,5,4) + TIME(8,9,31)</f>
        <v>41398.339942129627</v>
      </c>
      <c r="C1502">
        <v>80</v>
      </c>
      <c r="D1502">
        <v>79.881271362000007</v>
      </c>
      <c r="E1502">
        <v>50</v>
      </c>
      <c r="F1502">
        <v>49.604343413999999</v>
      </c>
      <c r="G1502">
        <v>1398.6043701000001</v>
      </c>
      <c r="H1502">
        <v>1380.8702393000001</v>
      </c>
      <c r="I1502">
        <v>1280.0955810999999</v>
      </c>
      <c r="J1502">
        <v>1257.2320557</v>
      </c>
      <c r="K1502">
        <v>2875</v>
      </c>
      <c r="L1502">
        <v>0</v>
      </c>
      <c r="M1502">
        <v>0</v>
      </c>
      <c r="N1502">
        <v>2875</v>
      </c>
    </row>
    <row r="1503" spans="1:14" x14ac:dyDescent="0.25">
      <c r="A1503">
        <v>1099.4759859999999</v>
      </c>
      <c r="B1503" s="1">
        <f>DATE(2013,5,4) + TIME(11,25,25)</f>
        <v>41398.475983796299</v>
      </c>
      <c r="C1503">
        <v>80</v>
      </c>
      <c r="D1503">
        <v>79.896080017000003</v>
      </c>
      <c r="E1503">
        <v>50</v>
      </c>
      <c r="F1503">
        <v>49.592239380000002</v>
      </c>
      <c r="G1503">
        <v>1398.5244141000001</v>
      </c>
      <c r="H1503">
        <v>1380.8063964999999</v>
      </c>
      <c r="I1503">
        <v>1280.0922852000001</v>
      </c>
      <c r="J1503">
        <v>1257.2275391000001</v>
      </c>
      <c r="K1503">
        <v>2875</v>
      </c>
      <c r="L1503">
        <v>0</v>
      </c>
      <c r="M1503">
        <v>0</v>
      </c>
      <c r="N1503">
        <v>2875</v>
      </c>
    </row>
    <row r="1504" spans="1:14" x14ac:dyDescent="0.25">
      <c r="A1504">
        <v>1099.6181529999999</v>
      </c>
      <c r="B1504" s="1">
        <f>DATE(2013,5,4) + TIME(14,50,8)</f>
        <v>41398.618148148147</v>
      </c>
      <c r="C1504">
        <v>80</v>
      </c>
      <c r="D1504">
        <v>79.908569335999999</v>
      </c>
      <c r="E1504">
        <v>50</v>
      </c>
      <c r="F1504">
        <v>49.579677582000002</v>
      </c>
      <c r="G1504">
        <v>1398.4443358999999</v>
      </c>
      <c r="H1504">
        <v>1380.7421875</v>
      </c>
      <c r="I1504">
        <v>1280.0888672000001</v>
      </c>
      <c r="J1504">
        <v>1257.2229004000001</v>
      </c>
      <c r="K1504">
        <v>2875</v>
      </c>
      <c r="L1504">
        <v>0</v>
      </c>
      <c r="M1504">
        <v>0</v>
      </c>
      <c r="N1504">
        <v>2875</v>
      </c>
    </row>
    <row r="1505" spans="1:14" x14ac:dyDescent="0.25">
      <c r="A1505">
        <v>1099.7659619999999</v>
      </c>
      <c r="B1505" s="1">
        <f>DATE(2013,5,4) + TIME(18,22,59)</f>
        <v>41398.765960648147</v>
      </c>
      <c r="C1505">
        <v>80</v>
      </c>
      <c r="D1505">
        <v>79.918983459000003</v>
      </c>
      <c r="E1505">
        <v>50</v>
      </c>
      <c r="F1505">
        <v>49.566699982000003</v>
      </c>
      <c r="G1505">
        <v>1398.3641356999999</v>
      </c>
      <c r="H1505">
        <v>1380.6774902</v>
      </c>
      <c r="I1505">
        <v>1280.0853271000001</v>
      </c>
      <c r="J1505">
        <v>1257.2180175999999</v>
      </c>
      <c r="K1505">
        <v>2875</v>
      </c>
      <c r="L1505">
        <v>0</v>
      </c>
      <c r="M1505">
        <v>0</v>
      </c>
      <c r="N1505">
        <v>2875</v>
      </c>
    </row>
    <row r="1506" spans="1:14" x14ac:dyDescent="0.25">
      <c r="A1506">
        <v>1099.9192479999999</v>
      </c>
      <c r="B1506" s="1">
        <f>DATE(2013,5,4) + TIME(22,3,43)</f>
        <v>41398.919247685182</v>
      </c>
      <c r="C1506">
        <v>80</v>
      </c>
      <c r="D1506">
        <v>79.927597046000002</v>
      </c>
      <c r="E1506">
        <v>50</v>
      </c>
      <c r="F1506">
        <v>49.553318023999999</v>
      </c>
      <c r="G1506">
        <v>1398.2840576000001</v>
      </c>
      <c r="H1506">
        <v>1380.6126709</v>
      </c>
      <c r="I1506">
        <v>1280.081543</v>
      </c>
      <c r="J1506">
        <v>1257.2130127</v>
      </c>
      <c r="K1506">
        <v>2875</v>
      </c>
      <c r="L1506">
        <v>0</v>
      </c>
      <c r="M1506">
        <v>0</v>
      </c>
      <c r="N1506">
        <v>2875</v>
      </c>
    </row>
    <row r="1507" spans="1:14" x14ac:dyDescent="0.25">
      <c r="A1507">
        <v>1100.0786619999999</v>
      </c>
      <c r="B1507" s="1">
        <f>DATE(2013,5,5) + TIME(1,53,16)</f>
        <v>41399.078657407408</v>
      </c>
      <c r="C1507">
        <v>80</v>
      </c>
      <c r="D1507">
        <v>79.934692382999998</v>
      </c>
      <c r="E1507">
        <v>50</v>
      </c>
      <c r="F1507">
        <v>49.539482116999999</v>
      </c>
      <c r="G1507">
        <v>1398.2039795000001</v>
      </c>
      <c r="H1507">
        <v>1380.5477295000001</v>
      </c>
      <c r="I1507">
        <v>1280.0776367000001</v>
      </c>
      <c r="J1507">
        <v>1257.2077637</v>
      </c>
      <c r="K1507">
        <v>2875</v>
      </c>
      <c r="L1507">
        <v>0</v>
      </c>
      <c r="M1507">
        <v>0</v>
      </c>
      <c r="N1507">
        <v>2875</v>
      </c>
    </row>
    <row r="1508" spans="1:14" x14ac:dyDescent="0.25">
      <c r="A1508">
        <v>1100.2448899999999</v>
      </c>
      <c r="B1508" s="1">
        <f>DATE(2013,5,5) + TIME(5,52,38)</f>
        <v>41399.244884259257</v>
      </c>
      <c r="C1508">
        <v>80</v>
      </c>
      <c r="D1508">
        <v>79.940505981000001</v>
      </c>
      <c r="E1508">
        <v>50</v>
      </c>
      <c r="F1508">
        <v>49.525146483999997</v>
      </c>
      <c r="G1508">
        <v>1398.1239014</v>
      </c>
      <c r="H1508">
        <v>1380.4826660000001</v>
      </c>
      <c r="I1508">
        <v>1280.0736084</v>
      </c>
      <c r="J1508">
        <v>1257.2022704999999</v>
      </c>
      <c r="K1508">
        <v>2875</v>
      </c>
      <c r="L1508">
        <v>0</v>
      </c>
      <c r="M1508">
        <v>0</v>
      </c>
      <c r="N1508">
        <v>2875</v>
      </c>
    </row>
    <row r="1509" spans="1:14" x14ac:dyDescent="0.25">
      <c r="A1509">
        <v>1100.4186179999999</v>
      </c>
      <c r="B1509" s="1">
        <f>DATE(2013,5,5) + TIME(10,2,48)</f>
        <v>41399.418611111112</v>
      </c>
      <c r="C1509">
        <v>80</v>
      </c>
      <c r="D1509">
        <v>79.945251464999998</v>
      </c>
      <c r="E1509">
        <v>50</v>
      </c>
      <c r="F1509">
        <v>49.510261536000002</v>
      </c>
      <c r="G1509">
        <v>1398.043457</v>
      </c>
      <c r="H1509">
        <v>1380.4169922000001</v>
      </c>
      <c r="I1509">
        <v>1280.0693358999999</v>
      </c>
      <c r="J1509">
        <v>1257.1965332</v>
      </c>
      <c r="K1509">
        <v>2875</v>
      </c>
      <c r="L1509">
        <v>0</v>
      </c>
      <c r="M1509">
        <v>0</v>
      </c>
      <c r="N1509">
        <v>2875</v>
      </c>
    </row>
    <row r="1510" spans="1:14" x14ac:dyDescent="0.25">
      <c r="A1510">
        <v>1100.6007139999999</v>
      </c>
      <c r="B1510" s="1">
        <f>DATE(2013,5,5) + TIME(14,25,1)</f>
        <v>41399.600706018522</v>
      </c>
      <c r="C1510">
        <v>80</v>
      </c>
      <c r="D1510">
        <v>79.949104309000006</v>
      </c>
      <c r="E1510">
        <v>50</v>
      </c>
      <c r="F1510">
        <v>49.49477005</v>
      </c>
      <c r="G1510">
        <v>1397.9624022999999</v>
      </c>
      <c r="H1510">
        <v>1380.3508300999999</v>
      </c>
      <c r="I1510">
        <v>1280.0648193</v>
      </c>
      <c r="J1510">
        <v>1257.1905518000001</v>
      </c>
      <c r="K1510">
        <v>2875</v>
      </c>
      <c r="L1510">
        <v>0</v>
      </c>
      <c r="M1510">
        <v>0</v>
      </c>
      <c r="N1510">
        <v>2875</v>
      </c>
    </row>
    <row r="1511" spans="1:14" x14ac:dyDescent="0.25">
      <c r="A1511">
        <v>1100.7906479999999</v>
      </c>
      <c r="B1511" s="1">
        <f>DATE(2013,5,5) + TIME(18,58,31)</f>
        <v>41399.790636574071</v>
      </c>
      <c r="C1511">
        <v>80</v>
      </c>
      <c r="D1511">
        <v>79.952201842999997</v>
      </c>
      <c r="E1511">
        <v>50</v>
      </c>
      <c r="F1511">
        <v>49.478698729999998</v>
      </c>
      <c r="G1511">
        <v>1397.8803711</v>
      </c>
      <c r="H1511">
        <v>1380.2839355000001</v>
      </c>
      <c r="I1511">
        <v>1280.0601807</v>
      </c>
      <c r="J1511">
        <v>1257.1842041</v>
      </c>
      <c r="K1511">
        <v>2875</v>
      </c>
      <c r="L1511">
        <v>0</v>
      </c>
      <c r="M1511">
        <v>0</v>
      </c>
      <c r="N1511">
        <v>2875</v>
      </c>
    </row>
    <row r="1512" spans="1:14" x14ac:dyDescent="0.25">
      <c r="A1512">
        <v>1100.981372</v>
      </c>
      <c r="B1512" s="1">
        <f>DATE(2013,5,5) + TIME(23,33,10)</f>
        <v>41399.981365740743</v>
      </c>
      <c r="C1512">
        <v>80</v>
      </c>
      <c r="D1512">
        <v>79.954589843999997</v>
      </c>
      <c r="E1512">
        <v>50</v>
      </c>
      <c r="F1512">
        <v>49.462524414000001</v>
      </c>
      <c r="G1512">
        <v>1397.7979736</v>
      </c>
      <c r="H1512">
        <v>1380.2165527</v>
      </c>
      <c r="I1512">
        <v>1280.0551757999999</v>
      </c>
      <c r="J1512">
        <v>1257.1777344</v>
      </c>
      <c r="K1512">
        <v>2875</v>
      </c>
      <c r="L1512">
        <v>0</v>
      </c>
      <c r="M1512">
        <v>0</v>
      </c>
      <c r="N1512">
        <v>2875</v>
      </c>
    </row>
    <row r="1513" spans="1:14" x14ac:dyDescent="0.25">
      <c r="A1513">
        <v>1101.1734429999999</v>
      </c>
      <c r="B1513" s="1">
        <f>DATE(2013,5,6) + TIME(4,9,45)</f>
        <v>41400.173437500001</v>
      </c>
      <c r="C1513">
        <v>80</v>
      </c>
      <c r="D1513">
        <v>79.956451415999993</v>
      </c>
      <c r="E1513">
        <v>50</v>
      </c>
      <c r="F1513">
        <v>49.446224213000001</v>
      </c>
      <c r="G1513">
        <v>1397.7180175999999</v>
      </c>
      <c r="H1513">
        <v>1380.1511230000001</v>
      </c>
      <c r="I1513">
        <v>1280.0501709</v>
      </c>
      <c r="J1513">
        <v>1257.1711425999999</v>
      </c>
      <c r="K1513">
        <v>2875</v>
      </c>
      <c r="L1513">
        <v>0</v>
      </c>
      <c r="M1513">
        <v>0</v>
      </c>
      <c r="N1513">
        <v>2875</v>
      </c>
    </row>
    <row r="1514" spans="1:14" x14ac:dyDescent="0.25">
      <c r="A1514">
        <v>1101.3673859999999</v>
      </c>
      <c r="B1514" s="1">
        <f>DATE(2013,5,6) + TIME(8,49,2)</f>
        <v>41400.367384259262</v>
      </c>
      <c r="C1514">
        <v>80</v>
      </c>
      <c r="D1514">
        <v>79.957908630000006</v>
      </c>
      <c r="E1514">
        <v>50</v>
      </c>
      <c r="F1514">
        <v>49.429786682</v>
      </c>
      <c r="G1514">
        <v>1397.6400146000001</v>
      </c>
      <c r="H1514">
        <v>1380.0874022999999</v>
      </c>
      <c r="I1514">
        <v>1280.0451660000001</v>
      </c>
      <c r="J1514">
        <v>1257.1645507999999</v>
      </c>
      <c r="K1514">
        <v>2875</v>
      </c>
      <c r="L1514">
        <v>0</v>
      </c>
      <c r="M1514">
        <v>0</v>
      </c>
      <c r="N1514">
        <v>2875</v>
      </c>
    </row>
    <row r="1515" spans="1:14" x14ac:dyDescent="0.25">
      <c r="A1515">
        <v>1101.563744</v>
      </c>
      <c r="B1515" s="1">
        <f>DATE(2013,5,6) + TIME(13,31,47)</f>
        <v>41400.563738425924</v>
      </c>
      <c r="C1515">
        <v>80</v>
      </c>
      <c r="D1515">
        <v>79.959053040000001</v>
      </c>
      <c r="E1515">
        <v>50</v>
      </c>
      <c r="F1515">
        <v>49.413181305000002</v>
      </c>
      <c r="G1515">
        <v>1397.5638428</v>
      </c>
      <c r="H1515">
        <v>1380.0250243999999</v>
      </c>
      <c r="I1515">
        <v>1280.0401611</v>
      </c>
      <c r="J1515">
        <v>1257.1578368999999</v>
      </c>
      <c r="K1515">
        <v>2875</v>
      </c>
      <c r="L1515">
        <v>0</v>
      </c>
      <c r="M1515">
        <v>0</v>
      </c>
      <c r="N1515">
        <v>2875</v>
      </c>
    </row>
    <row r="1516" spans="1:14" x14ac:dyDescent="0.25">
      <c r="A1516">
        <v>1101.763058</v>
      </c>
      <c r="B1516" s="1">
        <f>DATE(2013,5,6) + TIME(18,18,48)</f>
        <v>41400.763055555559</v>
      </c>
      <c r="C1516">
        <v>80</v>
      </c>
      <c r="D1516">
        <v>79.959953307999996</v>
      </c>
      <c r="E1516">
        <v>50</v>
      </c>
      <c r="F1516">
        <v>49.396385193</v>
      </c>
      <c r="G1516">
        <v>1397.4888916</v>
      </c>
      <c r="H1516">
        <v>1379.9638672000001</v>
      </c>
      <c r="I1516">
        <v>1280.0350341999999</v>
      </c>
      <c r="J1516">
        <v>1257.151001</v>
      </c>
      <c r="K1516">
        <v>2875</v>
      </c>
      <c r="L1516">
        <v>0</v>
      </c>
      <c r="M1516">
        <v>0</v>
      </c>
      <c r="N1516">
        <v>2875</v>
      </c>
    </row>
    <row r="1517" spans="1:14" x14ac:dyDescent="0.25">
      <c r="A1517">
        <v>1101.9658810000001</v>
      </c>
      <c r="B1517" s="1">
        <f>DATE(2013,5,6) + TIME(23,10,52)</f>
        <v>41400.965879629628</v>
      </c>
      <c r="C1517">
        <v>80</v>
      </c>
      <c r="D1517">
        <v>79.960670471</v>
      </c>
      <c r="E1517">
        <v>50</v>
      </c>
      <c r="F1517">
        <v>49.379367827999999</v>
      </c>
      <c r="G1517">
        <v>1397.4151611</v>
      </c>
      <c r="H1517">
        <v>1379.9035644999999</v>
      </c>
      <c r="I1517">
        <v>1280.0297852000001</v>
      </c>
      <c r="J1517">
        <v>1257.1441649999999</v>
      </c>
      <c r="K1517">
        <v>2875</v>
      </c>
      <c r="L1517">
        <v>0</v>
      </c>
      <c r="M1517">
        <v>0</v>
      </c>
      <c r="N1517">
        <v>2875</v>
      </c>
    </row>
    <row r="1518" spans="1:14" x14ac:dyDescent="0.25">
      <c r="A1518">
        <v>1102.1727900000001</v>
      </c>
      <c r="B1518" s="1">
        <f>DATE(2013,5,7) + TIME(4,8,49)</f>
        <v>41401.172789351855</v>
      </c>
      <c r="C1518">
        <v>80</v>
      </c>
      <c r="D1518">
        <v>79.961235045999999</v>
      </c>
      <c r="E1518">
        <v>50</v>
      </c>
      <c r="F1518">
        <v>49.362087250000002</v>
      </c>
      <c r="G1518">
        <v>1397.3421631000001</v>
      </c>
      <c r="H1518">
        <v>1379.8439940999999</v>
      </c>
      <c r="I1518">
        <v>1280.0245361</v>
      </c>
      <c r="J1518">
        <v>1257.1370850000001</v>
      </c>
      <c r="K1518">
        <v>2875</v>
      </c>
      <c r="L1518">
        <v>0</v>
      </c>
      <c r="M1518">
        <v>0</v>
      </c>
      <c r="N1518">
        <v>2875</v>
      </c>
    </row>
    <row r="1519" spans="1:14" x14ac:dyDescent="0.25">
      <c r="A1519">
        <v>1102.3843939999999</v>
      </c>
      <c r="B1519" s="1">
        <f>DATE(2013,5,7) + TIME(9,13,31)</f>
        <v>41401.384386574071</v>
      </c>
      <c r="C1519">
        <v>80</v>
      </c>
      <c r="D1519">
        <v>79.961685181000007</v>
      </c>
      <c r="E1519">
        <v>50</v>
      </c>
      <c r="F1519">
        <v>49.344509125000002</v>
      </c>
      <c r="G1519">
        <v>1397.2697754000001</v>
      </c>
      <c r="H1519">
        <v>1379.7850341999999</v>
      </c>
      <c r="I1519">
        <v>1280.0191649999999</v>
      </c>
      <c r="J1519">
        <v>1257.1298827999999</v>
      </c>
      <c r="K1519">
        <v>2875</v>
      </c>
      <c r="L1519">
        <v>0</v>
      </c>
      <c r="M1519">
        <v>0</v>
      </c>
      <c r="N1519">
        <v>2875</v>
      </c>
    </row>
    <row r="1520" spans="1:14" x14ac:dyDescent="0.25">
      <c r="A1520">
        <v>1102.601347</v>
      </c>
      <c r="B1520" s="1">
        <f>DATE(2013,5,7) + TIME(14,25,56)</f>
        <v>41401.601342592592</v>
      </c>
      <c r="C1520">
        <v>80</v>
      </c>
      <c r="D1520">
        <v>79.962051392000006</v>
      </c>
      <c r="E1520">
        <v>50</v>
      </c>
      <c r="F1520">
        <v>49.326591491999999</v>
      </c>
      <c r="G1520">
        <v>1397.197876</v>
      </c>
      <c r="H1520">
        <v>1379.7263184000001</v>
      </c>
      <c r="I1520">
        <v>1280.0135498</v>
      </c>
      <c r="J1520">
        <v>1257.1225586</v>
      </c>
      <c r="K1520">
        <v>2875</v>
      </c>
      <c r="L1520">
        <v>0</v>
      </c>
      <c r="M1520">
        <v>0</v>
      </c>
      <c r="N1520">
        <v>2875</v>
      </c>
    </row>
    <row r="1521" spans="1:14" x14ac:dyDescent="0.25">
      <c r="A1521">
        <v>1102.8243620000001</v>
      </c>
      <c r="B1521" s="1">
        <f>DATE(2013,5,7) + TIME(19,47,4)</f>
        <v>41401.82435185185</v>
      </c>
      <c r="C1521">
        <v>80</v>
      </c>
      <c r="D1521">
        <v>79.962341308999996</v>
      </c>
      <c r="E1521">
        <v>50</v>
      </c>
      <c r="F1521">
        <v>49.308284759999999</v>
      </c>
      <c r="G1521">
        <v>1397.1259766000001</v>
      </c>
      <c r="H1521">
        <v>1379.6678466999999</v>
      </c>
      <c r="I1521">
        <v>1280.0079346</v>
      </c>
      <c r="J1521">
        <v>1257.1149902</v>
      </c>
      <c r="K1521">
        <v>2875</v>
      </c>
      <c r="L1521">
        <v>0</v>
      </c>
      <c r="M1521">
        <v>0</v>
      </c>
      <c r="N1521">
        <v>2875</v>
      </c>
    </row>
    <row r="1522" spans="1:14" x14ac:dyDescent="0.25">
      <c r="A1522">
        <v>1103.054312</v>
      </c>
      <c r="B1522" s="1">
        <f>DATE(2013,5,8) + TIME(1,18,12)</f>
        <v>41402.054305555554</v>
      </c>
      <c r="C1522">
        <v>80</v>
      </c>
      <c r="D1522">
        <v>79.962577820000007</v>
      </c>
      <c r="E1522">
        <v>50</v>
      </c>
      <c r="F1522">
        <v>49.289527892999999</v>
      </c>
      <c r="G1522">
        <v>1397.0541992000001</v>
      </c>
      <c r="H1522">
        <v>1379.609375</v>
      </c>
      <c r="I1522">
        <v>1280.0020752</v>
      </c>
      <c r="J1522">
        <v>1257.1071777</v>
      </c>
      <c r="K1522">
        <v>2875</v>
      </c>
      <c r="L1522">
        <v>0</v>
      </c>
      <c r="M1522">
        <v>0</v>
      </c>
      <c r="N1522">
        <v>2875</v>
      </c>
    </row>
    <row r="1523" spans="1:14" x14ac:dyDescent="0.25">
      <c r="A1523">
        <v>1103.291776</v>
      </c>
      <c r="B1523" s="1">
        <f>DATE(2013,5,8) + TIME(7,0,9)</f>
        <v>41402.291770833333</v>
      </c>
      <c r="C1523">
        <v>80</v>
      </c>
      <c r="D1523">
        <v>79.962768554999997</v>
      </c>
      <c r="E1523">
        <v>50</v>
      </c>
      <c r="F1523">
        <v>49.270286560000002</v>
      </c>
      <c r="G1523">
        <v>1396.9820557</v>
      </c>
      <c r="H1523">
        <v>1379.5507812000001</v>
      </c>
      <c r="I1523">
        <v>1279.9959716999999</v>
      </c>
      <c r="J1523">
        <v>1257.0991211</v>
      </c>
      <c r="K1523">
        <v>2875</v>
      </c>
      <c r="L1523">
        <v>0</v>
      </c>
      <c r="M1523">
        <v>0</v>
      </c>
      <c r="N1523">
        <v>2875</v>
      </c>
    </row>
    <row r="1524" spans="1:14" x14ac:dyDescent="0.25">
      <c r="A1524">
        <v>1103.5342310000001</v>
      </c>
      <c r="B1524" s="1">
        <f>DATE(2013,5,8) + TIME(12,49,17)</f>
        <v>41402.534224537034</v>
      </c>
      <c r="C1524">
        <v>80</v>
      </c>
      <c r="D1524">
        <v>79.962928771999998</v>
      </c>
      <c r="E1524">
        <v>50</v>
      </c>
      <c r="F1524">
        <v>49.25069809</v>
      </c>
      <c r="G1524">
        <v>1396.9095459</v>
      </c>
      <c r="H1524">
        <v>1379.4919434000001</v>
      </c>
      <c r="I1524">
        <v>1279.9897461</v>
      </c>
      <c r="J1524">
        <v>1257.0909423999999</v>
      </c>
      <c r="K1524">
        <v>2875</v>
      </c>
      <c r="L1524">
        <v>0</v>
      </c>
      <c r="M1524">
        <v>0</v>
      </c>
      <c r="N1524">
        <v>2875</v>
      </c>
    </row>
    <row r="1525" spans="1:14" x14ac:dyDescent="0.25">
      <c r="A1525">
        <v>1103.7823639999999</v>
      </c>
      <c r="B1525" s="1">
        <f>DATE(2013,5,8) + TIME(18,46,36)</f>
        <v>41402.782361111109</v>
      </c>
      <c r="C1525">
        <v>80</v>
      </c>
      <c r="D1525">
        <v>79.963050842000001</v>
      </c>
      <c r="E1525">
        <v>50</v>
      </c>
      <c r="F1525">
        <v>49.230735779</v>
      </c>
      <c r="G1525">
        <v>1396.8375243999999</v>
      </c>
      <c r="H1525">
        <v>1379.4333495999999</v>
      </c>
      <c r="I1525">
        <v>1279.9832764</v>
      </c>
      <c r="J1525">
        <v>1257.0823975000001</v>
      </c>
      <c r="K1525">
        <v>2875</v>
      </c>
      <c r="L1525">
        <v>0</v>
      </c>
      <c r="M1525">
        <v>0</v>
      </c>
      <c r="N1525">
        <v>2875</v>
      </c>
    </row>
    <row r="1526" spans="1:14" x14ac:dyDescent="0.25">
      <c r="A1526">
        <v>1104.0368579999999</v>
      </c>
      <c r="B1526" s="1">
        <f>DATE(2013,5,9) + TIME(0,53,4)</f>
        <v>41403.036851851852</v>
      </c>
      <c r="C1526">
        <v>80</v>
      </c>
      <c r="D1526">
        <v>79.963150024000001</v>
      </c>
      <c r="E1526">
        <v>50</v>
      </c>
      <c r="F1526">
        <v>49.210357666</v>
      </c>
      <c r="G1526">
        <v>1396.765625</v>
      </c>
      <c r="H1526">
        <v>1379.375</v>
      </c>
      <c r="I1526">
        <v>1279.9768065999999</v>
      </c>
      <c r="J1526">
        <v>1257.0737305</v>
      </c>
      <c r="K1526">
        <v>2875</v>
      </c>
      <c r="L1526">
        <v>0</v>
      </c>
      <c r="M1526">
        <v>0</v>
      </c>
      <c r="N1526">
        <v>2875</v>
      </c>
    </row>
    <row r="1527" spans="1:14" x14ac:dyDescent="0.25">
      <c r="A1527">
        <v>1104.298458</v>
      </c>
      <c r="B1527" s="1">
        <f>DATE(2013,5,9) + TIME(7,9,46)</f>
        <v>41403.298449074071</v>
      </c>
      <c r="C1527">
        <v>80</v>
      </c>
      <c r="D1527">
        <v>79.963226317999997</v>
      </c>
      <c r="E1527">
        <v>50</v>
      </c>
      <c r="F1527">
        <v>49.189521790000001</v>
      </c>
      <c r="G1527">
        <v>1396.6937256000001</v>
      </c>
      <c r="H1527">
        <v>1379.3167725000001</v>
      </c>
      <c r="I1527">
        <v>1279.9699707</v>
      </c>
      <c r="J1527">
        <v>1257.0648193</v>
      </c>
      <c r="K1527">
        <v>2875</v>
      </c>
      <c r="L1527">
        <v>0</v>
      </c>
      <c r="M1527">
        <v>0</v>
      </c>
      <c r="N1527">
        <v>2875</v>
      </c>
    </row>
    <row r="1528" spans="1:14" x14ac:dyDescent="0.25">
      <c r="A1528">
        <v>1104.5679929999999</v>
      </c>
      <c r="B1528" s="1">
        <f>DATE(2013,5,9) + TIME(13,37,54)</f>
        <v>41403.567986111113</v>
      </c>
      <c r="C1528">
        <v>80</v>
      </c>
      <c r="D1528">
        <v>79.963294982999997</v>
      </c>
      <c r="E1528">
        <v>50</v>
      </c>
      <c r="F1528">
        <v>49.168178558000001</v>
      </c>
      <c r="G1528">
        <v>1396.6218262</v>
      </c>
      <c r="H1528">
        <v>1379.2584228999999</v>
      </c>
      <c r="I1528">
        <v>1279.9630127</v>
      </c>
      <c r="J1528">
        <v>1257.0556641000001</v>
      </c>
      <c r="K1528">
        <v>2875</v>
      </c>
      <c r="L1528">
        <v>0</v>
      </c>
      <c r="M1528">
        <v>0</v>
      </c>
      <c r="N1528">
        <v>2875</v>
      </c>
    </row>
    <row r="1529" spans="1:14" x14ac:dyDescent="0.25">
      <c r="A1529">
        <v>1104.8464449999999</v>
      </c>
      <c r="B1529" s="1">
        <f>DATE(2013,5,9) + TIME(20,18,52)</f>
        <v>41403.846435185187</v>
      </c>
      <c r="C1529">
        <v>80</v>
      </c>
      <c r="D1529">
        <v>79.963340759000005</v>
      </c>
      <c r="E1529">
        <v>50</v>
      </c>
      <c r="F1529">
        <v>49.146263122999997</v>
      </c>
      <c r="G1529">
        <v>1396.5495605000001</v>
      </c>
      <c r="H1529">
        <v>1379.1999512</v>
      </c>
      <c r="I1529">
        <v>1279.9559326000001</v>
      </c>
      <c r="J1529">
        <v>1257.0461425999999</v>
      </c>
      <c r="K1529">
        <v>2875</v>
      </c>
      <c r="L1529">
        <v>0</v>
      </c>
      <c r="M1529">
        <v>0</v>
      </c>
      <c r="N1529">
        <v>2875</v>
      </c>
    </row>
    <row r="1530" spans="1:14" x14ac:dyDescent="0.25">
      <c r="A1530">
        <v>1105.134937</v>
      </c>
      <c r="B1530" s="1">
        <f>DATE(2013,5,10) + TIME(3,14,18)</f>
        <v>41404.134930555556</v>
      </c>
      <c r="C1530">
        <v>80</v>
      </c>
      <c r="D1530">
        <v>79.963386536000002</v>
      </c>
      <c r="E1530">
        <v>50</v>
      </c>
      <c r="F1530">
        <v>49.123714446999998</v>
      </c>
      <c r="G1530">
        <v>1396.4766846</v>
      </c>
      <c r="H1530">
        <v>1379.1409911999999</v>
      </c>
      <c r="I1530">
        <v>1279.9484863</v>
      </c>
      <c r="J1530">
        <v>1257.0363769999999</v>
      </c>
      <c r="K1530">
        <v>2875</v>
      </c>
      <c r="L1530">
        <v>0</v>
      </c>
      <c r="M1530">
        <v>0</v>
      </c>
      <c r="N1530">
        <v>2875</v>
      </c>
    </row>
    <row r="1531" spans="1:14" x14ac:dyDescent="0.25">
      <c r="A1531">
        <v>1105.434538</v>
      </c>
      <c r="B1531" s="1">
        <f>DATE(2013,5,10) + TIME(10,25,44)</f>
        <v>41404.434537037036</v>
      </c>
      <c r="C1531">
        <v>80</v>
      </c>
      <c r="D1531">
        <v>79.963417053000001</v>
      </c>
      <c r="E1531">
        <v>50</v>
      </c>
      <c r="F1531">
        <v>49.100452423</v>
      </c>
      <c r="G1531">
        <v>1396.4031981999999</v>
      </c>
      <c r="H1531">
        <v>1379.081543</v>
      </c>
      <c r="I1531">
        <v>1279.9407959</v>
      </c>
      <c r="J1531">
        <v>1257.0262451000001</v>
      </c>
      <c r="K1531">
        <v>2875</v>
      </c>
      <c r="L1531">
        <v>0</v>
      </c>
      <c r="M1531">
        <v>0</v>
      </c>
      <c r="N1531">
        <v>2875</v>
      </c>
    </row>
    <row r="1532" spans="1:14" x14ac:dyDescent="0.25">
      <c r="A1532">
        <v>1105.737952</v>
      </c>
      <c r="B1532" s="1">
        <f>DATE(2013,5,10) + TIME(17,42,39)</f>
        <v>41404.737951388888</v>
      </c>
      <c r="C1532">
        <v>80</v>
      </c>
      <c r="D1532">
        <v>79.963439941000004</v>
      </c>
      <c r="E1532">
        <v>50</v>
      </c>
      <c r="F1532">
        <v>49.076869965</v>
      </c>
      <c r="G1532">
        <v>1396.3287353999999</v>
      </c>
      <c r="H1532">
        <v>1379.0213623</v>
      </c>
      <c r="I1532">
        <v>1279.9327393000001</v>
      </c>
      <c r="J1532">
        <v>1257.0157471</v>
      </c>
      <c r="K1532">
        <v>2875</v>
      </c>
      <c r="L1532">
        <v>0</v>
      </c>
      <c r="M1532">
        <v>0</v>
      </c>
      <c r="N1532">
        <v>2875</v>
      </c>
    </row>
    <row r="1533" spans="1:14" x14ac:dyDescent="0.25">
      <c r="A1533">
        <v>1106.043762</v>
      </c>
      <c r="B1533" s="1">
        <f>DATE(2013,5,11) + TIME(1,3,1)</f>
        <v>41405.043761574074</v>
      </c>
      <c r="C1533">
        <v>80</v>
      </c>
      <c r="D1533">
        <v>79.963455199999999</v>
      </c>
      <c r="E1533">
        <v>50</v>
      </c>
      <c r="F1533">
        <v>49.053077698000003</v>
      </c>
      <c r="G1533">
        <v>1396.255249</v>
      </c>
      <c r="H1533">
        <v>1378.9620361</v>
      </c>
      <c r="I1533">
        <v>1279.9245605000001</v>
      </c>
      <c r="J1533">
        <v>1257.0050048999999</v>
      </c>
      <c r="K1533">
        <v>2875</v>
      </c>
      <c r="L1533">
        <v>0</v>
      </c>
      <c r="M1533">
        <v>0</v>
      </c>
      <c r="N1533">
        <v>2875</v>
      </c>
    </row>
    <row r="1534" spans="1:14" x14ac:dyDescent="0.25">
      <c r="A1534">
        <v>1106.3525320000001</v>
      </c>
      <c r="B1534" s="1">
        <f>DATE(2013,5,11) + TIME(8,27,38)</f>
        <v>41405.352523148147</v>
      </c>
      <c r="C1534">
        <v>80</v>
      </c>
      <c r="D1534">
        <v>79.963462829999997</v>
      </c>
      <c r="E1534">
        <v>50</v>
      </c>
      <c r="F1534">
        <v>49.029083252</v>
      </c>
      <c r="G1534">
        <v>1396.1829834</v>
      </c>
      <c r="H1534">
        <v>1378.9036865</v>
      </c>
      <c r="I1534">
        <v>1279.9162598</v>
      </c>
      <c r="J1534">
        <v>1256.9942627</v>
      </c>
      <c r="K1534">
        <v>2875</v>
      </c>
      <c r="L1534">
        <v>0</v>
      </c>
      <c r="M1534">
        <v>0</v>
      </c>
      <c r="N1534">
        <v>2875</v>
      </c>
    </row>
    <row r="1535" spans="1:14" x14ac:dyDescent="0.25">
      <c r="A1535">
        <v>1106.6650950000001</v>
      </c>
      <c r="B1535" s="1">
        <f>DATE(2013,5,11) + TIME(15,57,44)</f>
        <v>41405.665092592593</v>
      </c>
      <c r="C1535">
        <v>80</v>
      </c>
      <c r="D1535">
        <v>79.963470459000007</v>
      </c>
      <c r="E1535">
        <v>50</v>
      </c>
      <c r="F1535">
        <v>49.004867554</v>
      </c>
      <c r="G1535">
        <v>1396.1118164</v>
      </c>
      <c r="H1535">
        <v>1378.8461914</v>
      </c>
      <c r="I1535">
        <v>1279.9079589999999</v>
      </c>
      <c r="J1535">
        <v>1256.9832764</v>
      </c>
      <c r="K1535">
        <v>2875</v>
      </c>
      <c r="L1535">
        <v>0</v>
      </c>
      <c r="M1535">
        <v>0</v>
      </c>
      <c r="N1535">
        <v>2875</v>
      </c>
    </row>
    <row r="1536" spans="1:14" x14ac:dyDescent="0.25">
      <c r="A1536">
        <v>1106.982299</v>
      </c>
      <c r="B1536" s="1">
        <f>DATE(2013,5,11) + TIME(23,34,30)</f>
        <v>41405.982291666667</v>
      </c>
      <c r="C1536">
        <v>80</v>
      </c>
      <c r="D1536">
        <v>79.963470459000007</v>
      </c>
      <c r="E1536">
        <v>50</v>
      </c>
      <c r="F1536">
        <v>48.980396270999996</v>
      </c>
      <c r="G1536">
        <v>1396.0413818</v>
      </c>
      <c r="H1536">
        <v>1378.7893065999999</v>
      </c>
      <c r="I1536">
        <v>1279.8995361</v>
      </c>
      <c r="J1536">
        <v>1256.972168</v>
      </c>
      <c r="K1536">
        <v>2875</v>
      </c>
      <c r="L1536">
        <v>0</v>
      </c>
      <c r="M1536">
        <v>0</v>
      </c>
      <c r="N1536">
        <v>2875</v>
      </c>
    </row>
    <row r="1537" spans="1:14" x14ac:dyDescent="0.25">
      <c r="A1537">
        <v>1107.305022</v>
      </c>
      <c r="B1537" s="1">
        <f>DATE(2013,5,12) + TIME(7,19,13)</f>
        <v>41406.305011574077</v>
      </c>
      <c r="C1537">
        <v>80</v>
      </c>
      <c r="D1537">
        <v>79.963470459000007</v>
      </c>
      <c r="E1537">
        <v>50</v>
      </c>
      <c r="F1537">
        <v>48.955627440999997</v>
      </c>
      <c r="G1537">
        <v>1395.9715576000001</v>
      </c>
      <c r="H1537">
        <v>1378.7330322</v>
      </c>
      <c r="I1537">
        <v>1279.8908690999999</v>
      </c>
      <c r="J1537">
        <v>1256.9608154</v>
      </c>
      <c r="K1537">
        <v>2875</v>
      </c>
      <c r="L1537">
        <v>0</v>
      </c>
      <c r="M1537">
        <v>0</v>
      </c>
      <c r="N1537">
        <v>2875</v>
      </c>
    </row>
    <row r="1538" spans="1:14" x14ac:dyDescent="0.25">
      <c r="A1538">
        <v>1107.634182</v>
      </c>
      <c r="B1538" s="1">
        <f>DATE(2013,5,12) + TIME(15,13,13)</f>
        <v>41406.63417824074</v>
      </c>
      <c r="C1538">
        <v>80</v>
      </c>
      <c r="D1538">
        <v>79.963462829999997</v>
      </c>
      <c r="E1538">
        <v>50</v>
      </c>
      <c r="F1538">
        <v>48.930511475000003</v>
      </c>
      <c r="G1538">
        <v>1395.9022216999999</v>
      </c>
      <c r="H1538">
        <v>1378.677124</v>
      </c>
      <c r="I1538">
        <v>1279.8822021000001</v>
      </c>
      <c r="J1538">
        <v>1256.9493408000001</v>
      </c>
      <c r="K1538">
        <v>2875</v>
      </c>
      <c r="L1538">
        <v>0</v>
      </c>
      <c r="M1538">
        <v>0</v>
      </c>
      <c r="N1538">
        <v>2875</v>
      </c>
    </row>
    <row r="1539" spans="1:14" x14ac:dyDescent="0.25">
      <c r="A1539">
        <v>1107.9707619999999</v>
      </c>
      <c r="B1539" s="1">
        <f>DATE(2013,5,12) + TIME(23,17,53)</f>
        <v>41406.970752314817</v>
      </c>
      <c r="C1539">
        <v>80</v>
      </c>
      <c r="D1539">
        <v>79.963462829999997</v>
      </c>
      <c r="E1539">
        <v>50</v>
      </c>
      <c r="F1539">
        <v>48.904983520999998</v>
      </c>
      <c r="G1539">
        <v>1395.8330077999999</v>
      </c>
      <c r="H1539">
        <v>1378.6213379000001</v>
      </c>
      <c r="I1539">
        <v>1279.8731689000001</v>
      </c>
      <c r="J1539">
        <v>1256.9376221</v>
      </c>
      <c r="K1539">
        <v>2875</v>
      </c>
      <c r="L1539">
        <v>0</v>
      </c>
      <c r="M1539">
        <v>0</v>
      </c>
      <c r="N1539">
        <v>2875</v>
      </c>
    </row>
    <row r="1540" spans="1:14" x14ac:dyDescent="0.25">
      <c r="A1540">
        <v>1108.3158229999999</v>
      </c>
      <c r="B1540" s="1">
        <f>DATE(2013,5,13) + TIME(7,34,47)</f>
        <v>41407.315821759257</v>
      </c>
      <c r="C1540">
        <v>80</v>
      </c>
      <c r="D1540">
        <v>79.963455199999999</v>
      </c>
      <c r="E1540">
        <v>50</v>
      </c>
      <c r="F1540">
        <v>48.878986359000002</v>
      </c>
      <c r="G1540">
        <v>1395.7639160000001</v>
      </c>
      <c r="H1540">
        <v>1378.5656738</v>
      </c>
      <c r="I1540">
        <v>1279.8640137</v>
      </c>
      <c r="J1540">
        <v>1256.9255370999999</v>
      </c>
      <c r="K1540">
        <v>2875</v>
      </c>
      <c r="L1540">
        <v>0</v>
      </c>
      <c r="M1540">
        <v>0</v>
      </c>
      <c r="N1540">
        <v>2875</v>
      </c>
    </row>
    <row r="1541" spans="1:14" x14ac:dyDescent="0.25">
      <c r="A1541">
        <v>1108.6705199999999</v>
      </c>
      <c r="B1541" s="1">
        <f>DATE(2013,5,13) + TIME(16,5,32)</f>
        <v>41407.67050925926</v>
      </c>
      <c r="C1541">
        <v>80</v>
      </c>
      <c r="D1541">
        <v>79.963439941000004</v>
      </c>
      <c r="E1541">
        <v>50</v>
      </c>
      <c r="F1541">
        <v>48.852443694999998</v>
      </c>
      <c r="G1541">
        <v>1395.6945800999999</v>
      </c>
      <c r="H1541">
        <v>1378.5097656</v>
      </c>
      <c r="I1541">
        <v>1279.8546143000001</v>
      </c>
      <c r="J1541">
        <v>1256.9130858999999</v>
      </c>
      <c r="K1541">
        <v>2875</v>
      </c>
      <c r="L1541">
        <v>0</v>
      </c>
      <c r="M1541">
        <v>0</v>
      </c>
      <c r="N1541">
        <v>2875</v>
      </c>
    </row>
    <row r="1542" spans="1:14" x14ac:dyDescent="0.25">
      <c r="A1542">
        <v>1109.0363319999999</v>
      </c>
      <c r="B1542" s="1">
        <f>DATE(2013,5,14) + TIME(0,52,19)</f>
        <v>41408.03633101852</v>
      </c>
      <c r="C1542">
        <v>80</v>
      </c>
      <c r="D1542">
        <v>79.963432311999995</v>
      </c>
      <c r="E1542">
        <v>50</v>
      </c>
      <c r="F1542">
        <v>48.825267791999998</v>
      </c>
      <c r="G1542">
        <v>1395.6247559000001</v>
      </c>
      <c r="H1542">
        <v>1378.4536132999999</v>
      </c>
      <c r="I1542">
        <v>1279.8448486</v>
      </c>
      <c r="J1542">
        <v>1256.9002685999999</v>
      </c>
      <c r="K1542">
        <v>2875</v>
      </c>
      <c r="L1542">
        <v>0</v>
      </c>
      <c r="M1542">
        <v>0</v>
      </c>
      <c r="N1542">
        <v>2875</v>
      </c>
    </row>
    <row r="1543" spans="1:14" x14ac:dyDescent="0.25">
      <c r="A1543">
        <v>1109.412707</v>
      </c>
      <c r="B1543" s="1">
        <f>DATE(2013,5,14) + TIME(9,54,17)</f>
        <v>41408.41269675926</v>
      </c>
      <c r="C1543">
        <v>80</v>
      </c>
      <c r="D1543">
        <v>79.963417053000001</v>
      </c>
      <c r="E1543">
        <v>50</v>
      </c>
      <c r="F1543">
        <v>48.797470093000001</v>
      </c>
      <c r="G1543">
        <v>1395.5544434000001</v>
      </c>
      <c r="H1543">
        <v>1378.3969727000001</v>
      </c>
      <c r="I1543">
        <v>1279.8348389</v>
      </c>
      <c r="J1543">
        <v>1256.8870850000001</v>
      </c>
      <c r="K1543">
        <v>2875</v>
      </c>
      <c r="L1543">
        <v>0</v>
      </c>
      <c r="M1543">
        <v>0</v>
      </c>
      <c r="N1543">
        <v>2875</v>
      </c>
    </row>
    <row r="1544" spans="1:14" x14ac:dyDescent="0.25">
      <c r="A1544">
        <v>1109.794576</v>
      </c>
      <c r="B1544" s="1">
        <f>DATE(2013,5,14) + TIME(19,4,11)</f>
        <v>41408.794571759259</v>
      </c>
      <c r="C1544">
        <v>80</v>
      </c>
      <c r="D1544">
        <v>79.963409424000005</v>
      </c>
      <c r="E1544">
        <v>50</v>
      </c>
      <c r="F1544">
        <v>48.769275665000002</v>
      </c>
      <c r="G1544">
        <v>1395.4836425999999</v>
      </c>
      <c r="H1544">
        <v>1378.3399658000001</v>
      </c>
      <c r="I1544">
        <v>1279.8243408000001</v>
      </c>
      <c r="J1544">
        <v>1256.8735352000001</v>
      </c>
      <c r="K1544">
        <v>2875</v>
      </c>
      <c r="L1544">
        <v>0</v>
      </c>
      <c r="M1544">
        <v>0</v>
      </c>
      <c r="N1544">
        <v>2875</v>
      </c>
    </row>
    <row r="1545" spans="1:14" x14ac:dyDescent="0.25">
      <c r="A1545">
        <v>1110.1829339999999</v>
      </c>
      <c r="B1545" s="1">
        <f>DATE(2013,5,15) + TIME(4,23,25)</f>
        <v>41409.182928240742</v>
      </c>
      <c r="C1545">
        <v>80</v>
      </c>
      <c r="D1545">
        <v>79.963394164999997</v>
      </c>
      <c r="E1545">
        <v>50</v>
      </c>
      <c r="F1545">
        <v>48.740684508999998</v>
      </c>
      <c r="G1545">
        <v>1395.4134521000001</v>
      </c>
      <c r="H1545">
        <v>1378.2834473</v>
      </c>
      <c r="I1545">
        <v>1279.8138428</v>
      </c>
      <c r="J1545">
        <v>1256.8596190999999</v>
      </c>
      <c r="K1545">
        <v>2875</v>
      </c>
      <c r="L1545">
        <v>0</v>
      </c>
      <c r="M1545">
        <v>0</v>
      </c>
      <c r="N1545">
        <v>2875</v>
      </c>
    </row>
    <row r="1546" spans="1:14" x14ac:dyDescent="0.25">
      <c r="A1546">
        <v>1110.578747</v>
      </c>
      <c r="B1546" s="1">
        <f>DATE(2013,5,15) + TIME(13,53,23)</f>
        <v>41409.578738425924</v>
      </c>
      <c r="C1546">
        <v>80</v>
      </c>
      <c r="D1546">
        <v>79.963378906000003</v>
      </c>
      <c r="E1546">
        <v>50</v>
      </c>
      <c r="F1546">
        <v>48.711669921999999</v>
      </c>
      <c r="G1546">
        <v>1395.3435059000001</v>
      </c>
      <c r="H1546">
        <v>1378.2270507999999</v>
      </c>
      <c r="I1546">
        <v>1279.8029785000001</v>
      </c>
      <c r="J1546">
        <v>1256.8454589999999</v>
      </c>
      <c r="K1546">
        <v>2875</v>
      </c>
      <c r="L1546">
        <v>0</v>
      </c>
      <c r="M1546">
        <v>0</v>
      </c>
      <c r="N1546">
        <v>2875</v>
      </c>
    </row>
    <row r="1547" spans="1:14" x14ac:dyDescent="0.25">
      <c r="A1547">
        <v>1110.98305</v>
      </c>
      <c r="B1547" s="1">
        <f>DATE(2013,5,15) + TIME(23,35,35)</f>
        <v>41409.983043981483</v>
      </c>
      <c r="C1547">
        <v>80</v>
      </c>
      <c r="D1547">
        <v>79.963363646999994</v>
      </c>
      <c r="E1547">
        <v>50</v>
      </c>
      <c r="F1547">
        <v>48.682186127000001</v>
      </c>
      <c r="G1547">
        <v>1395.2738036999999</v>
      </c>
      <c r="H1547">
        <v>1378.1710204999999</v>
      </c>
      <c r="I1547">
        <v>1279.7919922000001</v>
      </c>
      <c r="J1547">
        <v>1256.8309326000001</v>
      </c>
      <c r="K1547">
        <v>2875</v>
      </c>
      <c r="L1547">
        <v>0</v>
      </c>
      <c r="M1547">
        <v>0</v>
      </c>
      <c r="N1547">
        <v>2875</v>
      </c>
    </row>
    <row r="1548" spans="1:14" x14ac:dyDescent="0.25">
      <c r="A1548">
        <v>1111.395162</v>
      </c>
      <c r="B1548" s="1">
        <f>DATE(2013,5,16) + TIME(9,29,1)</f>
        <v>41410.395150462966</v>
      </c>
      <c r="C1548">
        <v>80</v>
      </c>
      <c r="D1548">
        <v>79.963348389000004</v>
      </c>
      <c r="E1548">
        <v>50</v>
      </c>
      <c r="F1548">
        <v>48.652259827000002</v>
      </c>
      <c r="G1548">
        <v>1395.2041016000001</v>
      </c>
      <c r="H1548">
        <v>1378.1148682</v>
      </c>
      <c r="I1548">
        <v>1279.7806396000001</v>
      </c>
      <c r="J1548">
        <v>1256.8161620999999</v>
      </c>
      <c r="K1548">
        <v>2875</v>
      </c>
      <c r="L1548">
        <v>0</v>
      </c>
      <c r="M1548">
        <v>0</v>
      </c>
      <c r="N1548">
        <v>2875</v>
      </c>
    </row>
    <row r="1549" spans="1:14" x14ac:dyDescent="0.25">
      <c r="A1549">
        <v>1111.8104619999999</v>
      </c>
      <c r="B1549" s="1">
        <f>DATE(2013,5,16) + TIME(19,27,3)</f>
        <v>41410.81045138889</v>
      </c>
      <c r="C1549">
        <v>80</v>
      </c>
      <c r="D1549">
        <v>79.963333129999995</v>
      </c>
      <c r="E1549">
        <v>50</v>
      </c>
      <c r="F1549">
        <v>48.622112274000003</v>
      </c>
      <c r="G1549">
        <v>1395.1345214999999</v>
      </c>
      <c r="H1549">
        <v>1378.0588379000001</v>
      </c>
      <c r="I1549">
        <v>1279.769043</v>
      </c>
      <c r="J1549">
        <v>1256.8010254000001</v>
      </c>
      <c r="K1549">
        <v>2875</v>
      </c>
      <c r="L1549">
        <v>0</v>
      </c>
      <c r="M1549">
        <v>0</v>
      </c>
      <c r="N1549">
        <v>2875</v>
      </c>
    </row>
    <row r="1550" spans="1:14" x14ac:dyDescent="0.25">
      <c r="A1550">
        <v>1112.230131</v>
      </c>
      <c r="B1550" s="1">
        <f>DATE(2013,5,17) + TIME(5,31,23)</f>
        <v>41411.230127314811</v>
      </c>
      <c r="C1550">
        <v>80</v>
      </c>
      <c r="D1550">
        <v>79.963317871000001</v>
      </c>
      <c r="E1550">
        <v>50</v>
      </c>
      <c r="F1550">
        <v>48.591735839999998</v>
      </c>
      <c r="G1550">
        <v>1395.0657959</v>
      </c>
      <c r="H1550">
        <v>1378.003418</v>
      </c>
      <c r="I1550">
        <v>1279.7573242000001</v>
      </c>
      <c r="J1550">
        <v>1256.7856445</v>
      </c>
      <c r="K1550">
        <v>2875</v>
      </c>
      <c r="L1550">
        <v>0</v>
      </c>
      <c r="M1550">
        <v>0</v>
      </c>
      <c r="N1550">
        <v>2875</v>
      </c>
    </row>
    <row r="1551" spans="1:14" x14ac:dyDescent="0.25">
      <c r="A1551">
        <v>1112.655332</v>
      </c>
      <c r="B1551" s="1">
        <f>DATE(2013,5,17) + TIME(15,43,40)</f>
        <v>41411.655324074076</v>
      </c>
      <c r="C1551">
        <v>80</v>
      </c>
      <c r="D1551">
        <v>79.963302612000007</v>
      </c>
      <c r="E1551">
        <v>50</v>
      </c>
      <c r="F1551">
        <v>48.561096190999997</v>
      </c>
      <c r="G1551">
        <v>1394.9978027</v>
      </c>
      <c r="H1551">
        <v>1377.9487305</v>
      </c>
      <c r="I1551">
        <v>1279.7454834</v>
      </c>
      <c r="J1551">
        <v>1256.7700195</v>
      </c>
      <c r="K1551">
        <v>2875</v>
      </c>
      <c r="L1551">
        <v>0</v>
      </c>
      <c r="M1551">
        <v>0</v>
      </c>
      <c r="N1551">
        <v>2875</v>
      </c>
    </row>
    <row r="1552" spans="1:14" x14ac:dyDescent="0.25">
      <c r="A1552">
        <v>1113.0872649999999</v>
      </c>
      <c r="B1552" s="1">
        <f>DATE(2013,5,18) + TIME(2,5,39)</f>
        <v>41412.087256944447</v>
      </c>
      <c r="C1552">
        <v>80</v>
      </c>
      <c r="D1552">
        <v>79.963287354000002</v>
      </c>
      <c r="E1552">
        <v>50</v>
      </c>
      <c r="F1552">
        <v>48.530147552000003</v>
      </c>
      <c r="G1552">
        <v>1394.9302978999999</v>
      </c>
      <c r="H1552">
        <v>1377.8942870999999</v>
      </c>
      <c r="I1552">
        <v>1279.7333983999999</v>
      </c>
      <c r="J1552">
        <v>1256.7541504000001</v>
      </c>
      <c r="K1552">
        <v>2875</v>
      </c>
      <c r="L1552">
        <v>0</v>
      </c>
      <c r="M1552">
        <v>0</v>
      </c>
      <c r="N1552">
        <v>2875</v>
      </c>
    </row>
    <row r="1553" spans="1:14" x14ac:dyDescent="0.25">
      <c r="A1553">
        <v>1113.527198</v>
      </c>
      <c r="B1553" s="1">
        <f>DATE(2013,5,18) + TIME(12,39,9)</f>
        <v>41412.527187500003</v>
      </c>
      <c r="C1553">
        <v>80</v>
      </c>
      <c r="D1553">
        <v>79.963272094999994</v>
      </c>
      <c r="E1553">
        <v>50</v>
      </c>
      <c r="F1553">
        <v>48.498821259000003</v>
      </c>
      <c r="G1553">
        <v>1394.8630370999999</v>
      </c>
      <c r="H1553">
        <v>1377.8400879000001</v>
      </c>
      <c r="I1553">
        <v>1279.7210693</v>
      </c>
      <c r="J1553">
        <v>1256.7380370999999</v>
      </c>
      <c r="K1553">
        <v>2875</v>
      </c>
      <c r="L1553">
        <v>0</v>
      </c>
      <c r="M1553">
        <v>0</v>
      </c>
      <c r="N1553">
        <v>2875</v>
      </c>
    </row>
    <row r="1554" spans="1:14" x14ac:dyDescent="0.25">
      <c r="A1554">
        <v>1113.976486</v>
      </c>
      <c r="B1554" s="1">
        <f>DATE(2013,5,18) + TIME(23,26,8)</f>
        <v>41412.976481481484</v>
      </c>
      <c r="C1554">
        <v>80</v>
      </c>
      <c r="D1554">
        <v>79.963256835999999</v>
      </c>
      <c r="E1554">
        <v>50</v>
      </c>
      <c r="F1554">
        <v>48.467044829999999</v>
      </c>
      <c r="G1554">
        <v>1394.7958983999999</v>
      </c>
      <c r="H1554">
        <v>1377.7860106999999</v>
      </c>
      <c r="I1554">
        <v>1279.7084961</v>
      </c>
      <c r="J1554">
        <v>1256.7214355000001</v>
      </c>
      <c r="K1554">
        <v>2875</v>
      </c>
      <c r="L1554">
        <v>0</v>
      </c>
      <c r="M1554">
        <v>0</v>
      </c>
      <c r="N1554">
        <v>2875</v>
      </c>
    </row>
    <row r="1555" spans="1:14" x14ac:dyDescent="0.25">
      <c r="A1555">
        <v>1114.4365929999999</v>
      </c>
      <c r="B1555" s="1">
        <f>DATE(2013,5,19) + TIME(10,28,41)</f>
        <v>41413.436585648145</v>
      </c>
      <c r="C1555">
        <v>80</v>
      </c>
      <c r="D1555">
        <v>79.963249207000004</v>
      </c>
      <c r="E1555">
        <v>50</v>
      </c>
      <c r="F1555">
        <v>48.434730530000003</v>
      </c>
      <c r="G1555">
        <v>1394.7286377</v>
      </c>
      <c r="H1555">
        <v>1377.7318115</v>
      </c>
      <c r="I1555">
        <v>1279.6955565999999</v>
      </c>
      <c r="J1555">
        <v>1256.7044678</v>
      </c>
      <c r="K1555">
        <v>2875</v>
      </c>
      <c r="L1555">
        <v>0</v>
      </c>
      <c r="M1555">
        <v>0</v>
      </c>
      <c r="N1555">
        <v>2875</v>
      </c>
    </row>
    <row r="1556" spans="1:14" x14ac:dyDescent="0.25">
      <c r="A1556">
        <v>1114.909275</v>
      </c>
      <c r="B1556" s="1">
        <f>DATE(2013,5,19) + TIME(21,49,21)</f>
        <v>41413.909270833334</v>
      </c>
      <c r="C1556">
        <v>80</v>
      </c>
      <c r="D1556">
        <v>79.963233947999996</v>
      </c>
      <c r="E1556">
        <v>50</v>
      </c>
      <c r="F1556">
        <v>48.401779175000001</v>
      </c>
      <c r="G1556">
        <v>1394.6610106999999</v>
      </c>
      <c r="H1556">
        <v>1377.6773682</v>
      </c>
      <c r="I1556">
        <v>1279.682251</v>
      </c>
      <c r="J1556">
        <v>1256.6870117000001</v>
      </c>
      <c r="K1556">
        <v>2875</v>
      </c>
      <c r="L1556">
        <v>0</v>
      </c>
      <c r="M1556">
        <v>0</v>
      </c>
      <c r="N1556">
        <v>2875</v>
      </c>
    </row>
    <row r="1557" spans="1:14" x14ac:dyDescent="0.25">
      <c r="A1557">
        <v>1115.3964060000001</v>
      </c>
      <c r="B1557" s="1">
        <f>DATE(2013,5,20) + TIME(9,30,49)</f>
        <v>41414.39640046296</v>
      </c>
      <c r="C1557">
        <v>80</v>
      </c>
      <c r="D1557">
        <v>79.963218689000001</v>
      </c>
      <c r="E1557">
        <v>50</v>
      </c>
      <c r="F1557">
        <v>48.368080139</v>
      </c>
      <c r="G1557">
        <v>1394.5930175999999</v>
      </c>
      <c r="H1557">
        <v>1377.6224365</v>
      </c>
      <c r="I1557">
        <v>1279.6685791</v>
      </c>
      <c r="J1557">
        <v>1256.6689452999999</v>
      </c>
      <c r="K1557">
        <v>2875</v>
      </c>
      <c r="L1557">
        <v>0</v>
      </c>
      <c r="M1557">
        <v>0</v>
      </c>
      <c r="N1557">
        <v>2875</v>
      </c>
    </row>
    <row r="1558" spans="1:14" x14ac:dyDescent="0.25">
      <c r="A1558">
        <v>1115.8998590000001</v>
      </c>
      <c r="B1558" s="1">
        <f>DATE(2013,5,20) + TIME(21,35,47)</f>
        <v>41414.89984953704</v>
      </c>
      <c r="C1558">
        <v>80</v>
      </c>
      <c r="D1558">
        <v>79.963203429999993</v>
      </c>
      <c r="E1558">
        <v>50</v>
      </c>
      <c r="F1558">
        <v>48.333522797000001</v>
      </c>
      <c r="G1558">
        <v>1394.5241699000001</v>
      </c>
      <c r="H1558">
        <v>1377.5668945</v>
      </c>
      <c r="I1558">
        <v>1279.6544189000001</v>
      </c>
      <c r="J1558">
        <v>1256.6502685999999</v>
      </c>
      <c r="K1558">
        <v>2875</v>
      </c>
      <c r="L1558">
        <v>0</v>
      </c>
      <c r="M1558">
        <v>0</v>
      </c>
      <c r="N1558">
        <v>2875</v>
      </c>
    </row>
    <row r="1559" spans="1:14" x14ac:dyDescent="0.25">
      <c r="A1559">
        <v>1116.411028</v>
      </c>
      <c r="B1559" s="1">
        <f>DATE(2013,5,21) + TIME(9,51,52)</f>
        <v>41415.41101851852</v>
      </c>
      <c r="C1559">
        <v>80</v>
      </c>
      <c r="D1559">
        <v>79.963188170999999</v>
      </c>
      <c r="E1559">
        <v>50</v>
      </c>
      <c r="F1559">
        <v>48.298412323000001</v>
      </c>
      <c r="G1559">
        <v>1394.4544678</v>
      </c>
      <c r="H1559">
        <v>1377.5106201000001</v>
      </c>
      <c r="I1559">
        <v>1279.6396483999999</v>
      </c>
      <c r="J1559">
        <v>1256.6308594</v>
      </c>
      <c r="K1559">
        <v>2875</v>
      </c>
      <c r="L1559">
        <v>0</v>
      </c>
      <c r="M1559">
        <v>0</v>
      </c>
      <c r="N1559">
        <v>2875</v>
      </c>
    </row>
    <row r="1560" spans="1:14" x14ac:dyDescent="0.25">
      <c r="A1560">
        <v>1116.9306059999999</v>
      </c>
      <c r="B1560" s="1">
        <f>DATE(2013,5,21) + TIME(22,20,4)</f>
        <v>41415.930601851855</v>
      </c>
      <c r="C1560">
        <v>80</v>
      </c>
      <c r="D1560">
        <v>79.963172912999994</v>
      </c>
      <c r="E1560">
        <v>50</v>
      </c>
      <c r="F1560">
        <v>48.262794495000001</v>
      </c>
      <c r="G1560">
        <v>1394.3850098</v>
      </c>
      <c r="H1560">
        <v>1377.4545897999999</v>
      </c>
      <c r="I1560">
        <v>1279.6245117000001</v>
      </c>
      <c r="J1560">
        <v>1256.6109618999999</v>
      </c>
      <c r="K1560">
        <v>2875</v>
      </c>
      <c r="L1560">
        <v>0</v>
      </c>
      <c r="M1560">
        <v>0</v>
      </c>
      <c r="N1560">
        <v>2875</v>
      </c>
    </row>
    <row r="1561" spans="1:14" x14ac:dyDescent="0.25">
      <c r="A1561">
        <v>1117.457249</v>
      </c>
      <c r="B1561" s="1">
        <f>DATE(2013,5,22) + TIME(10,58,26)</f>
        <v>41416.457245370373</v>
      </c>
      <c r="C1561">
        <v>80</v>
      </c>
      <c r="D1561">
        <v>79.963165282999995</v>
      </c>
      <c r="E1561">
        <v>50</v>
      </c>
      <c r="F1561">
        <v>48.226764678999999</v>
      </c>
      <c r="G1561">
        <v>1394.3156738</v>
      </c>
      <c r="H1561">
        <v>1377.3986815999999</v>
      </c>
      <c r="I1561">
        <v>1279.6091309000001</v>
      </c>
      <c r="J1561">
        <v>1256.5906981999999</v>
      </c>
      <c r="K1561">
        <v>2875</v>
      </c>
      <c r="L1561">
        <v>0</v>
      </c>
      <c r="M1561">
        <v>0</v>
      </c>
      <c r="N1561">
        <v>2875</v>
      </c>
    </row>
    <row r="1562" spans="1:14" x14ac:dyDescent="0.25">
      <c r="A1562">
        <v>1117.9910110000001</v>
      </c>
      <c r="B1562" s="1">
        <f>DATE(2013,5,22) + TIME(23,47,3)</f>
        <v>41416.991006944445</v>
      </c>
      <c r="C1562">
        <v>80</v>
      </c>
      <c r="D1562">
        <v>79.963150024000001</v>
      </c>
      <c r="E1562">
        <v>50</v>
      </c>
      <c r="F1562">
        <v>48.190361023000001</v>
      </c>
      <c r="G1562">
        <v>1394.2468262</v>
      </c>
      <c r="H1562">
        <v>1377.3430175999999</v>
      </c>
      <c r="I1562">
        <v>1279.5933838000001</v>
      </c>
      <c r="J1562">
        <v>1256.5699463000001</v>
      </c>
      <c r="K1562">
        <v>2875</v>
      </c>
      <c r="L1562">
        <v>0</v>
      </c>
      <c r="M1562">
        <v>0</v>
      </c>
      <c r="N1562">
        <v>2875</v>
      </c>
    </row>
    <row r="1563" spans="1:14" x14ac:dyDescent="0.25">
      <c r="A1563">
        <v>1118.5320859999999</v>
      </c>
      <c r="B1563" s="1">
        <f>DATE(2013,5,23) + TIME(12,46,12)</f>
        <v>41417.532083333332</v>
      </c>
      <c r="C1563">
        <v>80</v>
      </c>
      <c r="D1563">
        <v>79.963134765999996</v>
      </c>
      <c r="E1563">
        <v>50</v>
      </c>
      <c r="F1563">
        <v>48.153602599999999</v>
      </c>
      <c r="G1563">
        <v>1394.1783447</v>
      </c>
      <c r="H1563">
        <v>1377.2875977000001</v>
      </c>
      <c r="I1563">
        <v>1279.5772704999999</v>
      </c>
      <c r="J1563">
        <v>1256.5487060999999</v>
      </c>
      <c r="K1563">
        <v>2875</v>
      </c>
      <c r="L1563">
        <v>0</v>
      </c>
      <c r="M1563">
        <v>0</v>
      </c>
      <c r="N1563">
        <v>2875</v>
      </c>
    </row>
    <row r="1564" spans="1:14" x14ac:dyDescent="0.25">
      <c r="A1564">
        <v>1119.07844</v>
      </c>
      <c r="B1564" s="1">
        <f>DATE(2013,5,24) + TIME(1,52,57)</f>
        <v>41418.0784375</v>
      </c>
      <c r="C1564">
        <v>80</v>
      </c>
      <c r="D1564">
        <v>79.963127135999997</v>
      </c>
      <c r="E1564">
        <v>50</v>
      </c>
      <c r="F1564">
        <v>48.116584778000004</v>
      </c>
      <c r="G1564">
        <v>1394.1101074000001</v>
      </c>
      <c r="H1564">
        <v>1377.2324219</v>
      </c>
      <c r="I1564">
        <v>1279.5609131000001</v>
      </c>
      <c r="J1564">
        <v>1256.5270995999999</v>
      </c>
      <c r="K1564">
        <v>2875</v>
      </c>
      <c r="L1564">
        <v>0</v>
      </c>
      <c r="M1564">
        <v>0</v>
      </c>
      <c r="N1564">
        <v>2875</v>
      </c>
    </row>
    <row r="1565" spans="1:14" x14ac:dyDescent="0.25">
      <c r="A1565">
        <v>1119.6316770000001</v>
      </c>
      <c r="B1565" s="1">
        <f>DATE(2013,5,24) + TIME(15,9,36)</f>
        <v>41418.631666666668</v>
      </c>
      <c r="C1565">
        <v>80</v>
      </c>
      <c r="D1565">
        <v>79.963111877000003</v>
      </c>
      <c r="E1565">
        <v>50</v>
      </c>
      <c r="F1565">
        <v>48.079273223999998</v>
      </c>
      <c r="G1565">
        <v>1394.0426024999999</v>
      </c>
      <c r="H1565">
        <v>1377.1777344</v>
      </c>
      <c r="I1565">
        <v>1279.5443115</v>
      </c>
      <c r="J1565">
        <v>1256.5051269999999</v>
      </c>
      <c r="K1565">
        <v>2875</v>
      </c>
      <c r="L1565">
        <v>0</v>
      </c>
      <c r="M1565">
        <v>0</v>
      </c>
      <c r="N1565">
        <v>2875</v>
      </c>
    </row>
    <row r="1566" spans="1:14" x14ac:dyDescent="0.25">
      <c r="A1566">
        <v>1120.1934309999999</v>
      </c>
      <c r="B1566" s="1">
        <f>DATE(2013,5,25) + TIME(4,38,32)</f>
        <v>41419.193425925929</v>
      </c>
      <c r="C1566">
        <v>80</v>
      </c>
      <c r="D1566">
        <v>79.963104247999993</v>
      </c>
      <c r="E1566">
        <v>50</v>
      </c>
      <c r="F1566">
        <v>48.041606903000002</v>
      </c>
      <c r="G1566">
        <v>1393.9753418</v>
      </c>
      <c r="H1566">
        <v>1377.1234131000001</v>
      </c>
      <c r="I1566">
        <v>1279.5273437999999</v>
      </c>
      <c r="J1566">
        <v>1256.4826660000001</v>
      </c>
      <c r="K1566">
        <v>2875</v>
      </c>
      <c r="L1566">
        <v>0</v>
      </c>
      <c r="M1566">
        <v>0</v>
      </c>
      <c r="N1566">
        <v>2875</v>
      </c>
    </row>
    <row r="1567" spans="1:14" x14ac:dyDescent="0.25">
      <c r="A1567">
        <v>1120.7654259999999</v>
      </c>
      <c r="B1567" s="1">
        <f>DATE(2013,5,25) + TIME(18,22,12)</f>
        <v>41419.765416666669</v>
      </c>
      <c r="C1567">
        <v>80</v>
      </c>
      <c r="D1567">
        <v>79.963088988999999</v>
      </c>
      <c r="E1567">
        <v>50</v>
      </c>
      <c r="F1567">
        <v>48.003505707000002</v>
      </c>
      <c r="G1567">
        <v>1393.9083252</v>
      </c>
      <c r="H1567">
        <v>1377.0690918</v>
      </c>
      <c r="I1567">
        <v>1279.5100098</v>
      </c>
      <c r="J1567">
        <v>1256.4597168</v>
      </c>
      <c r="K1567">
        <v>2875</v>
      </c>
      <c r="L1567">
        <v>0</v>
      </c>
      <c r="M1567">
        <v>0</v>
      </c>
      <c r="N1567">
        <v>2875</v>
      </c>
    </row>
    <row r="1568" spans="1:14" x14ac:dyDescent="0.25">
      <c r="A1568">
        <v>1121.349506</v>
      </c>
      <c r="B1568" s="1">
        <f>DATE(2013,5,26) + TIME(8,23,17)</f>
        <v>41420.349502314813</v>
      </c>
      <c r="C1568">
        <v>80</v>
      </c>
      <c r="D1568">
        <v>79.963081360000004</v>
      </c>
      <c r="E1568">
        <v>50</v>
      </c>
      <c r="F1568">
        <v>47.964870453000003</v>
      </c>
      <c r="G1568">
        <v>1393.8413086</v>
      </c>
      <c r="H1568">
        <v>1377.0146483999999</v>
      </c>
      <c r="I1568">
        <v>1279.4923096</v>
      </c>
      <c r="J1568">
        <v>1256.4360352000001</v>
      </c>
      <c r="K1568">
        <v>2875</v>
      </c>
      <c r="L1568">
        <v>0</v>
      </c>
      <c r="M1568">
        <v>0</v>
      </c>
      <c r="N1568">
        <v>2875</v>
      </c>
    </row>
    <row r="1569" spans="1:14" x14ac:dyDescent="0.25">
      <c r="A1569">
        <v>1121.9461719999999</v>
      </c>
      <c r="B1569" s="1">
        <f>DATE(2013,5,26) + TIME(22,42,29)</f>
        <v>41420.946168981478</v>
      </c>
      <c r="C1569">
        <v>80</v>
      </c>
      <c r="D1569">
        <v>79.963073730000005</v>
      </c>
      <c r="E1569">
        <v>50</v>
      </c>
      <c r="F1569">
        <v>47.925640106000003</v>
      </c>
      <c r="G1569">
        <v>1393.7740478999999</v>
      </c>
      <c r="H1569">
        <v>1376.9600829999999</v>
      </c>
      <c r="I1569">
        <v>1279.473999</v>
      </c>
      <c r="J1569">
        <v>1256.4117432</v>
      </c>
      <c r="K1569">
        <v>2875</v>
      </c>
      <c r="L1569">
        <v>0</v>
      </c>
      <c r="M1569">
        <v>0</v>
      </c>
      <c r="N1569">
        <v>2875</v>
      </c>
    </row>
    <row r="1570" spans="1:14" x14ac:dyDescent="0.25">
      <c r="A1570">
        <v>1122.554819</v>
      </c>
      <c r="B1570" s="1">
        <f>DATE(2013,5,27) + TIME(13,18,56)</f>
        <v>41421.554814814815</v>
      </c>
      <c r="C1570">
        <v>80</v>
      </c>
      <c r="D1570">
        <v>79.963058472</v>
      </c>
      <c r="E1570">
        <v>50</v>
      </c>
      <c r="F1570">
        <v>47.885810851999999</v>
      </c>
      <c r="G1570">
        <v>1393.7064209</v>
      </c>
      <c r="H1570">
        <v>1376.9052733999999</v>
      </c>
      <c r="I1570">
        <v>1279.4552002</v>
      </c>
      <c r="J1570">
        <v>1256.3865966999999</v>
      </c>
      <c r="K1570">
        <v>2875</v>
      </c>
      <c r="L1570">
        <v>0</v>
      </c>
      <c r="M1570">
        <v>0</v>
      </c>
      <c r="N1570">
        <v>2875</v>
      </c>
    </row>
    <row r="1571" spans="1:14" x14ac:dyDescent="0.25">
      <c r="A1571">
        <v>1123.1774230000001</v>
      </c>
      <c r="B1571" s="1">
        <f>DATE(2013,5,28) + TIME(4,15,29)</f>
        <v>41422.177418981482</v>
      </c>
      <c r="C1571">
        <v>80</v>
      </c>
      <c r="D1571">
        <v>79.963050842000001</v>
      </c>
      <c r="E1571">
        <v>50</v>
      </c>
      <c r="F1571">
        <v>47.845310210999997</v>
      </c>
      <c r="G1571">
        <v>1393.6387939000001</v>
      </c>
      <c r="H1571">
        <v>1376.8503418</v>
      </c>
      <c r="I1571">
        <v>1279.4357910000001</v>
      </c>
      <c r="J1571">
        <v>1256.3607178</v>
      </c>
      <c r="K1571">
        <v>2875</v>
      </c>
      <c r="L1571">
        <v>0</v>
      </c>
      <c r="M1571">
        <v>0</v>
      </c>
      <c r="N1571">
        <v>2875</v>
      </c>
    </row>
    <row r="1572" spans="1:14" x14ac:dyDescent="0.25">
      <c r="A1572">
        <v>1123.812776</v>
      </c>
      <c r="B1572" s="1">
        <f>DATE(2013,5,28) + TIME(19,30,23)</f>
        <v>41422.8127662037</v>
      </c>
      <c r="C1572">
        <v>80</v>
      </c>
      <c r="D1572">
        <v>79.963043213000006</v>
      </c>
      <c r="E1572">
        <v>50</v>
      </c>
      <c r="F1572">
        <v>47.804153442</v>
      </c>
      <c r="G1572">
        <v>1393.5706786999999</v>
      </c>
      <c r="H1572">
        <v>1376.7949219</v>
      </c>
      <c r="I1572">
        <v>1279.4157714999999</v>
      </c>
      <c r="J1572">
        <v>1256.3341064000001</v>
      </c>
      <c r="K1572">
        <v>2875</v>
      </c>
      <c r="L1572">
        <v>0</v>
      </c>
      <c r="M1572">
        <v>0</v>
      </c>
      <c r="N1572">
        <v>2875</v>
      </c>
    </row>
    <row r="1573" spans="1:14" x14ac:dyDescent="0.25">
      <c r="A1573">
        <v>1124.4510660000001</v>
      </c>
      <c r="B1573" s="1">
        <f>DATE(2013,5,29) + TIME(10,49,32)</f>
        <v>41423.451064814813</v>
      </c>
      <c r="C1573">
        <v>80</v>
      </c>
      <c r="D1573">
        <v>79.963035583000007</v>
      </c>
      <c r="E1573">
        <v>50</v>
      </c>
      <c r="F1573">
        <v>47.762672424000002</v>
      </c>
      <c r="G1573">
        <v>1393.5024414</v>
      </c>
      <c r="H1573">
        <v>1376.7393798999999</v>
      </c>
      <c r="I1573">
        <v>1279.3951416</v>
      </c>
      <c r="J1573">
        <v>1256.3065185999999</v>
      </c>
      <c r="K1573">
        <v>2875</v>
      </c>
      <c r="L1573">
        <v>0</v>
      </c>
      <c r="M1573">
        <v>0</v>
      </c>
      <c r="N1573">
        <v>2875</v>
      </c>
    </row>
    <row r="1574" spans="1:14" x14ac:dyDescent="0.25">
      <c r="A1574">
        <v>1125.094182</v>
      </c>
      <c r="B1574" s="1">
        <f>DATE(2013,5,30) + TIME(2,15,37)</f>
        <v>41424.094178240739</v>
      </c>
      <c r="C1574">
        <v>80</v>
      </c>
      <c r="D1574">
        <v>79.963020325000002</v>
      </c>
      <c r="E1574">
        <v>50</v>
      </c>
      <c r="F1574">
        <v>47.720951079999999</v>
      </c>
      <c r="G1574">
        <v>1393.4350586</v>
      </c>
      <c r="H1574">
        <v>1376.6845702999999</v>
      </c>
      <c r="I1574">
        <v>1279.3742675999999</v>
      </c>
      <c r="J1574">
        <v>1256.2785644999999</v>
      </c>
      <c r="K1574">
        <v>2875</v>
      </c>
      <c r="L1574">
        <v>0</v>
      </c>
      <c r="M1574">
        <v>0</v>
      </c>
      <c r="N1574">
        <v>2875</v>
      </c>
    </row>
    <row r="1575" spans="1:14" x14ac:dyDescent="0.25">
      <c r="A1575">
        <v>1125.7439959999999</v>
      </c>
      <c r="B1575" s="1">
        <f>DATE(2013,5,30) + TIME(17,51,21)</f>
        <v>41424.743993055556</v>
      </c>
      <c r="C1575">
        <v>80</v>
      </c>
      <c r="D1575">
        <v>79.963012695000003</v>
      </c>
      <c r="E1575">
        <v>50</v>
      </c>
      <c r="F1575">
        <v>47.678974152000002</v>
      </c>
      <c r="G1575">
        <v>1393.3681641000001</v>
      </c>
      <c r="H1575">
        <v>1376.6301269999999</v>
      </c>
      <c r="I1575">
        <v>1279.3529053</v>
      </c>
      <c r="J1575">
        <v>1256.25</v>
      </c>
      <c r="K1575">
        <v>2875</v>
      </c>
      <c r="L1575">
        <v>0</v>
      </c>
      <c r="M1575">
        <v>0</v>
      </c>
      <c r="N1575">
        <v>2875</v>
      </c>
    </row>
    <row r="1576" spans="1:14" x14ac:dyDescent="0.25">
      <c r="A1576">
        <v>1126.402415</v>
      </c>
      <c r="B1576" s="1">
        <f>DATE(2013,5,31) + TIME(9,39,28)</f>
        <v>41425.402407407404</v>
      </c>
      <c r="C1576">
        <v>80</v>
      </c>
      <c r="D1576">
        <v>79.963005065999994</v>
      </c>
      <c r="E1576">
        <v>50</v>
      </c>
      <c r="F1576">
        <v>47.636669159</v>
      </c>
      <c r="G1576">
        <v>1393.3018798999999</v>
      </c>
      <c r="H1576">
        <v>1376.5759277</v>
      </c>
      <c r="I1576">
        <v>1279.3312988</v>
      </c>
      <c r="J1576">
        <v>1256.2208252</v>
      </c>
      <c r="K1576">
        <v>2875</v>
      </c>
      <c r="L1576">
        <v>0</v>
      </c>
      <c r="M1576">
        <v>0</v>
      </c>
      <c r="N1576">
        <v>2875</v>
      </c>
    </row>
    <row r="1577" spans="1:14" x14ac:dyDescent="0.25">
      <c r="A1577">
        <v>1127</v>
      </c>
      <c r="B1577" s="1">
        <f>DATE(2013,6,1) + TIME(0,0,0)</f>
        <v>41426</v>
      </c>
      <c r="C1577">
        <v>80</v>
      </c>
      <c r="D1577">
        <v>79.962997436999999</v>
      </c>
      <c r="E1577">
        <v>50</v>
      </c>
      <c r="F1577">
        <v>47.596446991000001</v>
      </c>
      <c r="G1577">
        <v>1393.2355957</v>
      </c>
      <c r="H1577">
        <v>1376.5219727000001</v>
      </c>
      <c r="I1577">
        <v>1279.3087158000001</v>
      </c>
      <c r="J1577">
        <v>1256.1911620999999</v>
      </c>
      <c r="K1577">
        <v>2875</v>
      </c>
      <c r="L1577">
        <v>0</v>
      </c>
      <c r="M1577">
        <v>0</v>
      </c>
      <c r="N1577">
        <v>2875</v>
      </c>
    </row>
    <row r="1578" spans="1:14" x14ac:dyDescent="0.25">
      <c r="A1578">
        <v>1127.668997</v>
      </c>
      <c r="B1578" s="1">
        <f>DATE(2013,6,1) + TIME(16,3,21)</f>
        <v>41426.668993055559</v>
      </c>
      <c r="C1578">
        <v>80</v>
      </c>
      <c r="D1578">
        <v>79.962989807</v>
      </c>
      <c r="E1578">
        <v>50</v>
      </c>
      <c r="F1578">
        <v>47.554611205999997</v>
      </c>
      <c r="G1578">
        <v>1393.1765137</v>
      </c>
      <c r="H1578">
        <v>1376.4736327999999</v>
      </c>
      <c r="I1578">
        <v>1279.2886963000001</v>
      </c>
      <c r="J1578">
        <v>1256.1632079999999</v>
      </c>
      <c r="K1578">
        <v>2875</v>
      </c>
      <c r="L1578">
        <v>0</v>
      </c>
      <c r="M1578">
        <v>0</v>
      </c>
      <c r="N1578">
        <v>2875</v>
      </c>
    </row>
    <row r="1579" spans="1:14" x14ac:dyDescent="0.25">
      <c r="A1579">
        <v>1128.3639439999999</v>
      </c>
      <c r="B1579" s="1">
        <f>DATE(2013,6,2) + TIME(8,44,4)</f>
        <v>41427.363935185182</v>
      </c>
      <c r="C1579">
        <v>80</v>
      </c>
      <c r="D1579">
        <v>79.962989807</v>
      </c>
      <c r="E1579">
        <v>50</v>
      </c>
      <c r="F1579">
        <v>47.511466980000002</v>
      </c>
      <c r="G1579">
        <v>1393.1113281</v>
      </c>
      <c r="H1579">
        <v>1376.4204102000001</v>
      </c>
      <c r="I1579">
        <v>1279.2657471</v>
      </c>
      <c r="J1579">
        <v>1256.1320800999999</v>
      </c>
      <c r="K1579">
        <v>2875</v>
      </c>
      <c r="L1579">
        <v>0</v>
      </c>
      <c r="M1579">
        <v>0</v>
      </c>
      <c r="N1579">
        <v>2875</v>
      </c>
    </row>
    <row r="1580" spans="1:14" x14ac:dyDescent="0.25">
      <c r="A1580">
        <v>1129.0709019999999</v>
      </c>
      <c r="B1580" s="1">
        <f>DATE(2013,6,3) + TIME(1,42,5)</f>
        <v>41428.070891203701</v>
      </c>
      <c r="C1580">
        <v>80</v>
      </c>
      <c r="D1580">
        <v>79.962982178000004</v>
      </c>
      <c r="E1580">
        <v>50</v>
      </c>
      <c r="F1580">
        <v>47.467365264999998</v>
      </c>
      <c r="G1580">
        <v>1393.0446777</v>
      </c>
      <c r="H1580">
        <v>1376.3658447</v>
      </c>
      <c r="I1580">
        <v>1279.2415771000001</v>
      </c>
      <c r="J1580">
        <v>1256.0993652</v>
      </c>
      <c r="K1580">
        <v>2875</v>
      </c>
      <c r="L1580">
        <v>0</v>
      </c>
      <c r="M1580">
        <v>0</v>
      </c>
      <c r="N1580">
        <v>2875</v>
      </c>
    </row>
    <row r="1581" spans="1:14" x14ac:dyDescent="0.25">
      <c r="A1581">
        <v>1129.7885309999999</v>
      </c>
      <c r="B1581" s="1">
        <f>DATE(2013,6,3) + TIME(18,55,29)</f>
        <v>41428.788530092592</v>
      </c>
      <c r="C1581">
        <v>80</v>
      </c>
      <c r="D1581">
        <v>79.962974548000005</v>
      </c>
      <c r="E1581">
        <v>50</v>
      </c>
      <c r="F1581">
        <v>47.422519684000001</v>
      </c>
      <c r="G1581">
        <v>1392.9780272999999</v>
      </c>
      <c r="H1581">
        <v>1376.3112793</v>
      </c>
      <c r="I1581">
        <v>1279.2166748</v>
      </c>
      <c r="J1581">
        <v>1256.0656738</v>
      </c>
      <c r="K1581">
        <v>2875</v>
      </c>
      <c r="L1581">
        <v>0</v>
      </c>
      <c r="M1581">
        <v>0</v>
      </c>
      <c r="N1581">
        <v>2875</v>
      </c>
    </row>
    <row r="1582" spans="1:14" x14ac:dyDescent="0.25">
      <c r="A1582">
        <v>1130.5189909999999</v>
      </c>
      <c r="B1582" s="1">
        <f>DATE(2013,6,4) + TIME(12,27,20)</f>
        <v>41429.51898148148</v>
      </c>
      <c r="C1582">
        <v>80</v>
      </c>
      <c r="D1582">
        <v>79.962966918999996</v>
      </c>
      <c r="E1582">
        <v>50</v>
      </c>
      <c r="F1582">
        <v>47.376979828000003</v>
      </c>
      <c r="G1582">
        <v>1392.9112548999999</v>
      </c>
      <c r="H1582">
        <v>1376.2565918</v>
      </c>
      <c r="I1582">
        <v>1279.1911620999999</v>
      </c>
      <c r="J1582">
        <v>1256.0308838000001</v>
      </c>
      <c r="K1582">
        <v>2875</v>
      </c>
      <c r="L1582">
        <v>0</v>
      </c>
      <c r="M1582">
        <v>0</v>
      </c>
      <c r="N1582">
        <v>2875</v>
      </c>
    </row>
    <row r="1583" spans="1:14" x14ac:dyDescent="0.25">
      <c r="A1583">
        <v>1131.2645560000001</v>
      </c>
      <c r="B1583" s="1">
        <f>DATE(2013,6,5) + TIME(6,20,57)</f>
        <v>41430.264548611114</v>
      </c>
      <c r="C1583">
        <v>80</v>
      </c>
      <c r="D1583">
        <v>79.962966918999996</v>
      </c>
      <c r="E1583">
        <v>50</v>
      </c>
      <c r="F1583">
        <v>47.330692290999998</v>
      </c>
      <c r="G1583">
        <v>1392.8444824000001</v>
      </c>
      <c r="H1583">
        <v>1376.2017822</v>
      </c>
      <c r="I1583">
        <v>1279.1647949000001</v>
      </c>
      <c r="J1583">
        <v>1255.9948730000001</v>
      </c>
      <c r="K1583">
        <v>2875</v>
      </c>
      <c r="L1583">
        <v>0</v>
      </c>
      <c r="M1583">
        <v>0</v>
      </c>
      <c r="N1583">
        <v>2875</v>
      </c>
    </row>
    <row r="1584" spans="1:14" x14ac:dyDescent="0.25">
      <c r="A1584">
        <v>1132.0206270000001</v>
      </c>
      <c r="B1584" s="1">
        <f>DATE(2013,6,6) + TIME(0,29,42)</f>
        <v>41431.020624999997</v>
      </c>
      <c r="C1584">
        <v>80</v>
      </c>
      <c r="D1584">
        <v>79.962959290000001</v>
      </c>
      <c r="E1584">
        <v>50</v>
      </c>
      <c r="F1584">
        <v>47.283775329999997</v>
      </c>
      <c r="G1584">
        <v>1392.7773437999999</v>
      </c>
      <c r="H1584">
        <v>1376.1467285000001</v>
      </c>
      <c r="I1584">
        <v>1279.1375731999999</v>
      </c>
      <c r="J1584">
        <v>1255.9576416</v>
      </c>
      <c r="K1584">
        <v>2875</v>
      </c>
      <c r="L1584">
        <v>0</v>
      </c>
      <c r="M1584">
        <v>0</v>
      </c>
      <c r="N1584">
        <v>2875</v>
      </c>
    </row>
    <row r="1585" spans="1:14" x14ac:dyDescent="0.25">
      <c r="A1585">
        <v>1132.7808259999999</v>
      </c>
      <c r="B1585" s="1">
        <f>DATE(2013,6,6) + TIME(18,44,23)</f>
        <v>41431.780821759261</v>
      </c>
      <c r="C1585">
        <v>80</v>
      </c>
      <c r="D1585">
        <v>79.962959290000001</v>
      </c>
      <c r="E1585">
        <v>50</v>
      </c>
      <c r="F1585">
        <v>47.236484527999998</v>
      </c>
      <c r="G1585">
        <v>1392.7103271000001</v>
      </c>
      <c r="H1585">
        <v>1376.0916748</v>
      </c>
      <c r="I1585">
        <v>1279.1096190999999</v>
      </c>
      <c r="J1585">
        <v>1255.9194336</v>
      </c>
      <c r="K1585">
        <v>2875</v>
      </c>
      <c r="L1585">
        <v>0</v>
      </c>
      <c r="M1585">
        <v>0</v>
      </c>
      <c r="N1585">
        <v>2875</v>
      </c>
    </row>
    <row r="1586" spans="1:14" x14ac:dyDescent="0.25">
      <c r="A1586">
        <v>1133.5474200000001</v>
      </c>
      <c r="B1586" s="1">
        <f>DATE(2013,6,7) + TIME(13,8,17)</f>
        <v>41432.547418981485</v>
      </c>
      <c r="C1586">
        <v>80</v>
      </c>
      <c r="D1586">
        <v>79.962951660000002</v>
      </c>
      <c r="E1586">
        <v>50</v>
      </c>
      <c r="F1586">
        <v>47.188877106</v>
      </c>
      <c r="G1586">
        <v>1392.644043</v>
      </c>
      <c r="H1586">
        <v>1376.0371094</v>
      </c>
      <c r="I1586">
        <v>1279.0811768000001</v>
      </c>
      <c r="J1586">
        <v>1255.880249</v>
      </c>
      <c r="K1586">
        <v>2875</v>
      </c>
      <c r="L1586">
        <v>0</v>
      </c>
      <c r="M1586">
        <v>0</v>
      </c>
      <c r="N1586">
        <v>2875</v>
      </c>
    </row>
    <row r="1587" spans="1:14" x14ac:dyDescent="0.25">
      <c r="A1587">
        <v>1134.322666</v>
      </c>
      <c r="B1587" s="1">
        <f>DATE(2013,6,8) + TIME(7,44,38)</f>
        <v>41433.322662037041</v>
      </c>
      <c r="C1587">
        <v>80</v>
      </c>
      <c r="D1587">
        <v>79.962951660000002</v>
      </c>
      <c r="E1587">
        <v>50</v>
      </c>
      <c r="F1587">
        <v>47.140914917000003</v>
      </c>
      <c r="G1587">
        <v>1392.578125</v>
      </c>
      <c r="H1587">
        <v>1375.9827881000001</v>
      </c>
      <c r="I1587">
        <v>1279.052124</v>
      </c>
      <c r="J1587">
        <v>1255.8400879000001</v>
      </c>
      <c r="K1587">
        <v>2875</v>
      </c>
      <c r="L1587">
        <v>0</v>
      </c>
      <c r="M1587">
        <v>0</v>
      </c>
      <c r="N1587">
        <v>2875</v>
      </c>
    </row>
    <row r="1588" spans="1:14" x14ac:dyDescent="0.25">
      <c r="A1588">
        <v>1135.108886</v>
      </c>
      <c r="B1588" s="1">
        <f>DATE(2013,6,9) + TIME(2,36,47)</f>
        <v>41434.108877314815</v>
      </c>
      <c r="C1588">
        <v>80</v>
      </c>
      <c r="D1588">
        <v>79.962944031000006</v>
      </c>
      <c r="E1588">
        <v>50</v>
      </c>
      <c r="F1588">
        <v>47.092502594000003</v>
      </c>
      <c r="G1588">
        <v>1392.5125731999999</v>
      </c>
      <c r="H1588">
        <v>1375.9287108999999</v>
      </c>
      <c r="I1588">
        <v>1279.0223389</v>
      </c>
      <c r="J1588">
        <v>1255.7988281</v>
      </c>
      <c r="K1588">
        <v>2875</v>
      </c>
      <c r="L1588">
        <v>0</v>
      </c>
      <c r="M1588">
        <v>0</v>
      </c>
      <c r="N1588">
        <v>2875</v>
      </c>
    </row>
    <row r="1589" spans="1:14" x14ac:dyDescent="0.25">
      <c r="A1589">
        <v>1135.9085110000001</v>
      </c>
      <c r="B1589" s="1">
        <f>DATE(2013,6,9) + TIME(21,48,15)</f>
        <v>41434.908506944441</v>
      </c>
      <c r="C1589">
        <v>80</v>
      </c>
      <c r="D1589">
        <v>79.962944031000006</v>
      </c>
      <c r="E1589">
        <v>50</v>
      </c>
      <c r="F1589">
        <v>47.043514252000001</v>
      </c>
      <c r="G1589">
        <v>1392.4468993999999</v>
      </c>
      <c r="H1589">
        <v>1375.8746338000001</v>
      </c>
      <c r="I1589">
        <v>1278.9916992000001</v>
      </c>
      <c r="J1589">
        <v>1255.7562256000001</v>
      </c>
      <c r="K1589">
        <v>2875</v>
      </c>
      <c r="L1589">
        <v>0</v>
      </c>
      <c r="M1589">
        <v>0</v>
      </c>
      <c r="N1589">
        <v>2875</v>
      </c>
    </row>
    <row r="1590" spans="1:14" x14ac:dyDescent="0.25">
      <c r="A1590">
        <v>1136.7241280000001</v>
      </c>
      <c r="B1590" s="1">
        <f>DATE(2013,6,10) + TIME(17,22,44)</f>
        <v>41435.724120370367</v>
      </c>
      <c r="C1590">
        <v>80</v>
      </c>
      <c r="D1590">
        <v>79.962944031000006</v>
      </c>
      <c r="E1590">
        <v>50</v>
      </c>
      <c r="F1590">
        <v>46.993804932000003</v>
      </c>
      <c r="G1590">
        <v>1392.3812256000001</v>
      </c>
      <c r="H1590">
        <v>1375.8203125</v>
      </c>
      <c r="I1590">
        <v>1278.9602050999999</v>
      </c>
      <c r="J1590">
        <v>1255.7122803</v>
      </c>
      <c r="K1590">
        <v>2875</v>
      </c>
      <c r="L1590">
        <v>0</v>
      </c>
      <c r="M1590">
        <v>0</v>
      </c>
      <c r="N1590">
        <v>2875</v>
      </c>
    </row>
    <row r="1591" spans="1:14" x14ac:dyDescent="0.25">
      <c r="A1591">
        <v>1137.555108</v>
      </c>
      <c r="B1591" s="1">
        <f>DATE(2013,6,11) + TIME(13,19,21)</f>
        <v>41436.555104166669</v>
      </c>
      <c r="C1591">
        <v>80</v>
      </c>
      <c r="D1591">
        <v>79.962944031000006</v>
      </c>
      <c r="E1591">
        <v>50</v>
      </c>
      <c r="F1591">
        <v>46.943317413000003</v>
      </c>
      <c r="G1591">
        <v>1392.3151855000001</v>
      </c>
      <c r="H1591">
        <v>1375.7657471</v>
      </c>
      <c r="I1591">
        <v>1278.9274902</v>
      </c>
      <c r="J1591">
        <v>1255.666626</v>
      </c>
      <c r="K1591">
        <v>2875</v>
      </c>
      <c r="L1591">
        <v>0</v>
      </c>
      <c r="M1591">
        <v>0</v>
      </c>
      <c r="N1591">
        <v>2875</v>
      </c>
    </row>
    <row r="1592" spans="1:14" x14ac:dyDescent="0.25">
      <c r="A1592">
        <v>1138.4005569999999</v>
      </c>
      <c r="B1592" s="1">
        <f>DATE(2013,6,12) + TIME(9,36,48)</f>
        <v>41437.400555555556</v>
      </c>
      <c r="C1592">
        <v>80</v>
      </c>
      <c r="D1592">
        <v>79.962944031000006</v>
      </c>
      <c r="E1592">
        <v>50</v>
      </c>
      <c r="F1592">
        <v>46.892040252999998</v>
      </c>
      <c r="G1592">
        <v>1392.2489014</v>
      </c>
      <c r="H1592">
        <v>1375.7108154</v>
      </c>
      <c r="I1592">
        <v>1278.8936768000001</v>
      </c>
      <c r="J1592">
        <v>1255.6193848</v>
      </c>
      <c r="K1592">
        <v>2875</v>
      </c>
      <c r="L1592">
        <v>0</v>
      </c>
      <c r="M1592">
        <v>0</v>
      </c>
      <c r="N1592">
        <v>2875</v>
      </c>
    </row>
    <row r="1593" spans="1:14" x14ac:dyDescent="0.25">
      <c r="A1593">
        <v>1139.263121</v>
      </c>
      <c r="B1593" s="1">
        <f>DATE(2013,6,13) + TIME(6,18,53)</f>
        <v>41438.263113425928</v>
      </c>
      <c r="C1593">
        <v>80</v>
      </c>
      <c r="D1593">
        <v>79.962944031000006</v>
      </c>
      <c r="E1593">
        <v>50</v>
      </c>
      <c r="F1593">
        <v>46.839900970000002</v>
      </c>
      <c r="G1593">
        <v>1392.1823730000001</v>
      </c>
      <c r="H1593">
        <v>1375.6557617000001</v>
      </c>
      <c r="I1593">
        <v>1278.8588867000001</v>
      </c>
      <c r="J1593">
        <v>1255.5704346</v>
      </c>
      <c r="K1593">
        <v>2875</v>
      </c>
      <c r="L1593">
        <v>0</v>
      </c>
      <c r="M1593">
        <v>0</v>
      </c>
      <c r="N1593">
        <v>2875</v>
      </c>
    </row>
    <row r="1594" spans="1:14" x14ac:dyDescent="0.25">
      <c r="A1594">
        <v>1140.1435100000001</v>
      </c>
      <c r="B1594" s="1">
        <f>DATE(2013,6,14) + TIME(3,26,39)</f>
        <v>41439.143506944441</v>
      </c>
      <c r="C1594">
        <v>80</v>
      </c>
      <c r="D1594">
        <v>79.962944031000006</v>
      </c>
      <c r="E1594">
        <v>50</v>
      </c>
      <c r="F1594">
        <v>46.786834716999998</v>
      </c>
      <c r="G1594">
        <v>1392.1154785000001</v>
      </c>
      <c r="H1594">
        <v>1375.6002197</v>
      </c>
      <c r="I1594">
        <v>1278.8227539</v>
      </c>
      <c r="J1594">
        <v>1255.5195312000001</v>
      </c>
      <c r="K1594">
        <v>2875</v>
      </c>
      <c r="L1594">
        <v>0</v>
      </c>
      <c r="M1594">
        <v>0</v>
      </c>
      <c r="N1594">
        <v>2875</v>
      </c>
    </row>
    <row r="1595" spans="1:14" x14ac:dyDescent="0.25">
      <c r="A1595">
        <v>1141.032183</v>
      </c>
      <c r="B1595" s="1">
        <f>DATE(2013,6,15) + TIME(0,46,20)</f>
        <v>41440.032175925924</v>
      </c>
      <c r="C1595">
        <v>80</v>
      </c>
      <c r="D1595">
        <v>79.962944031000006</v>
      </c>
      <c r="E1595">
        <v>50</v>
      </c>
      <c r="F1595">
        <v>46.733055114999999</v>
      </c>
      <c r="G1595">
        <v>1392.0483397999999</v>
      </c>
      <c r="H1595">
        <v>1375.5444336</v>
      </c>
      <c r="I1595">
        <v>1278.7852783000001</v>
      </c>
      <c r="J1595">
        <v>1255.4666748</v>
      </c>
      <c r="K1595">
        <v>2875</v>
      </c>
      <c r="L1595">
        <v>0</v>
      </c>
      <c r="M1595">
        <v>0</v>
      </c>
      <c r="N1595">
        <v>2875</v>
      </c>
    </row>
    <row r="1596" spans="1:14" x14ac:dyDescent="0.25">
      <c r="A1596">
        <v>1141.9255410000001</v>
      </c>
      <c r="B1596" s="1">
        <f>DATE(2013,6,15) + TIME(22,12,46)</f>
        <v>41440.925532407404</v>
      </c>
      <c r="C1596">
        <v>80</v>
      </c>
      <c r="D1596">
        <v>79.962944031000006</v>
      </c>
      <c r="E1596">
        <v>50</v>
      </c>
      <c r="F1596">
        <v>46.678813933999997</v>
      </c>
      <c r="G1596">
        <v>1391.9813231999999</v>
      </c>
      <c r="H1596">
        <v>1375.4887695</v>
      </c>
      <c r="I1596">
        <v>1278.7469481999999</v>
      </c>
      <c r="J1596">
        <v>1255.4123535000001</v>
      </c>
      <c r="K1596">
        <v>2875</v>
      </c>
      <c r="L1596">
        <v>0</v>
      </c>
      <c r="M1596">
        <v>0</v>
      </c>
      <c r="N1596">
        <v>2875</v>
      </c>
    </row>
    <row r="1597" spans="1:14" x14ac:dyDescent="0.25">
      <c r="A1597">
        <v>1142.8262609999999</v>
      </c>
      <c r="B1597" s="1">
        <f>DATE(2013,6,16) + TIME(19,49,48)</f>
        <v>41441.826249999998</v>
      </c>
      <c r="C1597">
        <v>80</v>
      </c>
      <c r="D1597">
        <v>79.962944031000006</v>
      </c>
      <c r="E1597">
        <v>50</v>
      </c>
      <c r="F1597">
        <v>46.624172211000001</v>
      </c>
      <c r="G1597">
        <v>1391.9150391000001</v>
      </c>
      <c r="H1597">
        <v>1375.4335937999999</v>
      </c>
      <c r="I1597">
        <v>1278.7077637</v>
      </c>
      <c r="J1597">
        <v>1255.3565673999999</v>
      </c>
      <c r="K1597">
        <v>2875</v>
      </c>
      <c r="L1597">
        <v>0</v>
      </c>
      <c r="M1597">
        <v>0</v>
      </c>
      <c r="N1597">
        <v>2875</v>
      </c>
    </row>
    <row r="1598" spans="1:14" x14ac:dyDescent="0.25">
      <c r="A1598">
        <v>1143.7370390000001</v>
      </c>
      <c r="B1598" s="1">
        <f>DATE(2013,6,17) + TIME(17,41,20)</f>
        <v>41442.737037037034</v>
      </c>
      <c r="C1598">
        <v>80</v>
      </c>
      <c r="D1598">
        <v>79.962944031000006</v>
      </c>
      <c r="E1598">
        <v>50</v>
      </c>
      <c r="F1598">
        <v>46.569057465</v>
      </c>
      <c r="G1598">
        <v>1391.8491211</v>
      </c>
      <c r="H1598">
        <v>1375.3786620999999</v>
      </c>
      <c r="I1598">
        <v>1278.6677245999999</v>
      </c>
      <c r="J1598">
        <v>1255.2993164</v>
      </c>
      <c r="K1598">
        <v>2875</v>
      </c>
      <c r="L1598">
        <v>0</v>
      </c>
      <c r="M1598">
        <v>0</v>
      </c>
      <c r="N1598">
        <v>2875</v>
      </c>
    </row>
    <row r="1599" spans="1:14" x14ac:dyDescent="0.25">
      <c r="A1599">
        <v>1144.655344</v>
      </c>
      <c r="B1599" s="1">
        <f>DATE(2013,6,18) + TIME(15,43,41)</f>
        <v>41443.655335648145</v>
      </c>
      <c r="C1599">
        <v>80</v>
      </c>
      <c r="D1599">
        <v>79.962944031000006</v>
      </c>
      <c r="E1599">
        <v>50</v>
      </c>
      <c r="F1599">
        <v>46.513492583999998</v>
      </c>
      <c r="G1599">
        <v>1391.7834473</v>
      </c>
      <c r="H1599">
        <v>1375.3237305</v>
      </c>
      <c r="I1599">
        <v>1278.6264647999999</v>
      </c>
      <c r="J1599">
        <v>1255.2403564000001</v>
      </c>
      <c r="K1599">
        <v>2875</v>
      </c>
      <c r="L1599">
        <v>0</v>
      </c>
      <c r="M1599">
        <v>0</v>
      </c>
      <c r="N1599">
        <v>2875</v>
      </c>
    </row>
    <row r="1600" spans="1:14" x14ac:dyDescent="0.25">
      <c r="A1600">
        <v>1145.5833729999999</v>
      </c>
      <c r="B1600" s="1">
        <f>DATE(2013,6,19) + TIME(14,0,3)</f>
        <v>41444.583368055559</v>
      </c>
      <c r="C1600">
        <v>80</v>
      </c>
      <c r="D1600">
        <v>79.962951660000002</v>
      </c>
      <c r="E1600">
        <v>50</v>
      </c>
      <c r="F1600">
        <v>46.457427979000002</v>
      </c>
      <c r="G1600">
        <v>1391.7180175999999</v>
      </c>
      <c r="H1600">
        <v>1375.2691649999999</v>
      </c>
      <c r="I1600">
        <v>1278.5843506000001</v>
      </c>
      <c r="J1600">
        <v>1255.1796875</v>
      </c>
      <c r="K1600">
        <v>2875</v>
      </c>
      <c r="L1600">
        <v>0</v>
      </c>
      <c r="M1600">
        <v>0</v>
      </c>
      <c r="N1600">
        <v>2875</v>
      </c>
    </row>
    <row r="1601" spans="1:14" x14ac:dyDescent="0.25">
      <c r="A1601">
        <v>1146.523731</v>
      </c>
      <c r="B1601" s="1">
        <f>DATE(2013,6,20) + TIME(12,34,10)</f>
        <v>41445.523726851854</v>
      </c>
      <c r="C1601">
        <v>80</v>
      </c>
      <c r="D1601">
        <v>79.962951660000002</v>
      </c>
      <c r="E1601">
        <v>50</v>
      </c>
      <c r="F1601">
        <v>46.400764465000002</v>
      </c>
      <c r="G1601">
        <v>1391.652832</v>
      </c>
      <c r="H1601">
        <v>1375.2145995999999</v>
      </c>
      <c r="I1601">
        <v>1278.5410156</v>
      </c>
      <c r="J1601">
        <v>1255.1171875</v>
      </c>
      <c r="K1601">
        <v>2875</v>
      </c>
      <c r="L1601">
        <v>0</v>
      </c>
      <c r="M1601">
        <v>0</v>
      </c>
      <c r="N1601">
        <v>2875</v>
      </c>
    </row>
    <row r="1602" spans="1:14" x14ac:dyDescent="0.25">
      <c r="A1602">
        <v>1147.479147</v>
      </c>
      <c r="B1602" s="1">
        <f>DATE(2013,6,21) + TIME(11,29,58)</f>
        <v>41446.479143518518</v>
      </c>
      <c r="C1602">
        <v>80</v>
      </c>
      <c r="D1602">
        <v>79.962951660000002</v>
      </c>
      <c r="E1602">
        <v>50</v>
      </c>
      <c r="F1602">
        <v>46.343357085999997</v>
      </c>
      <c r="G1602">
        <v>1391.5877685999999</v>
      </c>
      <c r="H1602">
        <v>1375.1601562000001</v>
      </c>
      <c r="I1602">
        <v>1278.496582</v>
      </c>
      <c r="J1602">
        <v>1255.0527344</v>
      </c>
      <c r="K1602">
        <v>2875</v>
      </c>
      <c r="L1602">
        <v>0</v>
      </c>
      <c r="M1602">
        <v>0</v>
      </c>
      <c r="N1602">
        <v>2875</v>
      </c>
    </row>
    <row r="1603" spans="1:14" x14ac:dyDescent="0.25">
      <c r="A1603">
        <v>1148.4525100000001</v>
      </c>
      <c r="B1603" s="1">
        <f>DATE(2013,6,22) + TIME(10,51,36)</f>
        <v>41447.452499999999</v>
      </c>
      <c r="C1603">
        <v>80</v>
      </c>
      <c r="D1603">
        <v>79.962959290000001</v>
      </c>
      <c r="E1603">
        <v>50</v>
      </c>
      <c r="F1603">
        <v>46.285041808999999</v>
      </c>
      <c r="G1603">
        <v>1391.5224608999999</v>
      </c>
      <c r="H1603">
        <v>1375.1053466999999</v>
      </c>
      <c r="I1603">
        <v>1278.4505615</v>
      </c>
      <c r="J1603">
        <v>1254.9859618999999</v>
      </c>
      <c r="K1603">
        <v>2875</v>
      </c>
      <c r="L1603">
        <v>0</v>
      </c>
      <c r="M1603">
        <v>0</v>
      </c>
      <c r="N1603">
        <v>2875</v>
      </c>
    </row>
    <row r="1604" spans="1:14" x14ac:dyDescent="0.25">
      <c r="A1604">
        <v>1149.4469300000001</v>
      </c>
      <c r="B1604" s="1">
        <f>DATE(2013,6,23) + TIME(10,43,34)</f>
        <v>41448.446921296294</v>
      </c>
      <c r="C1604">
        <v>80</v>
      </c>
      <c r="D1604">
        <v>79.962966918999996</v>
      </c>
      <c r="E1604">
        <v>50</v>
      </c>
      <c r="F1604">
        <v>46.225635529000002</v>
      </c>
      <c r="G1604">
        <v>1391.4567870999999</v>
      </c>
      <c r="H1604">
        <v>1375.050293</v>
      </c>
      <c r="I1604">
        <v>1278.4030762</v>
      </c>
      <c r="J1604">
        <v>1254.916626</v>
      </c>
      <c r="K1604">
        <v>2875</v>
      </c>
      <c r="L1604">
        <v>0</v>
      </c>
      <c r="M1604">
        <v>0</v>
      </c>
      <c r="N1604">
        <v>2875</v>
      </c>
    </row>
    <row r="1605" spans="1:14" x14ac:dyDescent="0.25">
      <c r="A1605">
        <v>1150.466167</v>
      </c>
      <c r="B1605" s="1">
        <f>DATE(2013,6,24) + TIME(11,11,16)</f>
        <v>41449.466157407405</v>
      </c>
      <c r="C1605">
        <v>80</v>
      </c>
      <c r="D1605">
        <v>79.962966918999996</v>
      </c>
      <c r="E1605">
        <v>50</v>
      </c>
      <c r="F1605">
        <v>46.164936066000003</v>
      </c>
      <c r="G1605">
        <v>1391.390625</v>
      </c>
      <c r="H1605">
        <v>1374.9946289</v>
      </c>
      <c r="I1605">
        <v>1278.3537598</v>
      </c>
      <c r="J1605">
        <v>1254.8444824000001</v>
      </c>
      <c r="K1605">
        <v>2875</v>
      </c>
      <c r="L1605">
        <v>0</v>
      </c>
      <c r="M1605">
        <v>0</v>
      </c>
      <c r="N1605">
        <v>2875</v>
      </c>
    </row>
    <row r="1606" spans="1:14" x14ac:dyDescent="0.25">
      <c r="A1606">
        <v>1151.496776</v>
      </c>
      <c r="B1606" s="1">
        <f>DATE(2013,6,25) + TIME(11,55,21)</f>
        <v>41450.496770833335</v>
      </c>
      <c r="C1606">
        <v>80</v>
      </c>
      <c r="D1606">
        <v>79.962974548000005</v>
      </c>
      <c r="E1606">
        <v>50</v>
      </c>
      <c r="F1606">
        <v>46.103141784999998</v>
      </c>
      <c r="G1606">
        <v>1391.3236084</v>
      </c>
      <c r="H1606">
        <v>1374.9383545000001</v>
      </c>
      <c r="I1606">
        <v>1278.3023682</v>
      </c>
      <c r="J1606">
        <v>1254.7691649999999</v>
      </c>
      <c r="K1606">
        <v>2875</v>
      </c>
      <c r="L1606">
        <v>0</v>
      </c>
      <c r="M1606">
        <v>0</v>
      </c>
      <c r="N1606">
        <v>2875</v>
      </c>
    </row>
    <row r="1607" spans="1:14" x14ac:dyDescent="0.25">
      <c r="A1607">
        <v>1152.528869</v>
      </c>
      <c r="B1607" s="1">
        <f>DATE(2013,6,26) + TIME(12,41,34)</f>
        <v>41451.528865740744</v>
      </c>
      <c r="C1607">
        <v>80</v>
      </c>
      <c r="D1607">
        <v>79.962982178000004</v>
      </c>
      <c r="E1607">
        <v>50</v>
      </c>
      <c r="F1607">
        <v>46.040721892999997</v>
      </c>
      <c r="G1607">
        <v>1391.2568358999999</v>
      </c>
      <c r="H1607">
        <v>1374.8820800999999</v>
      </c>
      <c r="I1607">
        <v>1278.2496338000001</v>
      </c>
      <c r="J1607">
        <v>1254.6916504000001</v>
      </c>
      <c r="K1607">
        <v>2875</v>
      </c>
      <c r="L1607">
        <v>0</v>
      </c>
      <c r="M1607">
        <v>0</v>
      </c>
      <c r="N1607">
        <v>2875</v>
      </c>
    </row>
    <row r="1608" spans="1:14" x14ac:dyDescent="0.25">
      <c r="A1608">
        <v>1153.565304</v>
      </c>
      <c r="B1608" s="1">
        <f>DATE(2013,6,27) + TIME(13,34,2)</f>
        <v>41452.565300925926</v>
      </c>
      <c r="C1608">
        <v>80</v>
      </c>
      <c r="D1608">
        <v>79.962989807</v>
      </c>
      <c r="E1608">
        <v>50</v>
      </c>
      <c r="F1608">
        <v>45.977897644000002</v>
      </c>
      <c r="G1608">
        <v>1391.190918</v>
      </c>
      <c r="H1608">
        <v>1374.8264160000001</v>
      </c>
      <c r="I1608">
        <v>1278.1959228999999</v>
      </c>
      <c r="J1608">
        <v>1254.6123047000001</v>
      </c>
      <c r="K1608">
        <v>2875</v>
      </c>
      <c r="L1608">
        <v>0</v>
      </c>
      <c r="M1608">
        <v>0</v>
      </c>
      <c r="N1608">
        <v>2875</v>
      </c>
    </row>
    <row r="1609" spans="1:14" x14ac:dyDescent="0.25">
      <c r="A1609">
        <v>1154.608931</v>
      </c>
      <c r="B1609" s="1">
        <f>DATE(2013,6,28) + TIME(14,36,51)</f>
        <v>41453.608923611115</v>
      </c>
      <c r="C1609">
        <v>80</v>
      </c>
      <c r="D1609">
        <v>79.962989807</v>
      </c>
      <c r="E1609">
        <v>50</v>
      </c>
      <c r="F1609">
        <v>45.914653778000002</v>
      </c>
      <c r="G1609">
        <v>1391.1253661999999</v>
      </c>
      <c r="H1609">
        <v>1374.7711182</v>
      </c>
      <c r="I1609">
        <v>1278.1412353999999</v>
      </c>
      <c r="J1609">
        <v>1254.5310059000001</v>
      </c>
      <c r="K1609">
        <v>2875</v>
      </c>
      <c r="L1609">
        <v>0</v>
      </c>
      <c r="M1609">
        <v>0</v>
      </c>
      <c r="N1609">
        <v>2875</v>
      </c>
    </row>
    <row r="1610" spans="1:14" x14ac:dyDescent="0.25">
      <c r="A1610">
        <v>1155.6626240000001</v>
      </c>
      <c r="B1610" s="1">
        <f>DATE(2013,6,29) + TIME(15,54,10)</f>
        <v>41454.662615740737</v>
      </c>
      <c r="C1610">
        <v>80</v>
      </c>
      <c r="D1610">
        <v>79.962997436999999</v>
      </c>
      <c r="E1610">
        <v>50</v>
      </c>
      <c r="F1610">
        <v>45.850883484000001</v>
      </c>
      <c r="G1610">
        <v>1391.0603027</v>
      </c>
      <c r="H1610">
        <v>1374.7160644999999</v>
      </c>
      <c r="I1610">
        <v>1278.0852050999999</v>
      </c>
      <c r="J1610">
        <v>1254.4476318</v>
      </c>
      <c r="K1610">
        <v>2875</v>
      </c>
      <c r="L1610">
        <v>0</v>
      </c>
      <c r="M1610">
        <v>0</v>
      </c>
      <c r="N1610">
        <v>2875</v>
      </c>
    </row>
    <row r="1611" spans="1:14" x14ac:dyDescent="0.25">
      <c r="A1611">
        <v>1156.729331</v>
      </c>
      <c r="B1611" s="1">
        <f>DATE(2013,6,30) + TIME(17,30,14)</f>
        <v>41455.729328703703</v>
      </c>
      <c r="C1611">
        <v>80</v>
      </c>
      <c r="D1611">
        <v>79.963005065999994</v>
      </c>
      <c r="E1611">
        <v>50</v>
      </c>
      <c r="F1611">
        <v>45.786434174</v>
      </c>
      <c r="G1611">
        <v>1390.9954834</v>
      </c>
      <c r="H1611">
        <v>1374.6611327999999</v>
      </c>
      <c r="I1611">
        <v>1278.027832</v>
      </c>
      <c r="J1611">
        <v>1254.3619385</v>
      </c>
      <c r="K1611">
        <v>2875</v>
      </c>
      <c r="L1611">
        <v>0</v>
      </c>
      <c r="M1611">
        <v>0</v>
      </c>
      <c r="N1611">
        <v>2875</v>
      </c>
    </row>
    <row r="1612" spans="1:14" x14ac:dyDescent="0.25">
      <c r="A1612">
        <v>1157</v>
      </c>
      <c r="B1612" s="1">
        <f>DATE(2013,7,1) + TIME(0,0,0)</f>
        <v>41456</v>
      </c>
      <c r="C1612">
        <v>80</v>
      </c>
      <c r="D1612">
        <v>79.962997436999999</v>
      </c>
      <c r="E1612">
        <v>50</v>
      </c>
      <c r="F1612">
        <v>45.756866455000001</v>
      </c>
      <c r="G1612">
        <v>1390.9315185999999</v>
      </c>
      <c r="H1612">
        <v>1374.6070557</v>
      </c>
      <c r="I1612">
        <v>1277.9697266000001</v>
      </c>
      <c r="J1612">
        <v>1254.2878418</v>
      </c>
      <c r="K1612">
        <v>2875</v>
      </c>
      <c r="L1612">
        <v>0</v>
      </c>
      <c r="M1612">
        <v>0</v>
      </c>
      <c r="N1612">
        <v>2875</v>
      </c>
    </row>
    <row r="1613" spans="1:14" x14ac:dyDescent="0.25">
      <c r="A1613">
        <v>1158.0828140000001</v>
      </c>
      <c r="B1613" s="1">
        <f>DATE(2013,7,2) + TIME(1,59,15)</f>
        <v>41457.082812499997</v>
      </c>
      <c r="C1613">
        <v>80</v>
      </c>
      <c r="D1613">
        <v>79.963012695000003</v>
      </c>
      <c r="E1613">
        <v>50</v>
      </c>
      <c r="F1613">
        <v>45.699317932</v>
      </c>
      <c r="G1613">
        <v>1390.9139404</v>
      </c>
      <c r="H1613">
        <v>1374.5919189000001</v>
      </c>
      <c r="I1613">
        <v>1277.9530029</v>
      </c>
      <c r="J1613">
        <v>1254.2474365</v>
      </c>
      <c r="K1613">
        <v>2875</v>
      </c>
      <c r="L1613">
        <v>0</v>
      </c>
      <c r="M1613">
        <v>0</v>
      </c>
      <c r="N1613">
        <v>2875</v>
      </c>
    </row>
    <row r="1614" spans="1:14" x14ac:dyDescent="0.25">
      <c r="A1614">
        <v>1159.190595</v>
      </c>
      <c r="B1614" s="1">
        <f>DATE(2013,7,3) + TIME(4,34,27)</f>
        <v>41458.19059027778</v>
      </c>
      <c r="C1614">
        <v>80</v>
      </c>
      <c r="D1614">
        <v>79.963027953999998</v>
      </c>
      <c r="E1614">
        <v>50</v>
      </c>
      <c r="F1614">
        <v>45.635974883999999</v>
      </c>
      <c r="G1614">
        <v>1390.8494873</v>
      </c>
      <c r="H1614">
        <v>1374.5372314000001</v>
      </c>
      <c r="I1614">
        <v>1277.8927002</v>
      </c>
      <c r="J1614">
        <v>1254.1577147999999</v>
      </c>
      <c r="K1614">
        <v>2875</v>
      </c>
      <c r="L1614">
        <v>0</v>
      </c>
      <c r="M1614">
        <v>0</v>
      </c>
      <c r="N1614">
        <v>2875</v>
      </c>
    </row>
    <row r="1615" spans="1:14" x14ac:dyDescent="0.25">
      <c r="A1615">
        <v>1160.32205</v>
      </c>
      <c r="B1615" s="1">
        <f>DATE(2013,7,4) + TIME(7,43,45)</f>
        <v>41459.322048611109</v>
      </c>
      <c r="C1615">
        <v>80</v>
      </c>
      <c r="D1615">
        <v>79.963035583000007</v>
      </c>
      <c r="E1615">
        <v>50</v>
      </c>
      <c r="F1615">
        <v>45.569355010999999</v>
      </c>
      <c r="G1615">
        <v>1390.7840576000001</v>
      </c>
      <c r="H1615">
        <v>1374.4815673999999</v>
      </c>
      <c r="I1615">
        <v>1277.8297118999999</v>
      </c>
      <c r="J1615">
        <v>1254.0629882999999</v>
      </c>
      <c r="K1615">
        <v>2875</v>
      </c>
      <c r="L1615">
        <v>0</v>
      </c>
      <c r="M1615">
        <v>0</v>
      </c>
      <c r="N1615">
        <v>2875</v>
      </c>
    </row>
    <row r="1616" spans="1:14" x14ac:dyDescent="0.25">
      <c r="A1616">
        <v>1161.479501</v>
      </c>
      <c r="B1616" s="1">
        <f>DATE(2013,7,5) + TIME(11,30,28)</f>
        <v>41460.479490740741</v>
      </c>
      <c r="C1616">
        <v>80</v>
      </c>
      <c r="D1616">
        <v>79.963043213000006</v>
      </c>
      <c r="E1616">
        <v>50</v>
      </c>
      <c r="F1616">
        <v>45.500465392999999</v>
      </c>
      <c r="G1616">
        <v>1390.7178954999999</v>
      </c>
      <c r="H1616">
        <v>1374.425293</v>
      </c>
      <c r="I1616">
        <v>1277.7644043</v>
      </c>
      <c r="J1616">
        <v>1253.9641113</v>
      </c>
      <c r="K1616">
        <v>2875</v>
      </c>
      <c r="L1616">
        <v>0</v>
      </c>
      <c r="M1616">
        <v>0</v>
      </c>
      <c r="N1616">
        <v>2875</v>
      </c>
    </row>
    <row r="1617" spans="1:14" x14ac:dyDescent="0.25">
      <c r="A1617">
        <v>1162.6509570000001</v>
      </c>
      <c r="B1617" s="1">
        <f>DATE(2013,7,6) + TIME(15,37,22)</f>
        <v>41461.650949074072</v>
      </c>
      <c r="C1617">
        <v>80</v>
      </c>
      <c r="D1617">
        <v>79.963058472</v>
      </c>
      <c r="E1617">
        <v>50</v>
      </c>
      <c r="F1617">
        <v>45.429950714</v>
      </c>
      <c r="G1617">
        <v>1390.6511230000001</v>
      </c>
      <c r="H1617">
        <v>1374.3684082</v>
      </c>
      <c r="I1617">
        <v>1277.6965332</v>
      </c>
      <c r="J1617">
        <v>1253.8610839999999</v>
      </c>
      <c r="K1617">
        <v>2875</v>
      </c>
      <c r="L1617">
        <v>0</v>
      </c>
      <c r="M1617">
        <v>0</v>
      </c>
      <c r="N1617">
        <v>2875</v>
      </c>
    </row>
    <row r="1618" spans="1:14" x14ac:dyDescent="0.25">
      <c r="A1618">
        <v>1163.82455</v>
      </c>
      <c r="B1618" s="1">
        <f>DATE(2013,7,7) + TIME(19,47,21)</f>
        <v>41462.824548611112</v>
      </c>
      <c r="C1618">
        <v>80</v>
      </c>
      <c r="D1618">
        <v>79.963066100999995</v>
      </c>
      <c r="E1618">
        <v>50</v>
      </c>
      <c r="F1618">
        <v>45.358528137</v>
      </c>
      <c r="G1618">
        <v>1390.5843506000001</v>
      </c>
      <c r="H1618">
        <v>1374.3114014</v>
      </c>
      <c r="I1618">
        <v>1277.6269531</v>
      </c>
      <c r="J1618">
        <v>1253.7548827999999</v>
      </c>
      <c r="K1618">
        <v>2875</v>
      </c>
      <c r="L1618">
        <v>0</v>
      </c>
      <c r="M1618">
        <v>0</v>
      </c>
      <c r="N1618">
        <v>2875</v>
      </c>
    </row>
    <row r="1619" spans="1:14" x14ac:dyDescent="0.25">
      <c r="A1619">
        <v>1165.0035350000001</v>
      </c>
      <c r="B1619" s="1">
        <f>DATE(2013,7,9) + TIME(0,5,5)</f>
        <v>41464.003530092596</v>
      </c>
      <c r="C1619">
        <v>80</v>
      </c>
      <c r="D1619">
        <v>79.963081360000004</v>
      </c>
      <c r="E1619">
        <v>50</v>
      </c>
      <c r="F1619">
        <v>45.286567687999998</v>
      </c>
      <c r="G1619">
        <v>1390.5183105000001</v>
      </c>
      <c r="H1619">
        <v>1374.2548827999999</v>
      </c>
      <c r="I1619">
        <v>1277.5562743999999</v>
      </c>
      <c r="J1619">
        <v>1253.6464844</v>
      </c>
      <c r="K1619">
        <v>2875</v>
      </c>
      <c r="L1619">
        <v>0</v>
      </c>
      <c r="M1619">
        <v>0</v>
      </c>
      <c r="N1619">
        <v>2875</v>
      </c>
    </row>
    <row r="1620" spans="1:14" x14ac:dyDescent="0.25">
      <c r="A1620">
        <v>1166.1911680000001</v>
      </c>
      <c r="B1620" s="1">
        <f>DATE(2013,7,10) + TIME(4,35,16)</f>
        <v>41465.191157407404</v>
      </c>
      <c r="C1620">
        <v>80</v>
      </c>
      <c r="D1620">
        <v>79.963088988999999</v>
      </c>
      <c r="E1620">
        <v>50</v>
      </c>
      <c r="F1620">
        <v>45.214099883999999</v>
      </c>
      <c r="G1620">
        <v>1390.4526367000001</v>
      </c>
      <c r="H1620">
        <v>1374.1987305</v>
      </c>
      <c r="I1620">
        <v>1277.4842529</v>
      </c>
      <c r="J1620">
        <v>1253.5356445</v>
      </c>
      <c r="K1620">
        <v>2875</v>
      </c>
      <c r="L1620">
        <v>0</v>
      </c>
      <c r="M1620">
        <v>0</v>
      </c>
      <c r="N1620">
        <v>2875</v>
      </c>
    </row>
    <row r="1621" spans="1:14" x14ac:dyDescent="0.25">
      <c r="A1621">
        <v>1167.3907509999999</v>
      </c>
      <c r="B1621" s="1">
        <f>DATE(2013,7,11) + TIME(9,22,40)</f>
        <v>41466.390740740739</v>
      </c>
      <c r="C1621">
        <v>80</v>
      </c>
      <c r="D1621">
        <v>79.963104247999993</v>
      </c>
      <c r="E1621">
        <v>50</v>
      </c>
      <c r="F1621">
        <v>45.141021729000002</v>
      </c>
      <c r="G1621">
        <v>1390.3873291</v>
      </c>
      <c r="H1621">
        <v>1374.1428223</v>
      </c>
      <c r="I1621">
        <v>1277.4108887</v>
      </c>
      <c r="J1621">
        <v>1253.4222411999999</v>
      </c>
      <c r="K1621">
        <v>2875</v>
      </c>
      <c r="L1621">
        <v>0</v>
      </c>
      <c r="M1621">
        <v>0</v>
      </c>
      <c r="N1621">
        <v>2875</v>
      </c>
    </row>
    <row r="1622" spans="1:14" x14ac:dyDescent="0.25">
      <c r="A1622">
        <v>1168.6056860000001</v>
      </c>
      <c r="B1622" s="1">
        <f>DATE(2013,7,12) + TIME(14,32,11)</f>
        <v>41467.605682870373</v>
      </c>
      <c r="C1622">
        <v>80</v>
      </c>
      <c r="D1622">
        <v>79.963111877000003</v>
      </c>
      <c r="E1622">
        <v>50</v>
      </c>
      <c r="F1622">
        <v>45.067176818999997</v>
      </c>
      <c r="G1622">
        <v>1390.3221435999999</v>
      </c>
      <c r="H1622">
        <v>1374.0867920000001</v>
      </c>
      <c r="I1622">
        <v>1277.3358154</v>
      </c>
      <c r="J1622">
        <v>1253.3059082</v>
      </c>
      <c r="K1622">
        <v>2875</v>
      </c>
      <c r="L1622">
        <v>0</v>
      </c>
      <c r="M1622">
        <v>0</v>
      </c>
      <c r="N1622">
        <v>2875</v>
      </c>
    </row>
    <row r="1623" spans="1:14" x14ac:dyDescent="0.25">
      <c r="A1623">
        <v>1169.8395640000001</v>
      </c>
      <c r="B1623" s="1">
        <f>DATE(2013,7,13) + TIME(20,8,58)</f>
        <v>41468.839560185188</v>
      </c>
      <c r="C1623">
        <v>80</v>
      </c>
      <c r="D1623">
        <v>79.963127135999997</v>
      </c>
      <c r="E1623">
        <v>50</v>
      </c>
      <c r="F1623">
        <v>44.992385863999999</v>
      </c>
      <c r="G1623">
        <v>1390.2568358999999</v>
      </c>
      <c r="H1623">
        <v>1374.0306396000001</v>
      </c>
      <c r="I1623">
        <v>1277.2590332</v>
      </c>
      <c r="J1623">
        <v>1253.1864014</v>
      </c>
      <c r="K1623">
        <v>2875</v>
      </c>
      <c r="L1623">
        <v>0</v>
      </c>
      <c r="M1623">
        <v>0</v>
      </c>
      <c r="N1623">
        <v>2875</v>
      </c>
    </row>
    <row r="1624" spans="1:14" x14ac:dyDescent="0.25">
      <c r="A1624">
        <v>1171.096184</v>
      </c>
      <c r="B1624" s="1">
        <f>DATE(2013,7,15) + TIME(2,18,30)</f>
        <v>41470.096180555556</v>
      </c>
      <c r="C1624">
        <v>80</v>
      </c>
      <c r="D1624">
        <v>79.963142395000006</v>
      </c>
      <c r="E1624">
        <v>50</v>
      </c>
      <c r="F1624">
        <v>44.916454315000003</v>
      </c>
      <c r="G1624">
        <v>1390.1912841999999</v>
      </c>
      <c r="H1624">
        <v>1373.9742432</v>
      </c>
      <c r="I1624">
        <v>1277.1800536999999</v>
      </c>
      <c r="J1624">
        <v>1253.0631103999999</v>
      </c>
      <c r="K1624">
        <v>2875</v>
      </c>
      <c r="L1624">
        <v>0</v>
      </c>
      <c r="M1624">
        <v>0</v>
      </c>
      <c r="N1624">
        <v>2875</v>
      </c>
    </row>
    <row r="1625" spans="1:14" x14ac:dyDescent="0.25">
      <c r="A1625">
        <v>1172.3693920000001</v>
      </c>
      <c r="B1625" s="1">
        <f>DATE(2013,7,16) + TIME(8,51,55)</f>
        <v>41471.369386574072</v>
      </c>
      <c r="C1625">
        <v>80</v>
      </c>
      <c r="D1625">
        <v>79.963157654</v>
      </c>
      <c r="E1625">
        <v>50</v>
      </c>
      <c r="F1625">
        <v>44.839405059999997</v>
      </c>
      <c r="G1625">
        <v>1390.1252440999999</v>
      </c>
      <c r="H1625">
        <v>1373.9173584</v>
      </c>
      <c r="I1625">
        <v>1277.0988769999999</v>
      </c>
      <c r="J1625">
        <v>1252.9360352000001</v>
      </c>
      <c r="K1625">
        <v>2875</v>
      </c>
      <c r="L1625">
        <v>0</v>
      </c>
      <c r="M1625">
        <v>0</v>
      </c>
      <c r="N1625">
        <v>2875</v>
      </c>
    </row>
    <row r="1626" spans="1:14" x14ac:dyDescent="0.25">
      <c r="A1626">
        <v>1173.662</v>
      </c>
      <c r="B1626" s="1">
        <f>DATE(2013,7,17) + TIME(15,53,16)</f>
        <v>41472.661990740744</v>
      </c>
      <c r="C1626">
        <v>80</v>
      </c>
      <c r="D1626">
        <v>79.963165282999995</v>
      </c>
      <c r="E1626">
        <v>50</v>
      </c>
      <c r="F1626">
        <v>44.761299133000001</v>
      </c>
      <c r="G1626">
        <v>1390.059082</v>
      </c>
      <c r="H1626">
        <v>1373.8603516000001</v>
      </c>
      <c r="I1626">
        <v>1277.0158690999999</v>
      </c>
      <c r="J1626">
        <v>1252.8052978999999</v>
      </c>
      <c r="K1626">
        <v>2875</v>
      </c>
      <c r="L1626">
        <v>0</v>
      </c>
      <c r="M1626">
        <v>0</v>
      </c>
      <c r="N1626">
        <v>2875</v>
      </c>
    </row>
    <row r="1627" spans="1:14" x14ac:dyDescent="0.25">
      <c r="A1627">
        <v>1174.9777790000001</v>
      </c>
      <c r="B1627" s="1">
        <f>DATE(2013,7,18) + TIME(23,28,0)</f>
        <v>41473.977777777778</v>
      </c>
      <c r="C1627">
        <v>80</v>
      </c>
      <c r="D1627">
        <v>79.963180542000003</v>
      </c>
      <c r="E1627">
        <v>50</v>
      </c>
      <c r="F1627">
        <v>44.682067871000001</v>
      </c>
      <c r="G1627">
        <v>1389.9926757999999</v>
      </c>
      <c r="H1627">
        <v>1373.8029785000001</v>
      </c>
      <c r="I1627">
        <v>1276.9306641000001</v>
      </c>
      <c r="J1627">
        <v>1252.6708983999999</v>
      </c>
      <c r="K1627">
        <v>2875</v>
      </c>
      <c r="L1627">
        <v>0</v>
      </c>
      <c r="M1627">
        <v>0</v>
      </c>
      <c r="N1627">
        <v>2875</v>
      </c>
    </row>
    <row r="1628" spans="1:14" x14ac:dyDescent="0.25">
      <c r="A1628">
        <v>1176.3069849999999</v>
      </c>
      <c r="B1628" s="1">
        <f>DATE(2013,7,20) + TIME(7,22,3)</f>
        <v>41475.306979166664</v>
      </c>
      <c r="C1628">
        <v>80</v>
      </c>
      <c r="D1628">
        <v>79.963195800999998</v>
      </c>
      <c r="E1628">
        <v>50</v>
      </c>
      <c r="F1628">
        <v>44.601856232000003</v>
      </c>
      <c r="G1628">
        <v>1389.9259033000001</v>
      </c>
      <c r="H1628">
        <v>1373.7451172000001</v>
      </c>
      <c r="I1628">
        <v>1276.8432617000001</v>
      </c>
      <c r="J1628">
        <v>1252.5324707</v>
      </c>
      <c r="K1628">
        <v>2875</v>
      </c>
      <c r="L1628">
        <v>0</v>
      </c>
      <c r="M1628">
        <v>0</v>
      </c>
      <c r="N1628">
        <v>2875</v>
      </c>
    </row>
    <row r="1629" spans="1:14" x14ac:dyDescent="0.25">
      <c r="A1629">
        <v>1177.642957</v>
      </c>
      <c r="B1629" s="1">
        <f>DATE(2013,7,21) + TIME(15,25,51)</f>
        <v>41476.642951388887</v>
      </c>
      <c r="C1629">
        <v>80</v>
      </c>
      <c r="D1629">
        <v>79.963218689000001</v>
      </c>
      <c r="E1629">
        <v>50</v>
      </c>
      <c r="F1629">
        <v>44.521060943999998</v>
      </c>
      <c r="G1629">
        <v>1389.8590088000001</v>
      </c>
      <c r="H1629">
        <v>1373.6872559000001</v>
      </c>
      <c r="I1629">
        <v>1276.7541504000001</v>
      </c>
      <c r="J1629">
        <v>1252.3908690999999</v>
      </c>
      <c r="K1629">
        <v>2875</v>
      </c>
      <c r="L1629">
        <v>0</v>
      </c>
      <c r="M1629">
        <v>0</v>
      </c>
      <c r="N1629">
        <v>2875</v>
      </c>
    </row>
    <row r="1630" spans="1:14" x14ac:dyDescent="0.25">
      <c r="A1630">
        <v>1178.9894549999999</v>
      </c>
      <c r="B1630" s="1">
        <f>DATE(2013,7,22) + TIME(23,44,48)</f>
        <v>41477.989444444444</v>
      </c>
      <c r="C1630">
        <v>80</v>
      </c>
      <c r="D1630">
        <v>79.963233947999996</v>
      </c>
      <c r="E1630">
        <v>50</v>
      </c>
      <c r="F1630">
        <v>44.439907073999997</v>
      </c>
      <c r="G1630">
        <v>1389.7926024999999</v>
      </c>
      <c r="H1630">
        <v>1373.6295166</v>
      </c>
      <c r="I1630">
        <v>1276.6638184000001</v>
      </c>
      <c r="J1630">
        <v>1252.2468262</v>
      </c>
      <c r="K1630">
        <v>2875</v>
      </c>
      <c r="L1630">
        <v>0</v>
      </c>
      <c r="M1630">
        <v>0</v>
      </c>
      <c r="N1630">
        <v>2875</v>
      </c>
    </row>
    <row r="1631" spans="1:14" x14ac:dyDescent="0.25">
      <c r="A1631">
        <v>1180.3502759999999</v>
      </c>
      <c r="B1631" s="1">
        <f>DATE(2013,7,24) + TIME(8,24,23)</f>
        <v>41479.350266203706</v>
      </c>
      <c r="C1631">
        <v>80</v>
      </c>
      <c r="D1631">
        <v>79.963249207000004</v>
      </c>
      <c r="E1631">
        <v>50</v>
      </c>
      <c r="F1631">
        <v>44.358367919999999</v>
      </c>
      <c r="G1631">
        <v>1389.7263184000001</v>
      </c>
      <c r="H1631">
        <v>1373.5720214999999</v>
      </c>
      <c r="I1631">
        <v>1276.5722656</v>
      </c>
      <c r="J1631">
        <v>1252.0999756000001</v>
      </c>
      <c r="K1631">
        <v>2875</v>
      </c>
      <c r="L1631">
        <v>0</v>
      </c>
      <c r="M1631">
        <v>0</v>
      </c>
      <c r="N1631">
        <v>2875</v>
      </c>
    </row>
    <row r="1632" spans="1:14" x14ac:dyDescent="0.25">
      <c r="A1632">
        <v>1181.7293549999999</v>
      </c>
      <c r="B1632" s="1">
        <f>DATE(2013,7,25) + TIME(17,30,16)</f>
        <v>41480.729351851849</v>
      </c>
      <c r="C1632">
        <v>80</v>
      </c>
      <c r="D1632">
        <v>79.963264464999995</v>
      </c>
      <c r="E1632">
        <v>50</v>
      </c>
      <c r="F1632">
        <v>44.276332855</v>
      </c>
      <c r="G1632">
        <v>1389.6601562000001</v>
      </c>
      <c r="H1632">
        <v>1373.5144043</v>
      </c>
      <c r="I1632">
        <v>1276.4790039</v>
      </c>
      <c r="J1632">
        <v>1251.9501952999999</v>
      </c>
      <c r="K1632">
        <v>2875</v>
      </c>
      <c r="L1632">
        <v>0</v>
      </c>
      <c r="M1632">
        <v>0</v>
      </c>
      <c r="N1632">
        <v>2875</v>
      </c>
    </row>
    <row r="1633" spans="1:14" x14ac:dyDescent="0.25">
      <c r="A1633">
        <v>1183.1223990000001</v>
      </c>
      <c r="B1633" s="1">
        <f>DATE(2013,7,27) + TIME(2,56,15)</f>
        <v>41482.122395833336</v>
      </c>
      <c r="C1633">
        <v>80</v>
      </c>
      <c r="D1633">
        <v>79.963279724000003</v>
      </c>
      <c r="E1633">
        <v>50</v>
      </c>
      <c r="F1633">
        <v>44.193836212000001</v>
      </c>
      <c r="G1633">
        <v>1389.5936279</v>
      </c>
      <c r="H1633">
        <v>1373.456543</v>
      </c>
      <c r="I1633">
        <v>1276.3841553</v>
      </c>
      <c r="J1633">
        <v>1251.7971190999999</v>
      </c>
      <c r="K1633">
        <v>2875</v>
      </c>
      <c r="L1633">
        <v>0</v>
      </c>
      <c r="M1633">
        <v>0</v>
      </c>
      <c r="N1633">
        <v>2875</v>
      </c>
    </row>
    <row r="1634" spans="1:14" x14ac:dyDescent="0.25">
      <c r="A1634">
        <v>1184.530794</v>
      </c>
      <c r="B1634" s="1">
        <f>DATE(2013,7,28) + TIME(12,44,20)</f>
        <v>41483.530787037038</v>
      </c>
      <c r="C1634">
        <v>80</v>
      </c>
      <c r="D1634">
        <v>79.963302612000007</v>
      </c>
      <c r="E1634">
        <v>50</v>
      </c>
      <c r="F1634">
        <v>44.111011505</v>
      </c>
      <c r="G1634">
        <v>1389.5272216999999</v>
      </c>
      <c r="H1634">
        <v>1373.3985596</v>
      </c>
      <c r="I1634">
        <v>1276.2878418</v>
      </c>
      <c r="J1634">
        <v>1251.6411132999999</v>
      </c>
      <c r="K1634">
        <v>2875</v>
      </c>
      <c r="L1634">
        <v>0</v>
      </c>
      <c r="M1634">
        <v>0</v>
      </c>
      <c r="N1634">
        <v>2875</v>
      </c>
    </row>
    <row r="1635" spans="1:14" x14ac:dyDescent="0.25">
      <c r="A1635">
        <v>1185.9584199999999</v>
      </c>
      <c r="B1635" s="1">
        <f>DATE(2013,7,29) + TIME(23,0,7)</f>
        <v>41484.958414351851</v>
      </c>
      <c r="C1635">
        <v>80</v>
      </c>
      <c r="D1635">
        <v>79.963317871000001</v>
      </c>
      <c r="E1635">
        <v>50</v>
      </c>
      <c r="F1635">
        <v>44.027870178000001</v>
      </c>
      <c r="G1635">
        <v>1389.4606934000001</v>
      </c>
      <c r="H1635">
        <v>1373.3404541</v>
      </c>
      <c r="I1635">
        <v>1276.1900635</v>
      </c>
      <c r="J1635">
        <v>1251.4821777</v>
      </c>
      <c r="K1635">
        <v>2875</v>
      </c>
      <c r="L1635">
        <v>0</v>
      </c>
      <c r="M1635">
        <v>0</v>
      </c>
      <c r="N1635">
        <v>2875</v>
      </c>
    </row>
    <row r="1636" spans="1:14" x14ac:dyDescent="0.25">
      <c r="A1636">
        <v>1187.409353</v>
      </c>
      <c r="B1636" s="1">
        <f>DATE(2013,7,31) + TIME(9,49,28)</f>
        <v>41486.409351851849</v>
      </c>
      <c r="C1636">
        <v>80</v>
      </c>
      <c r="D1636">
        <v>79.963340759000005</v>
      </c>
      <c r="E1636">
        <v>50</v>
      </c>
      <c r="F1636">
        <v>43.944347381999997</v>
      </c>
      <c r="G1636">
        <v>1389.394043</v>
      </c>
      <c r="H1636">
        <v>1373.2821045000001</v>
      </c>
      <c r="I1636">
        <v>1276.0906981999999</v>
      </c>
      <c r="J1636">
        <v>1251.3199463000001</v>
      </c>
      <c r="K1636">
        <v>2875</v>
      </c>
      <c r="L1636">
        <v>0</v>
      </c>
      <c r="M1636">
        <v>0</v>
      </c>
      <c r="N1636">
        <v>2875</v>
      </c>
    </row>
    <row r="1637" spans="1:14" x14ac:dyDescent="0.25">
      <c r="A1637">
        <v>1188</v>
      </c>
      <c r="B1637" s="1">
        <f>DATE(2013,8,1) + TIME(0,0,0)</f>
        <v>41487</v>
      </c>
      <c r="C1637">
        <v>80</v>
      </c>
      <c r="D1637">
        <v>79.963340759000005</v>
      </c>
      <c r="E1637">
        <v>50</v>
      </c>
      <c r="F1637">
        <v>43.888103485000002</v>
      </c>
      <c r="G1637">
        <v>1389.3270264</v>
      </c>
      <c r="H1637">
        <v>1373.2235106999999</v>
      </c>
      <c r="I1637">
        <v>1275.9941406</v>
      </c>
      <c r="J1637">
        <v>1251.1735839999999</v>
      </c>
      <c r="K1637">
        <v>2875</v>
      </c>
      <c r="L1637">
        <v>0</v>
      </c>
      <c r="M1637">
        <v>0</v>
      </c>
      <c r="N1637">
        <v>2875</v>
      </c>
    </row>
    <row r="1638" spans="1:14" x14ac:dyDescent="0.25">
      <c r="A1638">
        <v>1189.4786200000001</v>
      </c>
      <c r="B1638" s="1">
        <f>DATE(2013,8,2) + TIME(11,29,12)</f>
        <v>41488.47861111111</v>
      </c>
      <c r="C1638">
        <v>80</v>
      </c>
      <c r="D1638">
        <v>79.963363646999994</v>
      </c>
      <c r="E1638">
        <v>50</v>
      </c>
      <c r="F1638">
        <v>43.819366455000001</v>
      </c>
      <c r="G1638">
        <v>1389.2994385</v>
      </c>
      <c r="H1638">
        <v>1373.1990966999999</v>
      </c>
      <c r="I1638">
        <v>1275.9453125</v>
      </c>
      <c r="J1638">
        <v>1251.0783690999999</v>
      </c>
      <c r="K1638">
        <v>2875</v>
      </c>
      <c r="L1638">
        <v>0</v>
      </c>
      <c r="M1638">
        <v>0</v>
      </c>
      <c r="N1638">
        <v>2875</v>
      </c>
    </row>
    <row r="1639" spans="1:14" x14ac:dyDescent="0.25">
      <c r="A1639">
        <v>1190.9848569999999</v>
      </c>
      <c r="B1639" s="1">
        <f>DATE(2013,8,3) + TIME(23,38,11)</f>
        <v>41489.984849537039</v>
      </c>
      <c r="C1639">
        <v>80</v>
      </c>
      <c r="D1639">
        <v>79.963386536000002</v>
      </c>
      <c r="E1639">
        <v>50</v>
      </c>
      <c r="F1639">
        <v>43.740291595000002</v>
      </c>
      <c r="G1639">
        <v>1389.2321777</v>
      </c>
      <c r="H1639">
        <v>1373.1401367000001</v>
      </c>
      <c r="I1639">
        <v>1275.8442382999999</v>
      </c>
      <c r="J1639">
        <v>1250.9140625</v>
      </c>
      <c r="K1639">
        <v>2875</v>
      </c>
      <c r="L1639">
        <v>0</v>
      </c>
      <c r="M1639">
        <v>0</v>
      </c>
      <c r="N1639">
        <v>2875</v>
      </c>
    </row>
    <row r="1640" spans="1:14" x14ac:dyDescent="0.25">
      <c r="A1640">
        <v>1192.50251</v>
      </c>
      <c r="B1640" s="1">
        <f>DATE(2013,8,5) + TIME(12,3,36)</f>
        <v>41491.502500000002</v>
      </c>
      <c r="C1640">
        <v>80</v>
      </c>
      <c r="D1640">
        <v>79.963409424000005</v>
      </c>
      <c r="E1640">
        <v>50</v>
      </c>
      <c r="F1640">
        <v>43.657955170000001</v>
      </c>
      <c r="G1640">
        <v>1389.1640625</v>
      </c>
      <c r="H1640">
        <v>1373.0803223</v>
      </c>
      <c r="I1640">
        <v>1275.7399902</v>
      </c>
      <c r="J1640">
        <v>1250.7425536999999</v>
      </c>
      <c r="K1640">
        <v>2875</v>
      </c>
      <c r="L1640">
        <v>0</v>
      </c>
      <c r="M1640">
        <v>0</v>
      </c>
      <c r="N1640">
        <v>2875</v>
      </c>
    </row>
    <row r="1641" spans="1:14" x14ac:dyDescent="0.25">
      <c r="A1641">
        <v>1194.036038</v>
      </c>
      <c r="B1641" s="1">
        <f>DATE(2013,8,7) + TIME(0,51,53)</f>
        <v>41493.036030092589</v>
      </c>
      <c r="C1641">
        <v>80</v>
      </c>
      <c r="D1641">
        <v>79.963432311999995</v>
      </c>
      <c r="E1641">
        <v>50</v>
      </c>
      <c r="F1641">
        <v>43.575088501000003</v>
      </c>
      <c r="G1641">
        <v>1389.0960693</v>
      </c>
      <c r="H1641">
        <v>1373.0205077999999</v>
      </c>
      <c r="I1641">
        <v>1275.6345214999999</v>
      </c>
      <c r="J1641">
        <v>1250.5678711</v>
      </c>
      <c r="K1641">
        <v>2875</v>
      </c>
      <c r="L1641">
        <v>0</v>
      </c>
      <c r="M1641">
        <v>0</v>
      </c>
      <c r="N1641">
        <v>2875</v>
      </c>
    </row>
    <row r="1642" spans="1:14" x14ac:dyDescent="0.25">
      <c r="A1642">
        <v>1195.578297</v>
      </c>
      <c r="B1642" s="1">
        <f>DATE(2013,8,8) + TIME(13,52,44)</f>
        <v>41494.578287037039</v>
      </c>
      <c r="C1642">
        <v>80</v>
      </c>
      <c r="D1642">
        <v>79.963455199999999</v>
      </c>
      <c r="E1642">
        <v>50</v>
      </c>
      <c r="F1642">
        <v>43.492733002000001</v>
      </c>
      <c r="G1642">
        <v>1389.0280762</v>
      </c>
      <c r="H1642">
        <v>1372.9604492000001</v>
      </c>
      <c r="I1642">
        <v>1275.5281981999999</v>
      </c>
      <c r="J1642">
        <v>1250.3908690999999</v>
      </c>
      <c r="K1642">
        <v>2875</v>
      </c>
      <c r="L1642">
        <v>0</v>
      </c>
      <c r="M1642">
        <v>0</v>
      </c>
      <c r="N1642">
        <v>2875</v>
      </c>
    </row>
    <row r="1643" spans="1:14" x14ac:dyDescent="0.25">
      <c r="A1643">
        <v>1197.133221</v>
      </c>
      <c r="B1643" s="1">
        <f>DATE(2013,8,10) + TIME(3,11,50)</f>
        <v>41496.133217592593</v>
      </c>
      <c r="C1643">
        <v>80</v>
      </c>
      <c r="D1643">
        <v>79.963478088000002</v>
      </c>
      <c r="E1643">
        <v>50</v>
      </c>
      <c r="F1643">
        <v>43.411437988000003</v>
      </c>
      <c r="G1643">
        <v>1388.9603271000001</v>
      </c>
      <c r="H1643">
        <v>1372.9006348</v>
      </c>
      <c r="I1643">
        <v>1275.4216309000001</v>
      </c>
      <c r="J1643">
        <v>1250.2126464999999</v>
      </c>
      <c r="K1643">
        <v>2875</v>
      </c>
      <c r="L1643">
        <v>0</v>
      </c>
      <c r="M1643">
        <v>0</v>
      </c>
      <c r="N1643">
        <v>2875</v>
      </c>
    </row>
    <row r="1644" spans="1:14" x14ac:dyDescent="0.25">
      <c r="A1644">
        <v>1198.705027</v>
      </c>
      <c r="B1644" s="1">
        <f>DATE(2013,8,11) + TIME(16,55,14)</f>
        <v>41497.705023148148</v>
      </c>
      <c r="C1644">
        <v>80</v>
      </c>
      <c r="D1644">
        <v>79.963493346999996</v>
      </c>
      <c r="E1644">
        <v>50</v>
      </c>
      <c r="F1644">
        <v>43.331398010000001</v>
      </c>
      <c r="G1644">
        <v>1388.8925781</v>
      </c>
      <c r="H1644">
        <v>1372.8406981999999</v>
      </c>
      <c r="I1644">
        <v>1275.3148193</v>
      </c>
      <c r="J1644">
        <v>1250.0333252</v>
      </c>
      <c r="K1644">
        <v>2875</v>
      </c>
      <c r="L1644">
        <v>0</v>
      </c>
      <c r="M1644">
        <v>0</v>
      </c>
      <c r="N1644">
        <v>2875</v>
      </c>
    </row>
    <row r="1645" spans="1:14" x14ac:dyDescent="0.25">
      <c r="A1645">
        <v>1200.2981130000001</v>
      </c>
      <c r="B1645" s="1">
        <f>DATE(2013,8,13) + TIME(7,9,16)</f>
        <v>41499.298101851855</v>
      </c>
      <c r="C1645">
        <v>80</v>
      </c>
      <c r="D1645">
        <v>79.963523864999999</v>
      </c>
      <c r="E1645">
        <v>50</v>
      </c>
      <c r="F1645">
        <v>43.252704620000003</v>
      </c>
      <c r="G1645">
        <v>1388.824707</v>
      </c>
      <c r="H1645">
        <v>1372.7806396000001</v>
      </c>
      <c r="I1645">
        <v>1275.2076416</v>
      </c>
      <c r="J1645">
        <v>1249.8526611</v>
      </c>
      <c r="K1645">
        <v>2875</v>
      </c>
      <c r="L1645">
        <v>0</v>
      </c>
      <c r="M1645">
        <v>0</v>
      </c>
      <c r="N1645">
        <v>2875</v>
      </c>
    </row>
    <row r="1646" spans="1:14" x14ac:dyDescent="0.25">
      <c r="A1646">
        <v>1201.9170999999999</v>
      </c>
      <c r="B1646" s="1">
        <f>DATE(2013,8,14) + TIME(22,0,37)</f>
        <v>41500.917094907411</v>
      </c>
      <c r="C1646">
        <v>80</v>
      </c>
      <c r="D1646">
        <v>79.963546753000003</v>
      </c>
      <c r="E1646">
        <v>50</v>
      </c>
      <c r="F1646">
        <v>43.175457000999998</v>
      </c>
      <c r="G1646">
        <v>1388.7564697</v>
      </c>
      <c r="H1646">
        <v>1372.7202147999999</v>
      </c>
      <c r="I1646">
        <v>1275.0999756000001</v>
      </c>
      <c r="J1646">
        <v>1249.6705322</v>
      </c>
      <c r="K1646">
        <v>2875</v>
      </c>
      <c r="L1646">
        <v>0</v>
      </c>
      <c r="M1646">
        <v>0</v>
      </c>
      <c r="N1646">
        <v>2875</v>
      </c>
    </row>
    <row r="1647" spans="1:14" x14ac:dyDescent="0.25">
      <c r="A1647">
        <v>1203.5669250000001</v>
      </c>
      <c r="B1647" s="1">
        <f>DATE(2013,8,16) + TIME(13,36,22)</f>
        <v>41502.566921296297</v>
      </c>
      <c r="C1647">
        <v>80</v>
      </c>
      <c r="D1647">
        <v>79.963569641000007</v>
      </c>
      <c r="E1647">
        <v>50</v>
      </c>
      <c r="F1647">
        <v>43.099777222</v>
      </c>
      <c r="G1647">
        <v>1388.6877440999999</v>
      </c>
      <c r="H1647">
        <v>1372.6591797000001</v>
      </c>
      <c r="I1647">
        <v>1274.9916992000001</v>
      </c>
      <c r="J1647">
        <v>1249.4868164</v>
      </c>
      <c r="K1647">
        <v>2875</v>
      </c>
      <c r="L1647">
        <v>0</v>
      </c>
      <c r="M1647">
        <v>0</v>
      </c>
      <c r="N1647">
        <v>2875</v>
      </c>
    </row>
    <row r="1648" spans="1:14" x14ac:dyDescent="0.25">
      <c r="A1648">
        <v>1205.2316860000001</v>
      </c>
      <c r="B1648" s="1">
        <f>DATE(2013,8,18) + TIME(5,33,37)</f>
        <v>41504.231678240743</v>
      </c>
      <c r="C1648">
        <v>80</v>
      </c>
      <c r="D1648">
        <v>79.963592528999996</v>
      </c>
      <c r="E1648">
        <v>50</v>
      </c>
      <c r="F1648">
        <v>43.026130676000001</v>
      </c>
      <c r="G1648">
        <v>1388.6182861</v>
      </c>
      <c r="H1648">
        <v>1372.5974120999999</v>
      </c>
      <c r="I1648">
        <v>1274.8829346</v>
      </c>
      <c r="J1648">
        <v>1249.3013916</v>
      </c>
      <c r="K1648">
        <v>2875</v>
      </c>
      <c r="L1648">
        <v>0</v>
      </c>
      <c r="M1648">
        <v>0</v>
      </c>
      <c r="N1648">
        <v>2875</v>
      </c>
    </row>
    <row r="1649" spans="1:14" x14ac:dyDescent="0.25">
      <c r="A1649">
        <v>1206.9026469999999</v>
      </c>
      <c r="B1649" s="1">
        <f>DATE(2013,8,19) + TIME(21,39,48)</f>
        <v>41505.902638888889</v>
      </c>
      <c r="C1649">
        <v>80</v>
      </c>
      <c r="D1649">
        <v>79.963615417</v>
      </c>
      <c r="E1649">
        <v>50</v>
      </c>
      <c r="F1649">
        <v>42.955329894999998</v>
      </c>
      <c r="G1649">
        <v>1388.5488281</v>
      </c>
      <c r="H1649">
        <v>1372.5356445</v>
      </c>
      <c r="I1649">
        <v>1274.7746582</v>
      </c>
      <c r="J1649">
        <v>1249.1163329999999</v>
      </c>
      <c r="K1649">
        <v>2875</v>
      </c>
      <c r="L1649">
        <v>0</v>
      </c>
      <c r="M1649">
        <v>0</v>
      </c>
      <c r="N1649">
        <v>2875</v>
      </c>
    </row>
    <row r="1650" spans="1:14" x14ac:dyDescent="0.25">
      <c r="A1650">
        <v>1208.5855469999999</v>
      </c>
      <c r="B1650" s="1">
        <f>DATE(2013,8,21) + TIME(14,3,11)</f>
        <v>41507.585543981484</v>
      </c>
      <c r="C1650">
        <v>80</v>
      </c>
      <c r="D1650">
        <v>79.963645935000002</v>
      </c>
      <c r="E1650">
        <v>50</v>
      </c>
      <c r="F1650">
        <v>42.887958527000002</v>
      </c>
      <c r="G1650">
        <v>1388.4797363</v>
      </c>
      <c r="H1650">
        <v>1372.4738769999999</v>
      </c>
      <c r="I1650">
        <v>1274.6677245999999</v>
      </c>
      <c r="J1650">
        <v>1248.9327393000001</v>
      </c>
      <c r="K1650">
        <v>2875</v>
      </c>
      <c r="L1650">
        <v>0</v>
      </c>
      <c r="M1650">
        <v>0</v>
      </c>
      <c r="N1650">
        <v>2875</v>
      </c>
    </row>
    <row r="1651" spans="1:14" x14ac:dyDescent="0.25">
      <c r="A1651">
        <v>1210.286165</v>
      </c>
      <c r="B1651" s="1">
        <f>DATE(2013,8,23) + TIME(6,52,4)</f>
        <v>41509.286157407405</v>
      </c>
      <c r="C1651">
        <v>80</v>
      </c>
      <c r="D1651">
        <v>79.963668823000006</v>
      </c>
      <c r="E1651">
        <v>50</v>
      </c>
      <c r="F1651">
        <v>42.824325561999999</v>
      </c>
      <c r="G1651">
        <v>1388.4106445</v>
      </c>
      <c r="H1651">
        <v>1372.4122314000001</v>
      </c>
      <c r="I1651">
        <v>1274.5620117000001</v>
      </c>
      <c r="J1651">
        <v>1248.7507324000001</v>
      </c>
      <c r="K1651">
        <v>2875</v>
      </c>
      <c r="L1651">
        <v>0</v>
      </c>
      <c r="M1651">
        <v>0</v>
      </c>
      <c r="N1651">
        <v>2875</v>
      </c>
    </row>
    <row r="1652" spans="1:14" x14ac:dyDescent="0.25">
      <c r="A1652">
        <v>1212.010391</v>
      </c>
      <c r="B1652" s="1">
        <f>DATE(2013,8,25) + TIME(0,14,57)</f>
        <v>41511.010381944441</v>
      </c>
      <c r="C1652">
        <v>80</v>
      </c>
      <c r="D1652">
        <v>79.963699340999995</v>
      </c>
      <c r="E1652">
        <v>50</v>
      </c>
      <c r="F1652">
        <v>42.764709473000003</v>
      </c>
      <c r="G1652">
        <v>1388.3414307</v>
      </c>
      <c r="H1652">
        <v>1372.3502197</v>
      </c>
      <c r="I1652">
        <v>1274.4573975000001</v>
      </c>
      <c r="J1652">
        <v>1248.5700684000001</v>
      </c>
      <c r="K1652">
        <v>2875</v>
      </c>
      <c r="L1652">
        <v>0</v>
      </c>
      <c r="M1652">
        <v>0</v>
      </c>
      <c r="N1652">
        <v>2875</v>
      </c>
    </row>
    <row r="1653" spans="1:14" x14ac:dyDescent="0.25">
      <c r="A1653">
        <v>1213.7613839999999</v>
      </c>
      <c r="B1653" s="1">
        <f>DATE(2013,8,26) + TIME(18,16,23)</f>
        <v>41512.761377314811</v>
      </c>
      <c r="C1653">
        <v>80</v>
      </c>
      <c r="D1653">
        <v>79.963722228999998</v>
      </c>
      <c r="E1653">
        <v>50</v>
      </c>
      <c r="F1653">
        <v>42.709491730000003</v>
      </c>
      <c r="G1653">
        <v>1388.2717285000001</v>
      </c>
      <c r="H1653">
        <v>1372.2878418</v>
      </c>
      <c r="I1653">
        <v>1274.3538818</v>
      </c>
      <c r="J1653">
        <v>1248.3907471</v>
      </c>
      <c r="K1653">
        <v>2875</v>
      </c>
      <c r="L1653">
        <v>0</v>
      </c>
      <c r="M1653">
        <v>0</v>
      </c>
      <c r="N1653">
        <v>2875</v>
      </c>
    </row>
    <row r="1654" spans="1:14" x14ac:dyDescent="0.25">
      <c r="A1654">
        <v>1215.5346890000001</v>
      </c>
      <c r="B1654" s="1">
        <f>DATE(2013,8,28) + TIME(12,49,57)</f>
        <v>41514.534687500003</v>
      </c>
      <c r="C1654">
        <v>80</v>
      </c>
      <c r="D1654">
        <v>79.963752747000001</v>
      </c>
      <c r="E1654">
        <v>50</v>
      </c>
      <c r="F1654">
        <v>42.659229279000002</v>
      </c>
      <c r="G1654">
        <v>1388.2015381000001</v>
      </c>
      <c r="H1654">
        <v>1372.2248535000001</v>
      </c>
      <c r="I1654">
        <v>1274.2517089999999</v>
      </c>
      <c r="J1654">
        <v>1248.2131348</v>
      </c>
      <c r="K1654">
        <v>2875</v>
      </c>
      <c r="L1654">
        <v>0</v>
      </c>
      <c r="M1654">
        <v>0</v>
      </c>
      <c r="N1654">
        <v>2875</v>
      </c>
    </row>
    <row r="1655" spans="1:14" x14ac:dyDescent="0.25">
      <c r="A1655">
        <v>1217.3357169999999</v>
      </c>
      <c r="B1655" s="1">
        <f>DATE(2013,8,30) + TIME(8,3,25)</f>
        <v>41516.335706018515</v>
      </c>
      <c r="C1655">
        <v>80</v>
      </c>
      <c r="D1655">
        <v>79.963775635000005</v>
      </c>
      <c r="E1655">
        <v>50</v>
      </c>
      <c r="F1655">
        <v>42.614585876</v>
      </c>
      <c r="G1655">
        <v>1388.1309814000001</v>
      </c>
      <c r="H1655">
        <v>1372.161499</v>
      </c>
      <c r="I1655">
        <v>1274.1512451000001</v>
      </c>
      <c r="J1655">
        <v>1248.0382079999999</v>
      </c>
      <c r="K1655">
        <v>2875</v>
      </c>
      <c r="L1655">
        <v>0</v>
      </c>
      <c r="M1655">
        <v>0</v>
      </c>
      <c r="N1655">
        <v>2875</v>
      </c>
    </row>
    <row r="1656" spans="1:14" x14ac:dyDescent="0.25">
      <c r="A1656">
        <v>1219</v>
      </c>
      <c r="B1656" s="1">
        <f>DATE(2013,9,1) + TIME(0,0,0)</f>
        <v>41518</v>
      </c>
      <c r="C1656">
        <v>80</v>
      </c>
      <c r="D1656">
        <v>79.963806152000004</v>
      </c>
      <c r="E1656">
        <v>50</v>
      </c>
      <c r="F1656">
        <v>42.577270507999998</v>
      </c>
      <c r="G1656">
        <v>1388.0599365</v>
      </c>
      <c r="H1656">
        <v>1372.0975341999999</v>
      </c>
      <c r="I1656">
        <v>1274.0533447</v>
      </c>
      <c r="J1656">
        <v>1247.8680420000001</v>
      </c>
      <c r="K1656">
        <v>2875</v>
      </c>
      <c r="L1656">
        <v>0</v>
      </c>
      <c r="M1656">
        <v>0</v>
      </c>
      <c r="N1656">
        <v>2875</v>
      </c>
    </row>
    <row r="1657" spans="1:14" x14ac:dyDescent="0.25">
      <c r="A1657">
        <v>1220.815617</v>
      </c>
      <c r="B1657" s="1">
        <f>DATE(2013,9,2) + TIME(19,34,29)</f>
        <v>41519.815613425926</v>
      </c>
      <c r="C1657">
        <v>80</v>
      </c>
      <c r="D1657">
        <v>79.963836670000006</v>
      </c>
      <c r="E1657">
        <v>50</v>
      </c>
      <c r="F1657">
        <v>42.547275542999998</v>
      </c>
      <c r="G1657">
        <v>1387.9946289</v>
      </c>
      <c r="H1657">
        <v>1372.0388184000001</v>
      </c>
      <c r="I1657">
        <v>1273.9639893000001</v>
      </c>
      <c r="J1657">
        <v>1247.7113036999999</v>
      </c>
      <c r="K1657">
        <v>2875</v>
      </c>
      <c r="L1657">
        <v>0</v>
      </c>
      <c r="M1657">
        <v>0</v>
      </c>
      <c r="N1657">
        <v>2875</v>
      </c>
    </row>
    <row r="1658" spans="1:14" x14ac:dyDescent="0.25">
      <c r="A1658">
        <v>1222.673276</v>
      </c>
      <c r="B1658" s="1">
        <f>DATE(2013,9,4) + TIME(16,9,31)</f>
        <v>41521.673275462963</v>
      </c>
      <c r="C1658">
        <v>80</v>
      </c>
      <c r="D1658">
        <v>79.963859557999996</v>
      </c>
      <c r="E1658">
        <v>50</v>
      </c>
      <c r="F1658">
        <v>42.523944855000003</v>
      </c>
      <c r="G1658">
        <v>1387.9240723</v>
      </c>
      <c r="H1658">
        <v>1371.9750977000001</v>
      </c>
      <c r="I1658">
        <v>1273.8720702999999</v>
      </c>
      <c r="J1658">
        <v>1247.5510254000001</v>
      </c>
      <c r="K1658">
        <v>2875</v>
      </c>
      <c r="L1658">
        <v>0</v>
      </c>
      <c r="M1658">
        <v>0</v>
      </c>
      <c r="N1658">
        <v>2875</v>
      </c>
    </row>
    <row r="1659" spans="1:14" x14ac:dyDescent="0.25">
      <c r="A1659">
        <v>1223.6074410000001</v>
      </c>
      <c r="B1659" s="1">
        <f>DATE(2013,9,5) + TIME(14,34,42)</f>
        <v>41522.607430555552</v>
      </c>
      <c r="C1659">
        <v>80</v>
      </c>
      <c r="D1659">
        <v>79.963874817000004</v>
      </c>
      <c r="E1659">
        <v>50</v>
      </c>
      <c r="F1659">
        <v>42.512031555</v>
      </c>
      <c r="G1659">
        <v>1387.8524170000001</v>
      </c>
      <c r="H1659">
        <v>1371.9105225000001</v>
      </c>
      <c r="I1659">
        <v>1273.7897949000001</v>
      </c>
      <c r="J1659">
        <v>1247.4083252</v>
      </c>
      <c r="K1659">
        <v>2875</v>
      </c>
      <c r="L1659">
        <v>0</v>
      </c>
      <c r="M1659">
        <v>0</v>
      </c>
      <c r="N1659">
        <v>2875</v>
      </c>
    </row>
    <row r="1660" spans="1:14" x14ac:dyDescent="0.25">
      <c r="A1660">
        <v>1224.5416049999999</v>
      </c>
      <c r="B1660" s="1">
        <f>DATE(2013,9,6) + TIME(12,59,54)</f>
        <v>41523.541597222225</v>
      </c>
      <c r="C1660">
        <v>80</v>
      </c>
      <c r="D1660">
        <v>79.963882446</v>
      </c>
      <c r="E1660">
        <v>50</v>
      </c>
      <c r="F1660">
        <v>42.506156920999999</v>
      </c>
      <c r="G1660">
        <v>1387.8160399999999</v>
      </c>
      <c r="H1660">
        <v>1371.8774414</v>
      </c>
      <c r="I1660">
        <v>1273.7408447</v>
      </c>
      <c r="J1660">
        <v>1247.3225098</v>
      </c>
      <c r="K1660">
        <v>2875</v>
      </c>
      <c r="L1660">
        <v>0</v>
      </c>
      <c r="M1660">
        <v>0</v>
      </c>
      <c r="N1660">
        <v>2875</v>
      </c>
    </row>
    <row r="1661" spans="1:14" x14ac:dyDescent="0.25">
      <c r="A1661">
        <v>1225.47577</v>
      </c>
      <c r="B1661" s="1">
        <f>DATE(2013,9,7) + TIME(11,25,6)</f>
        <v>41524.475763888891</v>
      </c>
      <c r="C1661">
        <v>80</v>
      </c>
      <c r="D1661">
        <v>79.963897704999994</v>
      </c>
      <c r="E1661">
        <v>50</v>
      </c>
      <c r="F1661">
        <v>42.504291533999996</v>
      </c>
      <c r="G1661">
        <v>1387.7803954999999</v>
      </c>
      <c r="H1661">
        <v>1371.8452147999999</v>
      </c>
      <c r="I1661">
        <v>1273.6965332</v>
      </c>
      <c r="J1661">
        <v>1247.2448730000001</v>
      </c>
      <c r="K1661">
        <v>2875</v>
      </c>
      <c r="L1661">
        <v>0</v>
      </c>
      <c r="M1661">
        <v>0</v>
      </c>
      <c r="N1661">
        <v>2875</v>
      </c>
    </row>
    <row r="1662" spans="1:14" x14ac:dyDescent="0.25">
      <c r="A1662">
        <v>1226.409934</v>
      </c>
      <c r="B1662" s="1">
        <f>DATE(2013,9,8) + TIME(9,50,18)</f>
        <v>41525.409930555557</v>
      </c>
      <c r="C1662">
        <v>80</v>
      </c>
      <c r="D1662">
        <v>79.963912964000002</v>
      </c>
      <c r="E1662">
        <v>50</v>
      </c>
      <c r="F1662">
        <v>42.505607605000002</v>
      </c>
      <c r="G1662">
        <v>1387.744751</v>
      </c>
      <c r="H1662">
        <v>1371.8128661999999</v>
      </c>
      <c r="I1662">
        <v>1273.6546631000001</v>
      </c>
      <c r="J1662">
        <v>1247.1719971</v>
      </c>
      <c r="K1662">
        <v>2875</v>
      </c>
      <c r="L1662">
        <v>0</v>
      </c>
      <c r="M1662">
        <v>0</v>
      </c>
      <c r="N1662">
        <v>2875</v>
      </c>
    </row>
    <row r="1663" spans="1:14" x14ac:dyDescent="0.25">
      <c r="A1663">
        <v>1227.3440989999999</v>
      </c>
      <c r="B1663" s="1">
        <f>DATE(2013,9,9) + TIME(8,15,30)</f>
        <v>41526.344097222223</v>
      </c>
      <c r="C1663">
        <v>80</v>
      </c>
      <c r="D1663">
        <v>79.963928222999996</v>
      </c>
      <c r="E1663">
        <v>50</v>
      </c>
      <c r="F1663">
        <v>42.509780884000001</v>
      </c>
      <c r="G1663">
        <v>1387.7093506000001</v>
      </c>
      <c r="H1663">
        <v>1371.7807617000001</v>
      </c>
      <c r="I1663">
        <v>1273.614624</v>
      </c>
      <c r="J1663">
        <v>1247.1025391000001</v>
      </c>
      <c r="K1663">
        <v>2875</v>
      </c>
      <c r="L1663">
        <v>0</v>
      </c>
      <c r="M1663">
        <v>0</v>
      </c>
      <c r="N1663">
        <v>2875</v>
      </c>
    </row>
    <row r="1664" spans="1:14" x14ac:dyDescent="0.25">
      <c r="A1664">
        <v>1229.212428</v>
      </c>
      <c r="B1664" s="1">
        <f>DATE(2013,9,11) + TIME(5,5,53)</f>
        <v>41528.212418981479</v>
      </c>
      <c r="C1664">
        <v>80</v>
      </c>
      <c r="D1664">
        <v>79.963966369999994</v>
      </c>
      <c r="E1664">
        <v>50</v>
      </c>
      <c r="F1664">
        <v>42.518527984999999</v>
      </c>
      <c r="G1664">
        <v>1387.6741943</v>
      </c>
      <c r="H1664">
        <v>1371.7489014</v>
      </c>
      <c r="I1664">
        <v>1273.5706786999999</v>
      </c>
      <c r="J1664">
        <v>1247.027832</v>
      </c>
      <c r="K1664">
        <v>2875</v>
      </c>
      <c r="L1664">
        <v>0</v>
      </c>
      <c r="M1664">
        <v>0</v>
      </c>
      <c r="N1664">
        <v>2875</v>
      </c>
    </row>
    <row r="1665" spans="1:14" x14ac:dyDescent="0.25">
      <c r="A1665">
        <v>1231.083226</v>
      </c>
      <c r="B1665" s="1">
        <f>DATE(2013,9,13) + TIME(1,59,50)</f>
        <v>41530.08321759259</v>
      </c>
      <c r="C1665">
        <v>80</v>
      </c>
      <c r="D1665">
        <v>79.963996886999993</v>
      </c>
      <c r="E1665">
        <v>50</v>
      </c>
      <c r="F1665">
        <v>42.538059234999999</v>
      </c>
      <c r="G1665">
        <v>1387.6042480000001</v>
      </c>
      <c r="H1665">
        <v>1371.6854248</v>
      </c>
      <c r="I1665">
        <v>1273.5014647999999</v>
      </c>
      <c r="J1665">
        <v>1246.9082031</v>
      </c>
      <c r="K1665">
        <v>2875</v>
      </c>
      <c r="L1665">
        <v>0</v>
      </c>
      <c r="M1665">
        <v>0</v>
      </c>
      <c r="N1665">
        <v>2875</v>
      </c>
    </row>
    <row r="1666" spans="1:14" x14ac:dyDescent="0.25">
      <c r="A1666">
        <v>1232.987261</v>
      </c>
      <c r="B1666" s="1">
        <f>DATE(2013,9,14) + TIME(23,41,39)</f>
        <v>41531.987256944441</v>
      </c>
      <c r="C1666">
        <v>80</v>
      </c>
      <c r="D1666">
        <v>79.964027404999996</v>
      </c>
      <c r="E1666">
        <v>50</v>
      </c>
      <c r="F1666">
        <v>42.568737030000001</v>
      </c>
      <c r="G1666">
        <v>1387.5345459</v>
      </c>
      <c r="H1666">
        <v>1371.6220702999999</v>
      </c>
      <c r="I1666">
        <v>1273.4331055</v>
      </c>
      <c r="J1666">
        <v>1246.7913818</v>
      </c>
      <c r="K1666">
        <v>2875</v>
      </c>
      <c r="L1666">
        <v>0</v>
      </c>
      <c r="M1666">
        <v>0</v>
      </c>
      <c r="N1666">
        <v>2875</v>
      </c>
    </row>
    <row r="1667" spans="1:14" x14ac:dyDescent="0.25">
      <c r="A1667">
        <v>1234.93589</v>
      </c>
      <c r="B1667" s="1">
        <f>DATE(2013,9,16) + TIME(22,27,40)</f>
        <v>41533.935879629629</v>
      </c>
      <c r="C1667">
        <v>80</v>
      </c>
      <c r="D1667">
        <v>79.964057921999995</v>
      </c>
      <c r="E1667">
        <v>50</v>
      </c>
      <c r="F1667">
        <v>42.611373901</v>
      </c>
      <c r="G1667">
        <v>1387.4641113</v>
      </c>
      <c r="H1667">
        <v>1371.5579834</v>
      </c>
      <c r="I1667">
        <v>1273.3675536999999</v>
      </c>
      <c r="J1667">
        <v>1246.6809082</v>
      </c>
      <c r="K1667">
        <v>2875</v>
      </c>
      <c r="L1667">
        <v>0</v>
      </c>
      <c r="M1667">
        <v>0</v>
      </c>
      <c r="N1667">
        <v>2875</v>
      </c>
    </row>
    <row r="1668" spans="1:14" x14ac:dyDescent="0.25">
      <c r="A1668">
        <v>1236.935512</v>
      </c>
      <c r="B1668" s="1">
        <f>DATE(2013,9,18) + TIME(22,27,8)</f>
        <v>41535.93550925926</v>
      </c>
      <c r="C1668">
        <v>80</v>
      </c>
      <c r="D1668">
        <v>79.964096068999993</v>
      </c>
      <c r="E1668">
        <v>50</v>
      </c>
      <c r="F1668">
        <v>42.667034149000003</v>
      </c>
      <c r="G1668">
        <v>1387.3925781</v>
      </c>
      <c r="H1668">
        <v>1371.4929199000001</v>
      </c>
      <c r="I1668">
        <v>1273.3055420000001</v>
      </c>
      <c r="J1668">
        <v>1246.5780029</v>
      </c>
      <c r="K1668">
        <v>2875</v>
      </c>
      <c r="L1668">
        <v>0</v>
      </c>
      <c r="M1668">
        <v>0</v>
      </c>
      <c r="N1668">
        <v>2875</v>
      </c>
    </row>
    <row r="1669" spans="1:14" x14ac:dyDescent="0.25">
      <c r="A1669">
        <v>1238.9791540000001</v>
      </c>
      <c r="B1669" s="1">
        <f>DATE(2013,9,20) + TIME(23,29,58)</f>
        <v>41537.979143518518</v>
      </c>
      <c r="C1669">
        <v>80</v>
      </c>
      <c r="D1669">
        <v>79.964126586999996</v>
      </c>
      <c r="E1669">
        <v>50</v>
      </c>
      <c r="F1669">
        <v>42.736686706999997</v>
      </c>
      <c r="G1669">
        <v>1387.3199463000001</v>
      </c>
      <c r="H1669">
        <v>1371.4266356999999</v>
      </c>
      <c r="I1669">
        <v>1273.2474365</v>
      </c>
      <c r="J1669">
        <v>1246.4836425999999</v>
      </c>
      <c r="K1669">
        <v>2875</v>
      </c>
      <c r="L1669">
        <v>0</v>
      </c>
      <c r="M1669">
        <v>0</v>
      </c>
      <c r="N1669">
        <v>2875</v>
      </c>
    </row>
    <row r="1670" spans="1:14" x14ac:dyDescent="0.25">
      <c r="A1670">
        <v>1241.0432969999999</v>
      </c>
      <c r="B1670" s="1">
        <f>DATE(2013,9,23) + TIME(1,2,20)</f>
        <v>41540.043287037035</v>
      </c>
      <c r="C1670">
        <v>80</v>
      </c>
      <c r="D1670">
        <v>79.964157103999995</v>
      </c>
      <c r="E1670">
        <v>50</v>
      </c>
      <c r="F1670">
        <v>42.820850372000002</v>
      </c>
      <c r="G1670">
        <v>1387.2463379000001</v>
      </c>
      <c r="H1670">
        <v>1371.3594971</v>
      </c>
      <c r="I1670">
        <v>1273.1940918</v>
      </c>
      <c r="J1670">
        <v>1246.3990478999999</v>
      </c>
      <c r="K1670">
        <v>2875</v>
      </c>
      <c r="L1670">
        <v>0</v>
      </c>
      <c r="M1670">
        <v>0</v>
      </c>
      <c r="N1670">
        <v>2875</v>
      </c>
    </row>
    <row r="1671" spans="1:14" x14ac:dyDescent="0.25">
      <c r="A1671">
        <v>1243.127602</v>
      </c>
      <c r="B1671" s="1">
        <f>DATE(2013,9,25) + TIME(3,3,44)</f>
        <v>41542.127592592595</v>
      </c>
      <c r="C1671">
        <v>80</v>
      </c>
      <c r="D1671">
        <v>79.964195251000007</v>
      </c>
      <c r="E1671">
        <v>50</v>
      </c>
      <c r="F1671">
        <v>42.919406891000001</v>
      </c>
      <c r="G1671">
        <v>1387.1726074000001</v>
      </c>
      <c r="H1671">
        <v>1371.2921143000001</v>
      </c>
      <c r="I1671">
        <v>1273.1459961</v>
      </c>
      <c r="J1671">
        <v>1246.3258057</v>
      </c>
      <c r="K1671">
        <v>2875</v>
      </c>
      <c r="L1671">
        <v>0</v>
      </c>
      <c r="M1671">
        <v>0</v>
      </c>
      <c r="N1671">
        <v>2875</v>
      </c>
    </row>
    <row r="1672" spans="1:14" x14ac:dyDescent="0.25">
      <c r="A1672">
        <v>1245.2315169999999</v>
      </c>
      <c r="B1672" s="1">
        <f>DATE(2013,9,27) + TIME(5,33,23)</f>
        <v>41544.231516203705</v>
      </c>
      <c r="C1672">
        <v>80</v>
      </c>
      <c r="D1672">
        <v>79.964225768999995</v>
      </c>
      <c r="E1672">
        <v>50</v>
      </c>
      <c r="F1672">
        <v>43.032306671000001</v>
      </c>
      <c r="G1672">
        <v>1387.098999</v>
      </c>
      <c r="H1672">
        <v>1371.2248535000001</v>
      </c>
      <c r="I1672">
        <v>1273.1032714999999</v>
      </c>
      <c r="J1672">
        <v>1246.2641602000001</v>
      </c>
      <c r="K1672">
        <v>2875</v>
      </c>
      <c r="L1672">
        <v>0</v>
      </c>
      <c r="M1672">
        <v>0</v>
      </c>
      <c r="N1672">
        <v>2875</v>
      </c>
    </row>
    <row r="1673" spans="1:14" x14ac:dyDescent="0.25">
      <c r="A1673">
        <v>1246.296034</v>
      </c>
      <c r="B1673" s="1">
        <f>DATE(2013,9,28) + TIME(7,6,17)</f>
        <v>41545.296030092592</v>
      </c>
      <c r="C1673">
        <v>80</v>
      </c>
      <c r="D1673">
        <v>79.964241028000004</v>
      </c>
      <c r="E1673">
        <v>50</v>
      </c>
      <c r="F1673">
        <v>43.134796143000003</v>
      </c>
      <c r="G1673">
        <v>1387.0256348</v>
      </c>
      <c r="H1673">
        <v>1371.1577147999999</v>
      </c>
      <c r="I1673">
        <v>1273.0760498</v>
      </c>
      <c r="J1673">
        <v>1246.2191161999999</v>
      </c>
      <c r="K1673">
        <v>2875</v>
      </c>
      <c r="L1673">
        <v>0</v>
      </c>
      <c r="M1673">
        <v>0</v>
      </c>
      <c r="N1673">
        <v>2875</v>
      </c>
    </row>
    <row r="1674" spans="1:14" x14ac:dyDescent="0.25">
      <c r="A1674">
        <v>1247.360551</v>
      </c>
      <c r="B1674" s="1">
        <f>DATE(2013,9,29) + TIME(8,39,11)</f>
        <v>41546.360543981478</v>
      </c>
      <c r="C1674">
        <v>80</v>
      </c>
      <c r="D1674">
        <v>79.964256286999998</v>
      </c>
      <c r="E1674">
        <v>50</v>
      </c>
      <c r="F1674">
        <v>43.218891143999997</v>
      </c>
      <c r="G1674">
        <v>1386.9882812000001</v>
      </c>
      <c r="H1674">
        <v>1371.1234131000001</v>
      </c>
      <c r="I1674">
        <v>1273.0544434000001</v>
      </c>
      <c r="J1674">
        <v>1246.1973877</v>
      </c>
      <c r="K1674">
        <v>2875</v>
      </c>
      <c r="L1674">
        <v>0</v>
      </c>
      <c r="M1674">
        <v>0</v>
      </c>
      <c r="N1674">
        <v>2875</v>
      </c>
    </row>
    <row r="1675" spans="1:14" x14ac:dyDescent="0.25">
      <c r="A1675">
        <v>1249</v>
      </c>
      <c r="B1675" s="1">
        <f>DATE(2013,10,1) + TIME(0,0,0)</f>
        <v>41548</v>
      </c>
      <c r="C1675">
        <v>80</v>
      </c>
      <c r="D1675">
        <v>79.964286803999997</v>
      </c>
      <c r="E1675">
        <v>50</v>
      </c>
      <c r="F1675">
        <v>43.309906005999999</v>
      </c>
      <c r="G1675">
        <v>1386.9516602000001</v>
      </c>
      <c r="H1675">
        <v>1371.0897216999999</v>
      </c>
      <c r="I1675">
        <v>1273.0332031</v>
      </c>
      <c r="J1675">
        <v>1246.1784668</v>
      </c>
      <c r="K1675">
        <v>2875</v>
      </c>
      <c r="L1675">
        <v>0</v>
      </c>
      <c r="M1675">
        <v>0</v>
      </c>
      <c r="N1675">
        <v>2875</v>
      </c>
    </row>
    <row r="1676" spans="1:14" x14ac:dyDescent="0.25">
      <c r="A1676">
        <v>1249.0000010000001</v>
      </c>
      <c r="B1676" s="1">
        <f>DATE(2013,10,1) + TIME(0,0,0)</f>
        <v>41548</v>
      </c>
      <c r="C1676">
        <v>80</v>
      </c>
      <c r="D1676">
        <v>79.964164733999993</v>
      </c>
      <c r="E1676">
        <v>50</v>
      </c>
      <c r="F1676">
        <v>43.310028076000002</v>
      </c>
      <c r="G1676">
        <v>1370.1951904</v>
      </c>
      <c r="H1676">
        <v>1360.0843506000001</v>
      </c>
      <c r="I1676">
        <v>1293.0505370999999</v>
      </c>
      <c r="J1676">
        <v>1273.9715576000001</v>
      </c>
      <c r="K1676">
        <v>0</v>
      </c>
      <c r="L1676">
        <v>2050</v>
      </c>
      <c r="M1676">
        <v>2050</v>
      </c>
      <c r="N1676">
        <v>0</v>
      </c>
    </row>
    <row r="1677" spans="1:14" x14ac:dyDescent="0.25">
      <c r="A1677">
        <v>1249.000004</v>
      </c>
      <c r="B1677" s="1">
        <f>DATE(2013,10,1) + TIME(0,0,0)</f>
        <v>41548</v>
      </c>
      <c r="C1677">
        <v>80</v>
      </c>
      <c r="D1677">
        <v>79.963836670000006</v>
      </c>
      <c r="E1677">
        <v>50</v>
      </c>
      <c r="F1677">
        <v>43.310359955000003</v>
      </c>
      <c r="G1677">
        <v>1367.9351807</v>
      </c>
      <c r="H1677">
        <v>1357.8238524999999</v>
      </c>
      <c r="I1677">
        <v>1295.5032959</v>
      </c>
      <c r="J1677">
        <v>1276.5036620999999</v>
      </c>
      <c r="K1677">
        <v>0</v>
      </c>
      <c r="L1677">
        <v>2050</v>
      </c>
      <c r="M1677">
        <v>2050</v>
      </c>
      <c r="N1677">
        <v>0</v>
      </c>
    </row>
    <row r="1678" spans="1:14" x14ac:dyDescent="0.25">
      <c r="A1678">
        <v>1249.0000130000001</v>
      </c>
      <c r="B1678" s="1">
        <f>DATE(2013,10,1) + TIME(0,0,1)</f>
        <v>41548.000011574077</v>
      </c>
      <c r="C1678">
        <v>80</v>
      </c>
      <c r="D1678">
        <v>79.963188170999999</v>
      </c>
      <c r="E1678">
        <v>50</v>
      </c>
      <c r="F1678">
        <v>43.311134338000002</v>
      </c>
      <c r="G1678">
        <v>1363.3731689000001</v>
      </c>
      <c r="H1678">
        <v>1353.2614745999999</v>
      </c>
      <c r="I1678">
        <v>1301.1910399999999</v>
      </c>
      <c r="J1678">
        <v>1282.3269043</v>
      </c>
      <c r="K1678">
        <v>0</v>
      </c>
      <c r="L1678">
        <v>2050</v>
      </c>
      <c r="M1678">
        <v>2050</v>
      </c>
      <c r="N1678">
        <v>0</v>
      </c>
    </row>
    <row r="1679" spans="1:14" x14ac:dyDescent="0.25">
      <c r="A1679">
        <v>1249.0000399999999</v>
      </c>
      <c r="B1679" s="1">
        <f>DATE(2013,10,1) + TIME(0,0,3)</f>
        <v>41548.000034722223</v>
      </c>
      <c r="C1679">
        <v>80</v>
      </c>
      <c r="D1679">
        <v>79.962242126000007</v>
      </c>
      <c r="E1679">
        <v>50</v>
      </c>
      <c r="F1679">
        <v>43.312549591</v>
      </c>
      <c r="G1679">
        <v>1356.7095947</v>
      </c>
      <c r="H1679">
        <v>1346.5992432</v>
      </c>
      <c r="I1679">
        <v>1311.1567382999999</v>
      </c>
      <c r="J1679">
        <v>1292.3927002</v>
      </c>
      <c r="K1679">
        <v>0</v>
      </c>
      <c r="L1679">
        <v>2050</v>
      </c>
      <c r="M1679">
        <v>2050</v>
      </c>
      <c r="N1679">
        <v>0</v>
      </c>
    </row>
    <row r="1680" spans="1:14" x14ac:dyDescent="0.25">
      <c r="A1680">
        <v>1249.000121</v>
      </c>
      <c r="B1680" s="1">
        <f>DATE(2013,10,1) + TIME(0,0,10)</f>
        <v>41548.000115740739</v>
      </c>
      <c r="C1680">
        <v>80</v>
      </c>
      <c r="D1680">
        <v>79.961174010999997</v>
      </c>
      <c r="E1680">
        <v>50</v>
      </c>
      <c r="F1680">
        <v>43.314662933000001</v>
      </c>
      <c r="G1680">
        <v>1349.2950439000001</v>
      </c>
      <c r="H1680">
        <v>1339.1885986</v>
      </c>
      <c r="I1680">
        <v>1323.8507079999999</v>
      </c>
      <c r="J1680">
        <v>1305.0952147999999</v>
      </c>
      <c r="K1680">
        <v>0</v>
      </c>
      <c r="L1680">
        <v>2050</v>
      </c>
      <c r="M1680">
        <v>2050</v>
      </c>
      <c r="N1680">
        <v>0</v>
      </c>
    </row>
    <row r="1681" spans="1:14" x14ac:dyDescent="0.25">
      <c r="A1681">
        <v>1249.000364</v>
      </c>
      <c r="B1681" s="1">
        <f>DATE(2013,10,1) + TIME(0,0,31)</f>
        <v>41548.000358796293</v>
      </c>
      <c r="C1681">
        <v>80</v>
      </c>
      <c r="D1681">
        <v>79.960083007999998</v>
      </c>
      <c r="E1681">
        <v>50</v>
      </c>
      <c r="F1681">
        <v>43.317974091000004</v>
      </c>
      <c r="G1681">
        <v>1341.8435059000001</v>
      </c>
      <c r="H1681">
        <v>1331.7418213000001</v>
      </c>
      <c r="I1681">
        <v>1337.2115478999999</v>
      </c>
      <c r="J1681">
        <v>1318.4472656</v>
      </c>
      <c r="K1681">
        <v>0</v>
      </c>
      <c r="L1681">
        <v>2050</v>
      </c>
      <c r="M1681">
        <v>2050</v>
      </c>
      <c r="N1681">
        <v>0</v>
      </c>
    </row>
    <row r="1682" spans="1:14" x14ac:dyDescent="0.25">
      <c r="A1682">
        <v>1249.0010930000001</v>
      </c>
      <c r="B1682" s="1">
        <f>DATE(2013,10,1) + TIME(0,1,34)</f>
        <v>41548.001087962963</v>
      </c>
      <c r="C1682">
        <v>80</v>
      </c>
      <c r="D1682">
        <v>79.958908081000004</v>
      </c>
      <c r="E1682">
        <v>50</v>
      </c>
      <c r="F1682">
        <v>43.324676513999997</v>
      </c>
      <c r="G1682">
        <v>1334.3509521000001</v>
      </c>
      <c r="H1682">
        <v>1324.2293701000001</v>
      </c>
      <c r="I1682">
        <v>1350.7902832</v>
      </c>
      <c r="J1682">
        <v>1332.0014647999999</v>
      </c>
      <c r="K1682">
        <v>0</v>
      </c>
      <c r="L1682">
        <v>2050</v>
      </c>
      <c r="M1682">
        <v>2050</v>
      </c>
      <c r="N1682">
        <v>0</v>
      </c>
    </row>
    <row r="1683" spans="1:14" x14ac:dyDescent="0.25">
      <c r="A1683">
        <v>1249.0032799999999</v>
      </c>
      <c r="B1683" s="1">
        <f>DATE(2013,10,1) + TIME(0,4,43)</f>
        <v>41548.003275462965</v>
      </c>
      <c r="C1683">
        <v>80</v>
      </c>
      <c r="D1683">
        <v>79.957458496000001</v>
      </c>
      <c r="E1683">
        <v>50</v>
      </c>
      <c r="F1683">
        <v>43.341529846</v>
      </c>
      <c r="G1683">
        <v>1326.5708007999999</v>
      </c>
      <c r="H1683">
        <v>1316.3415527</v>
      </c>
      <c r="I1683">
        <v>1364.590332</v>
      </c>
      <c r="J1683">
        <v>1345.7103271000001</v>
      </c>
      <c r="K1683">
        <v>0</v>
      </c>
      <c r="L1683">
        <v>2050</v>
      </c>
      <c r="M1683">
        <v>2050</v>
      </c>
      <c r="N1683">
        <v>0</v>
      </c>
    </row>
    <row r="1684" spans="1:14" x14ac:dyDescent="0.25">
      <c r="A1684">
        <v>1249.0098410000001</v>
      </c>
      <c r="B1684" s="1">
        <f>DATE(2013,10,1) + TIME(0,14,10)</f>
        <v>41548.009837962964</v>
      </c>
      <c r="C1684">
        <v>80</v>
      </c>
      <c r="D1684">
        <v>79.955299377000003</v>
      </c>
      <c r="E1684">
        <v>50</v>
      </c>
      <c r="F1684">
        <v>43.388694762999997</v>
      </c>
      <c r="G1684">
        <v>1318.6726074000001</v>
      </c>
      <c r="H1684">
        <v>1308.2982178</v>
      </c>
      <c r="I1684">
        <v>1377.4769286999999</v>
      </c>
      <c r="J1684">
        <v>1358.4483643000001</v>
      </c>
      <c r="K1684">
        <v>0</v>
      </c>
      <c r="L1684">
        <v>2050</v>
      </c>
      <c r="M1684">
        <v>2050</v>
      </c>
      <c r="N1684">
        <v>0</v>
      </c>
    </row>
    <row r="1685" spans="1:14" x14ac:dyDescent="0.25">
      <c r="A1685">
        <v>1249.029524</v>
      </c>
      <c r="B1685" s="1">
        <f>DATE(2013,10,1) + TIME(0,42,30)</f>
        <v>41548.029513888891</v>
      </c>
      <c r="C1685">
        <v>80</v>
      </c>
      <c r="D1685">
        <v>79.951293945000003</v>
      </c>
      <c r="E1685">
        <v>50</v>
      </c>
      <c r="F1685">
        <v>43.524814606</v>
      </c>
      <c r="G1685">
        <v>1312.1330565999999</v>
      </c>
      <c r="H1685">
        <v>1301.6804199000001</v>
      </c>
      <c r="I1685">
        <v>1386.7424315999999</v>
      </c>
      <c r="J1685">
        <v>1367.6181641000001</v>
      </c>
      <c r="K1685">
        <v>0</v>
      </c>
      <c r="L1685">
        <v>2050</v>
      </c>
      <c r="M1685">
        <v>2050</v>
      </c>
      <c r="N1685">
        <v>0</v>
      </c>
    </row>
    <row r="1686" spans="1:14" x14ac:dyDescent="0.25">
      <c r="A1686">
        <v>1249.088573</v>
      </c>
      <c r="B1686" s="1">
        <f>DATE(2013,10,1) + TIME(2,7,32)</f>
        <v>41548.088564814818</v>
      </c>
      <c r="C1686">
        <v>80</v>
      </c>
      <c r="D1686">
        <v>79.941932678000001</v>
      </c>
      <c r="E1686">
        <v>50</v>
      </c>
      <c r="F1686">
        <v>43.907459258999999</v>
      </c>
      <c r="G1686">
        <v>1308.7354736</v>
      </c>
      <c r="H1686">
        <v>1298.2597656</v>
      </c>
      <c r="I1686">
        <v>1390.4897461</v>
      </c>
      <c r="J1686">
        <v>1371.4339600000001</v>
      </c>
      <c r="K1686">
        <v>0</v>
      </c>
      <c r="L1686">
        <v>2050</v>
      </c>
      <c r="M1686">
        <v>2050</v>
      </c>
      <c r="N1686">
        <v>0</v>
      </c>
    </row>
    <row r="1687" spans="1:14" x14ac:dyDescent="0.25">
      <c r="A1687">
        <v>1249.157835</v>
      </c>
      <c r="B1687" s="1">
        <f>DATE(2013,10,1) + TIME(3,47,16)</f>
        <v>41548.157824074071</v>
      </c>
      <c r="C1687">
        <v>80</v>
      </c>
      <c r="D1687">
        <v>79.931640625</v>
      </c>
      <c r="E1687">
        <v>50</v>
      </c>
      <c r="F1687">
        <v>44.325336456000002</v>
      </c>
      <c r="G1687">
        <v>1307.9842529</v>
      </c>
      <c r="H1687">
        <v>1297.5045166</v>
      </c>
      <c r="I1687">
        <v>1390.8947754000001</v>
      </c>
      <c r="J1687">
        <v>1371.9628906</v>
      </c>
      <c r="K1687">
        <v>0</v>
      </c>
      <c r="L1687">
        <v>2050</v>
      </c>
      <c r="M1687">
        <v>2050</v>
      </c>
      <c r="N1687">
        <v>0</v>
      </c>
    </row>
    <row r="1688" spans="1:14" x14ac:dyDescent="0.25">
      <c r="A1688">
        <v>1249.2307249999999</v>
      </c>
      <c r="B1688" s="1">
        <f>DATE(2013,10,1) + TIME(5,32,14)</f>
        <v>41548.230717592596</v>
      </c>
      <c r="C1688">
        <v>80</v>
      </c>
      <c r="D1688">
        <v>79.921089171999995</v>
      </c>
      <c r="E1688">
        <v>50</v>
      </c>
      <c r="F1688">
        <v>44.733493805000002</v>
      </c>
      <c r="G1688">
        <v>1307.8176269999999</v>
      </c>
      <c r="H1688">
        <v>1297.3367920000001</v>
      </c>
      <c r="I1688">
        <v>1390.7431641000001</v>
      </c>
      <c r="J1688">
        <v>1371.9382324000001</v>
      </c>
      <c r="K1688">
        <v>0</v>
      </c>
      <c r="L1688">
        <v>2050</v>
      </c>
      <c r="M1688">
        <v>2050</v>
      </c>
      <c r="N1688">
        <v>0</v>
      </c>
    </row>
    <row r="1689" spans="1:14" x14ac:dyDescent="0.25">
      <c r="A1689">
        <v>1249.307605</v>
      </c>
      <c r="B1689" s="1">
        <f>DATE(2013,10,1) + TIME(7,22,57)</f>
        <v>41548.307604166665</v>
      </c>
      <c r="C1689">
        <v>80</v>
      </c>
      <c r="D1689">
        <v>79.910186768000003</v>
      </c>
      <c r="E1689">
        <v>50</v>
      </c>
      <c r="F1689">
        <v>45.131458281999997</v>
      </c>
      <c r="G1689">
        <v>1307.7756348</v>
      </c>
      <c r="H1689">
        <v>1297.2943115</v>
      </c>
      <c r="I1689">
        <v>1390.5229492000001</v>
      </c>
      <c r="J1689">
        <v>1371.8419189000001</v>
      </c>
      <c r="K1689">
        <v>0</v>
      </c>
      <c r="L1689">
        <v>2050</v>
      </c>
      <c r="M1689">
        <v>2050</v>
      </c>
      <c r="N1689">
        <v>0</v>
      </c>
    </row>
    <row r="1690" spans="1:14" x14ac:dyDescent="0.25">
      <c r="A1690">
        <v>1249.3889770000001</v>
      </c>
      <c r="B1690" s="1">
        <f>DATE(2013,10,1) + TIME(9,20,7)</f>
        <v>41548.388969907406</v>
      </c>
      <c r="C1690">
        <v>80</v>
      </c>
      <c r="D1690">
        <v>79.898880004999995</v>
      </c>
      <c r="E1690">
        <v>50</v>
      </c>
      <c r="F1690">
        <v>45.519100189</v>
      </c>
      <c r="G1690">
        <v>1307.7626952999999</v>
      </c>
      <c r="H1690">
        <v>1297.2810059000001</v>
      </c>
      <c r="I1690">
        <v>1390.3040771000001</v>
      </c>
      <c r="J1690">
        <v>1371.7429199000001</v>
      </c>
      <c r="K1690">
        <v>0</v>
      </c>
      <c r="L1690">
        <v>2050</v>
      </c>
      <c r="M1690">
        <v>2050</v>
      </c>
      <c r="N1690">
        <v>0</v>
      </c>
    </row>
    <row r="1691" spans="1:14" x14ac:dyDescent="0.25">
      <c r="A1691">
        <v>1249.4754519999999</v>
      </c>
      <c r="B1691" s="1">
        <f>DATE(2013,10,1) + TIME(11,24,39)</f>
        <v>41548.475451388891</v>
      </c>
      <c r="C1691">
        <v>80</v>
      </c>
      <c r="D1691">
        <v>79.887100219999994</v>
      </c>
      <c r="E1691">
        <v>50</v>
      </c>
      <c r="F1691">
        <v>45.896289824999997</v>
      </c>
      <c r="G1691">
        <v>1307.7573242000001</v>
      </c>
      <c r="H1691">
        <v>1297.2751464999999</v>
      </c>
      <c r="I1691">
        <v>1390.0933838000001</v>
      </c>
      <c r="J1691">
        <v>1371.6475829999999</v>
      </c>
      <c r="K1691">
        <v>0</v>
      </c>
      <c r="L1691">
        <v>2050</v>
      </c>
      <c r="M1691">
        <v>2050</v>
      </c>
      <c r="N1691">
        <v>0</v>
      </c>
    </row>
    <row r="1692" spans="1:14" x14ac:dyDescent="0.25">
      <c r="A1692">
        <v>1249.567775</v>
      </c>
      <c r="B1692" s="1">
        <f>DATE(2013,10,1) + TIME(13,37,35)</f>
        <v>41548.567766203705</v>
      </c>
      <c r="C1692">
        <v>80</v>
      </c>
      <c r="D1692">
        <v>79.874778747999997</v>
      </c>
      <c r="E1692">
        <v>50</v>
      </c>
      <c r="F1692">
        <v>46.262866973999998</v>
      </c>
      <c r="G1692">
        <v>1307.7536620999999</v>
      </c>
      <c r="H1692">
        <v>1297.2712402</v>
      </c>
      <c r="I1692">
        <v>1389.8896483999999</v>
      </c>
      <c r="J1692">
        <v>1371.5550536999999</v>
      </c>
      <c r="K1692">
        <v>0</v>
      </c>
      <c r="L1692">
        <v>2050</v>
      </c>
      <c r="M1692">
        <v>2050</v>
      </c>
      <c r="N1692">
        <v>0</v>
      </c>
    </row>
    <row r="1693" spans="1:14" x14ac:dyDescent="0.25">
      <c r="A1693">
        <v>1249.6668560000001</v>
      </c>
      <c r="B1693" s="1">
        <f>DATE(2013,10,1) + TIME(16,0,16)</f>
        <v>41548.666851851849</v>
      </c>
      <c r="C1693">
        <v>80</v>
      </c>
      <c r="D1693">
        <v>79.861824036000002</v>
      </c>
      <c r="E1693">
        <v>50</v>
      </c>
      <c r="F1693">
        <v>46.618610382</v>
      </c>
      <c r="G1693">
        <v>1307.7506103999999</v>
      </c>
      <c r="H1693">
        <v>1297.2675781</v>
      </c>
      <c r="I1693">
        <v>1389.6918945</v>
      </c>
      <c r="J1693">
        <v>1371.4644774999999</v>
      </c>
      <c r="K1693">
        <v>0</v>
      </c>
      <c r="L1693">
        <v>2050</v>
      </c>
      <c r="M1693">
        <v>2050</v>
      </c>
      <c r="N1693">
        <v>0</v>
      </c>
    </row>
    <row r="1694" spans="1:14" x14ac:dyDescent="0.25">
      <c r="A1694">
        <v>1249.7738240000001</v>
      </c>
      <c r="B1694" s="1">
        <f>DATE(2013,10,1) + TIME(18,34,18)</f>
        <v>41548.773819444446</v>
      </c>
      <c r="C1694">
        <v>80</v>
      </c>
      <c r="D1694">
        <v>79.848136901999993</v>
      </c>
      <c r="E1694">
        <v>50</v>
      </c>
      <c r="F1694">
        <v>46.963230133000003</v>
      </c>
      <c r="G1694">
        <v>1307.7473144999999</v>
      </c>
      <c r="H1694">
        <v>1297.2639160000001</v>
      </c>
      <c r="I1694">
        <v>1389.4997559000001</v>
      </c>
      <c r="J1694">
        <v>1371.3752440999999</v>
      </c>
      <c r="K1694">
        <v>0</v>
      </c>
      <c r="L1694">
        <v>2050</v>
      </c>
      <c r="M1694">
        <v>2050</v>
      </c>
      <c r="N1694">
        <v>0</v>
      </c>
    </row>
    <row r="1695" spans="1:14" x14ac:dyDescent="0.25">
      <c r="A1695">
        <v>1249.890103</v>
      </c>
      <c r="B1695" s="1">
        <f>DATE(2013,10,1) + TIME(21,21,44)</f>
        <v>41548.890092592592</v>
      </c>
      <c r="C1695">
        <v>80</v>
      </c>
      <c r="D1695">
        <v>79.833580017000003</v>
      </c>
      <c r="E1695">
        <v>50</v>
      </c>
      <c r="F1695">
        <v>47.296348571999999</v>
      </c>
      <c r="G1695">
        <v>1307.7438964999999</v>
      </c>
      <c r="H1695">
        <v>1297.2600098</v>
      </c>
      <c r="I1695">
        <v>1389.3126221</v>
      </c>
      <c r="J1695">
        <v>1371.2871094</v>
      </c>
      <c r="K1695">
        <v>0</v>
      </c>
      <c r="L1695">
        <v>2050</v>
      </c>
      <c r="M1695">
        <v>2050</v>
      </c>
      <c r="N1695">
        <v>0</v>
      </c>
    </row>
    <row r="1696" spans="1:14" x14ac:dyDescent="0.25">
      <c r="A1696">
        <v>1250.0174930000001</v>
      </c>
      <c r="B1696" s="1">
        <f>DATE(2013,10,2) + TIME(0,25,11)</f>
        <v>41549.017488425925</v>
      </c>
      <c r="C1696">
        <v>80</v>
      </c>
      <c r="D1696">
        <v>79.817993164000001</v>
      </c>
      <c r="E1696">
        <v>50</v>
      </c>
      <c r="F1696">
        <v>47.617439269999998</v>
      </c>
      <c r="G1696">
        <v>1307.7402344</v>
      </c>
      <c r="H1696">
        <v>1297.2558594</v>
      </c>
      <c r="I1696">
        <v>1389.1301269999999</v>
      </c>
      <c r="J1696">
        <v>1371.199707</v>
      </c>
      <c r="K1696">
        <v>0</v>
      </c>
      <c r="L1696">
        <v>2050</v>
      </c>
      <c r="M1696">
        <v>2050</v>
      </c>
      <c r="N1696">
        <v>0</v>
      </c>
    </row>
    <row r="1697" spans="1:14" x14ac:dyDescent="0.25">
      <c r="A1697">
        <v>1250.1584109999999</v>
      </c>
      <c r="B1697" s="1">
        <f>DATE(2013,10,2) + TIME(3,48,6)</f>
        <v>41549.158402777779</v>
      </c>
      <c r="C1697">
        <v>80</v>
      </c>
      <c r="D1697">
        <v>79.801170349000003</v>
      </c>
      <c r="E1697">
        <v>50</v>
      </c>
      <c r="F1697">
        <v>47.925968169999997</v>
      </c>
      <c r="G1697">
        <v>1307.7362060999999</v>
      </c>
      <c r="H1697">
        <v>1297.2512207</v>
      </c>
      <c r="I1697">
        <v>1388.9521483999999</v>
      </c>
      <c r="J1697">
        <v>1371.1129149999999</v>
      </c>
      <c r="K1697">
        <v>0</v>
      </c>
      <c r="L1697">
        <v>2050</v>
      </c>
      <c r="M1697">
        <v>2050</v>
      </c>
      <c r="N1697">
        <v>0</v>
      </c>
    </row>
    <row r="1698" spans="1:14" x14ac:dyDescent="0.25">
      <c r="A1698">
        <v>1250.316075</v>
      </c>
      <c r="B1698" s="1">
        <f>DATE(2013,10,2) + TIME(7,35,8)</f>
        <v>41549.316064814811</v>
      </c>
      <c r="C1698">
        <v>80</v>
      </c>
      <c r="D1698">
        <v>79.782821655000006</v>
      </c>
      <c r="E1698">
        <v>50</v>
      </c>
      <c r="F1698">
        <v>48.221164702999999</v>
      </c>
      <c r="G1698">
        <v>1307.7318115</v>
      </c>
      <c r="H1698">
        <v>1297.2460937999999</v>
      </c>
      <c r="I1698">
        <v>1388.7783202999999</v>
      </c>
      <c r="J1698">
        <v>1371.0261230000001</v>
      </c>
      <c r="K1698">
        <v>0</v>
      </c>
      <c r="L1698">
        <v>2050</v>
      </c>
      <c r="M1698">
        <v>2050</v>
      </c>
      <c r="N1698">
        <v>0</v>
      </c>
    </row>
    <row r="1699" spans="1:14" x14ac:dyDescent="0.25">
      <c r="A1699">
        <v>1250.4949360000001</v>
      </c>
      <c r="B1699" s="1">
        <f>DATE(2013,10,2) + TIME(11,52,42)</f>
        <v>41549.494930555556</v>
      </c>
      <c r="C1699">
        <v>80</v>
      </c>
      <c r="D1699">
        <v>79.762580872000001</v>
      </c>
      <c r="E1699">
        <v>50</v>
      </c>
      <c r="F1699">
        <v>48.502059936999999</v>
      </c>
      <c r="G1699">
        <v>1307.7268065999999</v>
      </c>
      <c r="H1699">
        <v>1297.2404785000001</v>
      </c>
      <c r="I1699">
        <v>1388.6081543</v>
      </c>
      <c r="J1699">
        <v>1370.9390868999999</v>
      </c>
      <c r="K1699">
        <v>0</v>
      </c>
      <c r="L1699">
        <v>2050</v>
      </c>
      <c r="M1699">
        <v>2050</v>
      </c>
      <c r="N1699">
        <v>0</v>
      </c>
    </row>
    <row r="1700" spans="1:14" x14ac:dyDescent="0.25">
      <c r="A1700">
        <v>1250.7013710000001</v>
      </c>
      <c r="B1700" s="1">
        <f>DATE(2013,10,2) + TIME(16,49,58)</f>
        <v>41549.701365740744</v>
      </c>
      <c r="C1700">
        <v>80</v>
      </c>
      <c r="D1700">
        <v>79.739913939999994</v>
      </c>
      <c r="E1700">
        <v>50</v>
      </c>
      <c r="F1700">
        <v>48.767372131000002</v>
      </c>
      <c r="G1700">
        <v>1307.7211914</v>
      </c>
      <c r="H1700">
        <v>1297.2341309000001</v>
      </c>
      <c r="I1700">
        <v>1388.4414062000001</v>
      </c>
      <c r="J1700">
        <v>1370.8511963000001</v>
      </c>
      <c r="K1700">
        <v>0</v>
      </c>
      <c r="L1700">
        <v>2050</v>
      </c>
      <c r="M1700">
        <v>2050</v>
      </c>
      <c r="N1700">
        <v>0</v>
      </c>
    </row>
    <row r="1701" spans="1:14" x14ac:dyDescent="0.25">
      <c r="A1701">
        <v>1250.944919</v>
      </c>
      <c r="B1701" s="1">
        <f>DATE(2013,10,2) + TIME(22,40,41)</f>
        <v>41549.944918981484</v>
      </c>
      <c r="C1701">
        <v>80</v>
      </c>
      <c r="D1701">
        <v>79.714080811000002</v>
      </c>
      <c r="E1701">
        <v>50</v>
      </c>
      <c r="F1701">
        <v>49.015430449999997</v>
      </c>
      <c r="G1701">
        <v>1307.7148437999999</v>
      </c>
      <c r="H1701">
        <v>1297.2269286999999</v>
      </c>
      <c r="I1701">
        <v>1388.2775879000001</v>
      </c>
      <c r="J1701">
        <v>1370.7619629000001</v>
      </c>
      <c r="K1701">
        <v>0</v>
      </c>
      <c r="L1701">
        <v>2050</v>
      </c>
      <c r="M1701">
        <v>2050</v>
      </c>
      <c r="N1701">
        <v>0</v>
      </c>
    </row>
    <row r="1702" spans="1:14" x14ac:dyDescent="0.25">
      <c r="A1702">
        <v>1251.2096320000001</v>
      </c>
      <c r="B1702" s="1">
        <f>DATE(2013,10,3) + TIME(5,1,52)</f>
        <v>41550.209629629629</v>
      </c>
      <c r="C1702">
        <v>80</v>
      </c>
      <c r="D1702">
        <v>79.686447143999999</v>
      </c>
      <c r="E1702">
        <v>50</v>
      </c>
      <c r="F1702">
        <v>49.225334167</v>
      </c>
      <c r="G1702">
        <v>1307.7072754000001</v>
      </c>
      <c r="H1702">
        <v>1297.2183838000001</v>
      </c>
      <c r="I1702">
        <v>1388.1278076000001</v>
      </c>
      <c r="J1702">
        <v>1370.6760254000001</v>
      </c>
      <c r="K1702">
        <v>0</v>
      </c>
      <c r="L1702">
        <v>2050</v>
      </c>
      <c r="M1702">
        <v>2050</v>
      </c>
      <c r="N1702">
        <v>0</v>
      </c>
    </row>
    <row r="1703" spans="1:14" x14ac:dyDescent="0.25">
      <c r="A1703">
        <v>1251.477558</v>
      </c>
      <c r="B1703" s="1">
        <f>DATE(2013,10,3) + TIME(11,27,41)</f>
        <v>41550.47755787037</v>
      </c>
      <c r="C1703">
        <v>80</v>
      </c>
      <c r="D1703">
        <v>79.658454895000006</v>
      </c>
      <c r="E1703">
        <v>50</v>
      </c>
      <c r="F1703">
        <v>49.390312195</v>
      </c>
      <c r="G1703">
        <v>1307.6989745999999</v>
      </c>
      <c r="H1703">
        <v>1297.2093506000001</v>
      </c>
      <c r="I1703">
        <v>1387.9980469</v>
      </c>
      <c r="J1703">
        <v>1370.5974120999999</v>
      </c>
      <c r="K1703">
        <v>0</v>
      </c>
      <c r="L1703">
        <v>2050</v>
      </c>
      <c r="M1703">
        <v>2050</v>
      </c>
      <c r="N1703">
        <v>0</v>
      </c>
    </row>
    <row r="1704" spans="1:14" x14ac:dyDescent="0.25">
      <c r="A1704">
        <v>1251.753917</v>
      </c>
      <c r="B1704" s="1">
        <f>DATE(2013,10,3) + TIME(18,5,38)</f>
        <v>41550.753912037035</v>
      </c>
      <c r="C1704">
        <v>80</v>
      </c>
      <c r="D1704">
        <v>79.629737853999998</v>
      </c>
      <c r="E1704">
        <v>50</v>
      </c>
      <c r="F1704">
        <v>49.521556854000004</v>
      </c>
      <c r="G1704">
        <v>1307.6906738</v>
      </c>
      <c r="H1704">
        <v>1297.2001952999999</v>
      </c>
      <c r="I1704">
        <v>1387.8845214999999</v>
      </c>
      <c r="J1704">
        <v>1370.526001</v>
      </c>
      <c r="K1704">
        <v>0</v>
      </c>
      <c r="L1704">
        <v>2050</v>
      </c>
      <c r="M1704">
        <v>2050</v>
      </c>
      <c r="N1704">
        <v>0</v>
      </c>
    </row>
    <row r="1705" spans="1:14" x14ac:dyDescent="0.25">
      <c r="A1705">
        <v>1252.0417890000001</v>
      </c>
      <c r="B1705" s="1">
        <f>DATE(2013,10,4) + TIME(1,0,10)</f>
        <v>41551.04178240741</v>
      </c>
      <c r="C1705">
        <v>80</v>
      </c>
      <c r="D1705">
        <v>79.600059509000005</v>
      </c>
      <c r="E1705">
        <v>50</v>
      </c>
      <c r="F1705">
        <v>49.626033782999997</v>
      </c>
      <c r="G1705">
        <v>1307.682251</v>
      </c>
      <c r="H1705">
        <v>1297.1906738</v>
      </c>
      <c r="I1705">
        <v>1387.7834473</v>
      </c>
      <c r="J1705">
        <v>1370.4599608999999</v>
      </c>
      <c r="K1705">
        <v>0</v>
      </c>
      <c r="L1705">
        <v>2050</v>
      </c>
      <c r="M1705">
        <v>2050</v>
      </c>
      <c r="N1705">
        <v>0</v>
      </c>
    </row>
    <row r="1706" spans="1:14" x14ac:dyDescent="0.25">
      <c r="A1706">
        <v>1252.3446939999999</v>
      </c>
      <c r="B1706" s="1">
        <f>DATE(2013,10,4) + TIME(8,16,21)</f>
        <v>41551.344687500001</v>
      </c>
      <c r="C1706">
        <v>80</v>
      </c>
      <c r="D1706">
        <v>79.569160460999996</v>
      </c>
      <c r="E1706">
        <v>50</v>
      </c>
      <c r="F1706">
        <v>49.709060669000003</v>
      </c>
      <c r="G1706">
        <v>1307.6733397999999</v>
      </c>
      <c r="H1706">
        <v>1297.1809082</v>
      </c>
      <c r="I1706">
        <v>1387.6922606999999</v>
      </c>
      <c r="J1706">
        <v>1370.3980713000001</v>
      </c>
      <c r="K1706">
        <v>0</v>
      </c>
      <c r="L1706">
        <v>2050</v>
      </c>
      <c r="M1706">
        <v>2050</v>
      </c>
      <c r="N1706">
        <v>0</v>
      </c>
    </row>
    <row r="1707" spans="1:14" x14ac:dyDescent="0.25">
      <c r="A1707">
        <v>1252.666616</v>
      </c>
      <c r="B1707" s="1">
        <f>DATE(2013,10,4) + TIME(15,59,55)</f>
        <v>41551.666608796295</v>
      </c>
      <c r="C1707">
        <v>80</v>
      </c>
      <c r="D1707">
        <v>79.536727905000006</v>
      </c>
      <c r="E1707">
        <v>50</v>
      </c>
      <c r="F1707">
        <v>49.774734496999997</v>
      </c>
      <c r="G1707">
        <v>1307.6641846</v>
      </c>
      <c r="H1707">
        <v>1297.1706543</v>
      </c>
      <c r="I1707">
        <v>1387.6088867000001</v>
      </c>
      <c r="J1707">
        <v>1370.3393555</v>
      </c>
      <c r="K1707">
        <v>0</v>
      </c>
      <c r="L1707">
        <v>2050</v>
      </c>
      <c r="M1707">
        <v>2050</v>
      </c>
      <c r="N1707">
        <v>0</v>
      </c>
    </row>
    <row r="1708" spans="1:14" x14ac:dyDescent="0.25">
      <c r="A1708">
        <v>1253.0123160000001</v>
      </c>
      <c r="B1708" s="1">
        <f>DATE(2013,10,5) + TIME(0,17,44)</f>
        <v>41552.012314814812</v>
      </c>
      <c r="C1708">
        <v>80</v>
      </c>
      <c r="D1708">
        <v>79.502403259000005</v>
      </c>
      <c r="E1708">
        <v>50</v>
      </c>
      <c r="F1708">
        <v>49.826290131</v>
      </c>
      <c r="G1708">
        <v>1307.6544189000001</v>
      </c>
      <c r="H1708">
        <v>1297.1597899999999</v>
      </c>
      <c r="I1708">
        <v>1387.5313721</v>
      </c>
      <c r="J1708">
        <v>1370.2829589999999</v>
      </c>
      <c r="K1708">
        <v>0</v>
      </c>
      <c r="L1708">
        <v>2050</v>
      </c>
      <c r="M1708">
        <v>2050</v>
      </c>
      <c r="N1708">
        <v>0</v>
      </c>
    </row>
    <row r="1709" spans="1:14" x14ac:dyDescent="0.25">
      <c r="A1709">
        <v>1253.386041</v>
      </c>
      <c r="B1709" s="1">
        <f>DATE(2013,10,5) + TIME(9,15,53)</f>
        <v>41552.386030092595</v>
      </c>
      <c r="C1709">
        <v>80</v>
      </c>
      <c r="D1709">
        <v>79.465866089000002</v>
      </c>
      <c r="E1709">
        <v>50</v>
      </c>
      <c r="F1709">
        <v>49.866210938000002</v>
      </c>
      <c r="G1709">
        <v>1307.644043</v>
      </c>
      <c r="H1709">
        <v>1297.1480713000001</v>
      </c>
      <c r="I1709">
        <v>1387.4582519999999</v>
      </c>
      <c r="J1709">
        <v>1370.2280272999999</v>
      </c>
      <c r="K1709">
        <v>0</v>
      </c>
      <c r="L1709">
        <v>2050</v>
      </c>
      <c r="M1709">
        <v>2050</v>
      </c>
      <c r="N1709">
        <v>0</v>
      </c>
    </row>
    <row r="1710" spans="1:14" x14ac:dyDescent="0.25">
      <c r="A1710">
        <v>1253.787877</v>
      </c>
      <c r="B1710" s="1">
        <f>DATE(2013,10,5) + TIME(18,54,32)</f>
        <v>41552.787870370368</v>
      </c>
      <c r="C1710">
        <v>80</v>
      </c>
      <c r="D1710">
        <v>79.427070618000002</v>
      </c>
      <c r="E1710">
        <v>50</v>
      </c>
      <c r="F1710">
        <v>49.896358489999997</v>
      </c>
      <c r="G1710">
        <v>1307.6328125</v>
      </c>
      <c r="H1710">
        <v>1297.1356201000001</v>
      </c>
      <c r="I1710">
        <v>1387.3887939000001</v>
      </c>
      <c r="J1710">
        <v>1370.1743164</v>
      </c>
      <c r="K1710">
        <v>0</v>
      </c>
      <c r="L1710">
        <v>2050</v>
      </c>
      <c r="M1710">
        <v>2050</v>
      </c>
      <c r="N1710">
        <v>0</v>
      </c>
    </row>
    <row r="1711" spans="1:14" x14ac:dyDescent="0.25">
      <c r="A1711">
        <v>1254.224982</v>
      </c>
      <c r="B1711" s="1">
        <f>DATE(2013,10,6) + TIME(5,23,58)</f>
        <v>41553.224976851852</v>
      </c>
      <c r="C1711">
        <v>80</v>
      </c>
      <c r="D1711">
        <v>79.385520935000002</v>
      </c>
      <c r="E1711">
        <v>50</v>
      </c>
      <c r="F1711">
        <v>49.918846129999999</v>
      </c>
      <c r="G1711">
        <v>1307.6208495999999</v>
      </c>
      <c r="H1711">
        <v>1297.1221923999999</v>
      </c>
      <c r="I1711">
        <v>1387.3222656</v>
      </c>
      <c r="J1711">
        <v>1370.1214600000001</v>
      </c>
      <c r="K1711">
        <v>0</v>
      </c>
      <c r="L1711">
        <v>2050</v>
      </c>
      <c r="M1711">
        <v>2050</v>
      </c>
      <c r="N1711">
        <v>0</v>
      </c>
    </row>
    <row r="1712" spans="1:14" x14ac:dyDescent="0.25">
      <c r="A1712">
        <v>1254.7058440000001</v>
      </c>
      <c r="B1712" s="1">
        <f>DATE(2013,10,6) + TIME(16,56,24)</f>
        <v>41553.705833333333</v>
      </c>
      <c r="C1712">
        <v>80</v>
      </c>
      <c r="D1712">
        <v>79.340614318999997</v>
      </c>
      <c r="E1712">
        <v>50</v>
      </c>
      <c r="F1712">
        <v>49.935348511000001</v>
      </c>
      <c r="G1712">
        <v>1307.6077881000001</v>
      </c>
      <c r="H1712">
        <v>1297.1076660000001</v>
      </c>
      <c r="I1712">
        <v>1387.2574463000001</v>
      </c>
      <c r="J1712">
        <v>1370.0690918</v>
      </c>
      <c r="K1712">
        <v>0</v>
      </c>
      <c r="L1712">
        <v>2050</v>
      </c>
      <c r="M1712">
        <v>2050</v>
      </c>
      <c r="N1712">
        <v>0</v>
      </c>
    </row>
    <row r="1713" spans="1:14" x14ac:dyDescent="0.25">
      <c r="A1713">
        <v>1255.241892</v>
      </c>
      <c r="B1713" s="1">
        <f>DATE(2013,10,7) + TIME(5,48,19)</f>
        <v>41554.241886574076</v>
      </c>
      <c r="C1713">
        <v>80</v>
      </c>
      <c r="D1713">
        <v>79.291580199999999</v>
      </c>
      <c r="E1713">
        <v>50</v>
      </c>
      <c r="F1713">
        <v>49.947219849</v>
      </c>
      <c r="G1713">
        <v>1307.5935059000001</v>
      </c>
      <c r="H1713">
        <v>1297.0916748</v>
      </c>
      <c r="I1713">
        <v>1387.1931152</v>
      </c>
      <c r="J1713">
        <v>1370.0162353999999</v>
      </c>
      <c r="K1713">
        <v>0</v>
      </c>
      <c r="L1713">
        <v>2050</v>
      </c>
      <c r="M1713">
        <v>2050</v>
      </c>
      <c r="N1713">
        <v>0</v>
      </c>
    </row>
    <row r="1714" spans="1:14" x14ac:dyDescent="0.25">
      <c r="A1714">
        <v>1255.8111019999999</v>
      </c>
      <c r="B1714" s="1">
        <f>DATE(2013,10,7) + TIME(19,27,59)</f>
        <v>41554.811099537037</v>
      </c>
      <c r="C1714">
        <v>80</v>
      </c>
      <c r="D1714">
        <v>79.239501953000001</v>
      </c>
      <c r="E1714">
        <v>50</v>
      </c>
      <c r="F1714">
        <v>49.955219268999997</v>
      </c>
      <c r="G1714">
        <v>1307.5776367000001</v>
      </c>
      <c r="H1714">
        <v>1297.0740966999999</v>
      </c>
      <c r="I1714">
        <v>1387.1285399999999</v>
      </c>
      <c r="J1714">
        <v>1369.9624022999999</v>
      </c>
      <c r="K1714">
        <v>0</v>
      </c>
      <c r="L1714">
        <v>2050</v>
      </c>
      <c r="M1714">
        <v>2050</v>
      </c>
      <c r="N1714">
        <v>0</v>
      </c>
    </row>
    <row r="1715" spans="1:14" x14ac:dyDescent="0.25">
      <c r="A1715">
        <v>1256.388537</v>
      </c>
      <c r="B1715" s="1">
        <f>DATE(2013,10,8) + TIME(9,19,29)</f>
        <v>41555.38853009259</v>
      </c>
      <c r="C1715">
        <v>80</v>
      </c>
      <c r="D1715">
        <v>79.185958862000007</v>
      </c>
      <c r="E1715">
        <v>50</v>
      </c>
      <c r="F1715">
        <v>49.960380553999997</v>
      </c>
      <c r="G1715">
        <v>1307.5606689000001</v>
      </c>
      <c r="H1715">
        <v>1297.0552978999999</v>
      </c>
      <c r="I1715">
        <v>1387.0660399999999</v>
      </c>
      <c r="J1715">
        <v>1369.9100341999999</v>
      </c>
      <c r="K1715">
        <v>0</v>
      </c>
      <c r="L1715">
        <v>2050</v>
      </c>
      <c r="M1715">
        <v>2050</v>
      </c>
      <c r="N1715">
        <v>0</v>
      </c>
    </row>
    <row r="1716" spans="1:14" x14ac:dyDescent="0.25">
      <c r="A1716">
        <v>1256.978357</v>
      </c>
      <c r="B1716" s="1">
        <f>DATE(2013,10,8) + TIME(23,28,50)</f>
        <v>41555.978356481479</v>
      </c>
      <c r="C1716">
        <v>80</v>
      </c>
      <c r="D1716">
        <v>79.131141662999994</v>
      </c>
      <c r="E1716">
        <v>50</v>
      </c>
      <c r="F1716">
        <v>49.963737488</v>
      </c>
      <c r="G1716">
        <v>1307.543457</v>
      </c>
      <c r="H1716">
        <v>1297.0363769999999</v>
      </c>
      <c r="I1716">
        <v>1387.0079346</v>
      </c>
      <c r="J1716">
        <v>1369.8610839999999</v>
      </c>
      <c r="K1716">
        <v>0</v>
      </c>
      <c r="L1716">
        <v>2050</v>
      </c>
      <c r="M1716">
        <v>2050</v>
      </c>
      <c r="N1716">
        <v>0</v>
      </c>
    </row>
    <row r="1717" spans="1:14" x14ac:dyDescent="0.25">
      <c r="A1717">
        <v>1257.5878640000001</v>
      </c>
      <c r="B1717" s="1">
        <f>DATE(2013,10,9) + TIME(14,6,31)</f>
        <v>41556.587858796294</v>
      </c>
      <c r="C1717">
        <v>80</v>
      </c>
      <c r="D1717">
        <v>79.074874878000003</v>
      </c>
      <c r="E1717">
        <v>50</v>
      </c>
      <c r="F1717">
        <v>49.965946197999997</v>
      </c>
      <c r="G1717">
        <v>1307.526001</v>
      </c>
      <c r="H1717">
        <v>1297.0169678</v>
      </c>
      <c r="I1717">
        <v>1386.9528809000001</v>
      </c>
      <c r="J1717">
        <v>1369.8148193</v>
      </c>
      <c r="K1717">
        <v>0</v>
      </c>
      <c r="L1717">
        <v>2050</v>
      </c>
      <c r="M1717">
        <v>2050</v>
      </c>
      <c r="N1717">
        <v>0</v>
      </c>
    </row>
    <row r="1718" spans="1:14" x14ac:dyDescent="0.25">
      <c r="A1718">
        <v>1258.2243639999999</v>
      </c>
      <c r="B1718" s="1">
        <f>DATE(2013,10,10) + TIME(5,23,5)</f>
        <v>41557.224363425928</v>
      </c>
      <c r="C1718">
        <v>80</v>
      </c>
      <c r="D1718">
        <v>79.016807556000003</v>
      </c>
      <c r="E1718">
        <v>50</v>
      </c>
      <c r="F1718">
        <v>49.967411040999998</v>
      </c>
      <c r="G1718">
        <v>1307.5080565999999</v>
      </c>
      <c r="H1718">
        <v>1296.9968262</v>
      </c>
      <c r="I1718">
        <v>1386.9000243999999</v>
      </c>
      <c r="J1718">
        <v>1369.7703856999999</v>
      </c>
      <c r="K1718">
        <v>0</v>
      </c>
      <c r="L1718">
        <v>2050</v>
      </c>
      <c r="M1718">
        <v>2050</v>
      </c>
      <c r="N1718">
        <v>0</v>
      </c>
    </row>
    <row r="1719" spans="1:14" x14ac:dyDescent="0.25">
      <c r="A1719">
        <v>1258.895886</v>
      </c>
      <c r="B1719" s="1">
        <f>DATE(2013,10,10) + TIME(21,30,4)</f>
        <v>41557.895879629628</v>
      </c>
      <c r="C1719">
        <v>80</v>
      </c>
      <c r="D1719">
        <v>78.956481933999996</v>
      </c>
      <c r="E1719">
        <v>50</v>
      </c>
      <c r="F1719">
        <v>49.968387604</v>
      </c>
      <c r="G1719">
        <v>1307.4893798999999</v>
      </c>
      <c r="H1719">
        <v>1296.9759521000001</v>
      </c>
      <c r="I1719">
        <v>1386.8486327999999</v>
      </c>
      <c r="J1719">
        <v>1369.7270507999999</v>
      </c>
      <c r="K1719">
        <v>0</v>
      </c>
      <c r="L1719">
        <v>2050</v>
      </c>
      <c r="M1719">
        <v>2050</v>
      </c>
      <c r="N1719">
        <v>0</v>
      </c>
    </row>
    <row r="1720" spans="1:14" x14ac:dyDescent="0.25">
      <c r="A1720">
        <v>1259.611778</v>
      </c>
      <c r="B1720" s="1">
        <f>DATE(2013,10,11) + TIME(14,40,57)</f>
        <v>41558.611770833333</v>
      </c>
      <c r="C1720">
        <v>80</v>
      </c>
      <c r="D1720">
        <v>78.893310546999999</v>
      </c>
      <c r="E1720">
        <v>50</v>
      </c>
      <c r="F1720">
        <v>49.969051360999998</v>
      </c>
      <c r="G1720">
        <v>1307.4696045000001</v>
      </c>
      <c r="H1720">
        <v>1296.9538574000001</v>
      </c>
      <c r="I1720">
        <v>1386.7978516000001</v>
      </c>
      <c r="J1720">
        <v>1369.6844481999999</v>
      </c>
      <c r="K1720">
        <v>0</v>
      </c>
      <c r="L1720">
        <v>2050</v>
      </c>
      <c r="M1720">
        <v>2050</v>
      </c>
      <c r="N1720">
        <v>0</v>
      </c>
    </row>
    <row r="1721" spans="1:14" x14ac:dyDescent="0.25">
      <c r="A1721">
        <v>1260.3838519999999</v>
      </c>
      <c r="B1721" s="1">
        <f>DATE(2013,10,12) + TIME(9,12,44)</f>
        <v>41559.383842592593</v>
      </c>
      <c r="C1721">
        <v>80</v>
      </c>
      <c r="D1721">
        <v>78.826522827000005</v>
      </c>
      <c r="E1721">
        <v>50</v>
      </c>
      <c r="F1721">
        <v>49.969501495000003</v>
      </c>
      <c r="G1721">
        <v>1307.4486084</v>
      </c>
      <c r="H1721">
        <v>1296.9302978999999</v>
      </c>
      <c r="I1721">
        <v>1386.7471923999999</v>
      </c>
      <c r="J1721">
        <v>1369.6420897999999</v>
      </c>
      <c r="K1721">
        <v>0</v>
      </c>
      <c r="L1721">
        <v>2050</v>
      </c>
      <c r="M1721">
        <v>2050</v>
      </c>
      <c r="N1721">
        <v>0</v>
      </c>
    </row>
    <row r="1722" spans="1:14" x14ac:dyDescent="0.25">
      <c r="A1722">
        <v>1261.2216330000001</v>
      </c>
      <c r="B1722" s="1">
        <f>DATE(2013,10,13) + TIME(5,19,9)</f>
        <v>41560.221631944441</v>
      </c>
      <c r="C1722">
        <v>80</v>
      </c>
      <c r="D1722">
        <v>78.755439757999994</v>
      </c>
      <c r="E1722">
        <v>50</v>
      </c>
      <c r="F1722">
        <v>49.969814301</v>
      </c>
      <c r="G1722">
        <v>1307.4259033000001</v>
      </c>
      <c r="H1722">
        <v>1296.9049072</v>
      </c>
      <c r="I1722">
        <v>1386.6959228999999</v>
      </c>
      <c r="J1722">
        <v>1369.5992432</v>
      </c>
      <c r="K1722">
        <v>0</v>
      </c>
      <c r="L1722">
        <v>2050</v>
      </c>
      <c r="M1722">
        <v>2050</v>
      </c>
      <c r="N1722">
        <v>0</v>
      </c>
    </row>
    <row r="1723" spans="1:14" x14ac:dyDescent="0.25">
      <c r="A1723">
        <v>1262.102277</v>
      </c>
      <c r="B1723" s="1">
        <f>DATE(2013,10,14) + TIME(2,27,16)</f>
        <v>41561.102268518516</v>
      </c>
      <c r="C1723">
        <v>80</v>
      </c>
      <c r="D1723">
        <v>78.680786132999998</v>
      </c>
      <c r="E1723">
        <v>50</v>
      </c>
      <c r="F1723">
        <v>49.970024109000001</v>
      </c>
      <c r="G1723">
        <v>1307.4012451000001</v>
      </c>
      <c r="H1723">
        <v>1296.8774414</v>
      </c>
      <c r="I1723">
        <v>1386.6439209</v>
      </c>
      <c r="J1723">
        <v>1369.5559082</v>
      </c>
      <c r="K1723">
        <v>0</v>
      </c>
      <c r="L1723">
        <v>2050</v>
      </c>
      <c r="M1723">
        <v>2050</v>
      </c>
      <c r="N1723">
        <v>0</v>
      </c>
    </row>
    <row r="1724" spans="1:14" x14ac:dyDescent="0.25">
      <c r="A1724">
        <v>1263.0101440000001</v>
      </c>
      <c r="B1724" s="1">
        <f>DATE(2013,10,15) + TIME(0,14,36)</f>
        <v>41562.010138888887</v>
      </c>
      <c r="C1724">
        <v>80</v>
      </c>
      <c r="D1724">
        <v>78.603553771999998</v>
      </c>
      <c r="E1724">
        <v>50</v>
      </c>
      <c r="F1724">
        <v>49.970165252999998</v>
      </c>
      <c r="G1724">
        <v>1307.3751221</v>
      </c>
      <c r="H1724">
        <v>1296.8483887</v>
      </c>
      <c r="I1724">
        <v>1386.5926514</v>
      </c>
      <c r="J1724">
        <v>1369.5134277</v>
      </c>
      <c r="K1724">
        <v>0</v>
      </c>
      <c r="L1724">
        <v>2050</v>
      </c>
      <c r="M1724">
        <v>2050</v>
      </c>
      <c r="N1724">
        <v>0</v>
      </c>
    </row>
    <row r="1725" spans="1:14" x14ac:dyDescent="0.25">
      <c r="A1725">
        <v>1263.9543140000001</v>
      </c>
      <c r="B1725" s="1">
        <f>DATE(2013,10,15) + TIME(22,54,12)</f>
        <v>41562.954305555555</v>
      </c>
      <c r="C1725">
        <v>80</v>
      </c>
      <c r="D1725">
        <v>78.523857117000006</v>
      </c>
      <c r="E1725">
        <v>50</v>
      </c>
      <c r="F1725">
        <v>49.970264434999997</v>
      </c>
      <c r="G1725">
        <v>1307.3482666</v>
      </c>
      <c r="H1725">
        <v>1296.8183594</v>
      </c>
      <c r="I1725">
        <v>1386.5432129000001</v>
      </c>
      <c r="J1725">
        <v>1369.4724120999999</v>
      </c>
      <c r="K1725">
        <v>0</v>
      </c>
      <c r="L1725">
        <v>2050</v>
      </c>
      <c r="M1725">
        <v>2050</v>
      </c>
      <c r="N1725">
        <v>0</v>
      </c>
    </row>
    <row r="1726" spans="1:14" x14ac:dyDescent="0.25">
      <c r="A1726">
        <v>1264.9181100000001</v>
      </c>
      <c r="B1726" s="1">
        <f>DATE(2013,10,16) + TIME(22,2,4)</f>
        <v>41563.91810185185</v>
      </c>
      <c r="C1726">
        <v>80</v>
      </c>
      <c r="D1726">
        <v>78.442543029999996</v>
      </c>
      <c r="E1726">
        <v>50</v>
      </c>
      <c r="F1726">
        <v>49.970336914000001</v>
      </c>
      <c r="G1726">
        <v>1307.3203125</v>
      </c>
      <c r="H1726">
        <v>1296.7871094</v>
      </c>
      <c r="I1726">
        <v>1386.4948730000001</v>
      </c>
      <c r="J1726">
        <v>1369.4323730000001</v>
      </c>
      <c r="K1726">
        <v>0</v>
      </c>
      <c r="L1726">
        <v>2050</v>
      </c>
      <c r="M1726">
        <v>2050</v>
      </c>
      <c r="N1726">
        <v>0</v>
      </c>
    </row>
    <row r="1727" spans="1:14" x14ac:dyDescent="0.25">
      <c r="A1727">
        <v>1265.9132440000001</v>
      </c>
      <c r="B1727" s="1">
        <f>DATE(2013,10,17) + TIME(21,55,4)</f>
        <v>41564.913240740738</v>
      </c>
      <c r="C1727">
        <v>80</v>
      </c>
      <c r="D1727">
        <v>78.359535217000001</v>
      </c>
      <c r="E1727">
        <v>50</v>
      </c>
      <c r="F1727">
        <v>49.970386505</v>
      </c>
      <c r="G1727">
        <v>1307.291626</v>
      </c>
      <c r="H1727">
        <v>1296.7548827999999</v>
      </c>
      <c r="I1727">
        <v>1386.4483643000001</v>
      </c>
      <c r="J1727">
        <v>1369.394043</v>
      </c>
      <c r="K1727">
        <v>0</v>
      </c>
      <c r="L1727">
        <v>2050</v>
      </c>
      <c r="M1727">
        <v>2050</v>
      </c>
      <c r="N1727">
        <v>0</v>
      </c>
    </row>
    <row r="1728" spans="1:14" x14ac:dyDescent="0.25">
      <c r="A1728">
        <v>1266.9517539999999</v>
      </c>
      <c r="B1728" s="1">
        <f>DATE(2013,10,18) + TIME(22,50,31)</f>
        <v>41565.951747685183</v>
      </c>
      <c r="C1728">
        <v>80</v>
      </c>
      <c r="D1728">
        <v>78.274368285999998</v>
      </c>
      <c r="E1728">
        <v>50</v>
      </c>
      <c r="F1728">
        <v>49.970424651999998</v>
      </c>
      <c r="G1728">
        <v>1307.2619629000001</v>
      </c>
      <c r="H1728">
        <v>1296.7215576000001</v>
      </c>
      <c r="I1728">
        <v>1386.4029541</v>
      </c>
      <c r="J1728">
        <v>1369.3568115</v>
      </c>
      <c r="K1728">
        <v>0</v>
      </c>
      <c r="L1728">
        <v>2050</v>
      </c>
      <c r="M1728">
        <v>2050</v>
      </c>
      <c r="N1728">
        <v>0</v>
      </c>
    </row>
    <row r="1729" spans="1:14" x14ac:dyDescent="0.25">
      <c r="A1729">
        <v>1268.04711</v>
      </c>
      <c r="B1729" s="1">
        <f>DATE(2013,10,20) + TIME(1,7,50)</f>
        <v>41567.047106481485</v>
      </c>
      <c r="C1729">
        <v>80</v>
      </c>
      <c r="D1729">
        <v>78.186325073000006</v>
      </c>
      <c r="E1729">
        <v>50</v>
      </c>
      <c r="F1729">
        <v>49.970458983999997</v>
      </c>
      <c r="G1729">
        <v>1307.230957</v>
      </c>
      <c r="H1729">
        <v>1296.6864014</v>
      </c>
      <c r="I1729">
        <v>1386.3582764</v>
      </c>
      <c r="J1729">
        <v>1369.3200684000001</v>
      </c>
      <c r="K1729">
        <v>0</v>
      </c>
      <c r="L1729">
        <v>2050</v>
      </c>
      <c r="M1729">
        <v>2050</v>
      </c>
      <c r="N1729">
        <v>0</v>
      </c>
    </row>
    <row r="1730" spans="1:14" x14ac:dyDescent="0.25">
      <c r="A1730">
        <v>1269.2154619999999</v>
      </c>
      <c r="B1730" s="1">
        <f>DATE(2013,10,21) + TIME(5,10,15)</f>
        <v>41568.215451388889</v>
      </c>
      <c r="C1730">
        <v>80</v>
      </c>
      <c r="D1730">
        <v>78.094467163000004</v>
      </c>
      <c r="E1730">
        <v>50</v>
      </c>
      <c r="F1730">
        <v>49.970485687</v>
      </c>
      <c r="G1730">
        <v>1307.1979980000001</v>
      </c>
      <c r="H1730">
        <v>1296.6492920000001</v>
      </c>
      <c r="I1730">
        <v>1386.3135986</v>
      </c>
      <c r="J1730">
        <v>1369.2835693</v>
      </c>
      <c r="K1730">
        <v>0</v>
      </c>
      <c r="L1730">
        <v>2050</v>
      </c>
      <c r="M1730">
        <v>2050</v>
      </c>
      <c r="N1730">
        <v>0</v>
      </c>
    </row>
    <row r="1731" spans="1:14" x14ac:dyDescent="0.25">
      <c r="A1731">
        <v>1270.4722409999999</v>
      </c>
      <c r="B1731" s="1">
        <f>DATE(2013,10,22) + TIME(11,20,1)</f>
        <v>41569.472233796296</v>
      </c>
      <c r="C1731">
        <v>80</v>
      </c>
      <c r="D1731">
        <v>77.997802734000004</v>
      </c>
      <c r="E1731">
        <v>50</v>
      </c>
      <c r="F1731">
        <v>49.970508574999997</v>
      </c>
      <c r="G1731">
        <v>1307.1627197</v>
      </c>
      <c r="H1731">
        <v>1296.609375</v>
      </c>
      <c r="I1731">
        <v>1386.2685547000001</v>
      </c>
      <c r="J1731">
        <v>1369.2467041</v>
      </c>
      <c r="K1731">
        <v>0</v>
      </c>
      <c r="L1731">
        <v>2050</v>
      </c>
      <c r="M1731">
        <v>2050</v>
      </c>
      <c r="N1731">
        <v>0</v>
      </c>
    </row>
    <row r="1732" spans="1:14" x14ac:dyDescent="0.25">
      <c r="A1732">
        <v>1271.789284</v>
      </c>
      <c r="B1732" s="1">
        <f>DATE(2013,10,23) + TIME(18,56,34)</f>
        <v>41570.789282407408</v>
      </c>
      <c r="C1732">
        <v>80</v>
      </c>
      <c r="D1732">
        <v>77.896766662999994</v>
      </c>
      <c r="E1732">
        <v>50</v>
      </c>
      <c r="F1732">
        <v>49.970531463999997</v>
      </c>
      <c r="G1732">
        <v>1307.1245117000001</v>
      </c>
      <c r="H1732">
        <v>1296.5661620999999</v>
      </c>
      <c r="I1732">
        <v>1386.2226562000001</v>
      </c>
      <c r="J1732">
        <v>1369.2093506000001</v>
      </c>
      <c r="K1732">
        <v>0</v>
      </c>
      <c r="L1732">
        <v>2050</v>
      </c>
      <c r="M1732">
        <v>2050</v>
      </c>
      <c r="N1732">
        <v>0</v>
      </c>
    </row>
    <row r="1733" spans="1:14" x14ac:dyDescent="0.25">
      <c r="A1733">
        <v>1273.1274619999999</v>
      </c>
      <c r="B1733" s="1">
        <f>DATE(2013,10,25) + TIME(3,3,32)</f>
        <v>41572.127453703702</v>
      </c>
      <c r="C1733">
        <v>80</v>
      </c>
      <c r="D1733">
        <v>77.793174743999998</v>
      </c>
      <c r="E1733">
        <v>50</v>
      </c>
      <c r="F1733">
        <v>49.970550537000001</v>
      </c>
      <c r="G1733">
        <v>1307.0839844</v>
      </c>
      <c r="H1733">
        <v>1296.5202637</v>
      </c>
      <c r="I1733">
        <v>1386.177124</v>
      </c>
      <c r="J1733">
        <v>1369.1722411999999</v>
      </c>
      <c r="K1733">
        <v>0</v>
      </c>
      <c r="L1733">
        <v>2050</v>
      </c>
      <c r="M1733">
        <v>2050</v>
      </c>
      <c r="N1733">
        <v>0</v>
      </c>
    </row>
    <row r="1734" spans="1:14" x14ac:dyDescent="0.25">
      <c r="A1734">
        <v>1274.490237</v>
      </c>
      <c r="B1734" s="1">
        <f>DATE(2013,10,26) + TIME(11,45,56)</f>
        <v>41573.490231481483</v>
      </c>
      <c r="C1734">
        <v>80</v>
      </c>
      <c r="D1734">
        <v>77.688224792</v>
      </c>
      <c r="E1734">
        <v>50</v>
      </c>
      <c r="F1734">
        <v>49.970569611000002</v>
      </c>
      <c r="G1734">
        <v>1307.0426024999999</v>
      </c>
      <c r="H1734">
        <v>1296.4731445</v>
      </c>
      <c r="I1734">
        <v>1386.1333007999999</v>
      </c>
      <c r="J1734">
        <v>1369.1367187999999</v>
      </c>
      <c r="K1734">
        <v>0</v>
      </c>
      <c r="L1734">
        <v>2050</v>
      </c>
      <c r="M1734">
        <v>2050</v>
      </c>
      <c r="N1734">
        <v>0</v>
      </c>
    </row>
    <row r="1735" spans="1:14" x14ac:dyDescent="0.25">
      <c r="A1735">
        <v>1275.8941910000001</v>
      </c>
      <c r="B1735" s="1">
        <f>DATE(2013,10,27) + TIME(21,27,38)</f>
        <v>41574.894189814811</v>
      </c>
      <c r="C1735">
        <v>80</v>
      </c>
      <c r="D1735">
        <v>77.581886291999993</v>
      </c>
      <c r="E1735">
        <v>50</v>
      </c>
      <c r="F1735">
        <v>49.970588683999999</v>
      </c>
      <c r="G1735">
        <v>1307</v>
      </c>
      <c r="H1735">
        <v>1296.4244385</v>
      </c>
      <c r="I1735">
        <v>1386.0910644999999</v>
      </c>
      <c r="J1735">
        <v>1369.1022949000001</v>
      </c>
      <c r="K1735">
        <v>0</v>
      </c>
      <c r="L1735">
        <v>2050</v>
      </c>
      <c r="M1735">
        <v>2050</v>
      </c>
      <c r="N1735">
        <v>0</v>
      </c>
    </row>
    <row r="1736" spans="1:14" x14ac:dyDescent="0.25">
      <c r="A1736">
        <v>1277.3566719999999</v>
      </c>
      <c r="B1736" s="1">
        <f>DATE(2013,10,29) + TIME(8,33,36)</f>
        <v>41576.356666666667</v>
      </c>
      <c r="C1736">
        <v>80</v>
      </c>
      <c r="D1736">
        <v>77.473464965999995</v>
      </c>
      <c r="E1736">
        <v>50</v>
      </c>
      <c r="F1736">
        <v>49.970607758</v>
      </c>
      <c r="G1736">
        <v>1306.9556885</v>
      </c>
      <c r="H1736">
        <v>1296.3735352000001</v>
      </c>
      <c r="I1736">
        <v>1386.0495605000001</v>
      </c>
      <c r="J1736">
        <v>1369.0687256000001</v>
      </c>
      <c r="K1736">
        <v>0</v>
      </c>
      <c r="L1736">
        <v>2050</v>
      </c>
      <c r="M1736">
        <v>2050</v>
      </c>
      <c r="N1736">
        <v>0</v>
      </c>
    </row>
    <row r="1737" spans="1:14" x14ac:dyDescent="0.25">
      <c r="A1737">
        <v>1278.8971590000001</v>
      </c>
      <c r="B1737" s="1">
        <f>DATE(2013,10,30) + TIME(21,31,54)</f>
        <v>41577.897152777776</v>
      </c>
      <c r="C1737">
        <v>80</v>
      </c>
      <c r="D1737">
        <v>77.361946106000005</v>
      </c>
      <c r="E1737">
        <v>50</v>
      </c>
      <c r="F1737">
        <v>49.970626830999997</v>
      </c>
      <c r="G1737">
        <v>1306.9090576000001</v>
      </c>
      <c r="H1737">
        <v>1296.3198242000001</v>
      </c>
      <c r="I1737">
        <v>1386.0084228999999</v>
      </c>
      <c r="J1737">
        <v>1369.0354004000001</v>
      </c>
      <c r="K1737">
        <v>0</v>
      </c>
      <c r="L1737">
        <v>2050</v>
      </c>
      <c r="M1737">
        <v>2050</v>
      </c>
      <c r="N1737">
        <v>0</v>
      </c>
    </row>
    <row r="1738" spans="1:14" x14ac:dyDescent="0.25">
      <c r="A1738">
        <v>1280</v>
      </c>
      <c r="B1738" s="1">
        <f>DATE(2013,11,1) + TIME(0,0,0)</f>
        <v>41579</v>
      </c>
      <c r="C1738">
        <v>80</v>
      </c>
      <c r="D1738">
        <v>77.264228821000003</v>
      </c>
      <c r="E1738">
        <v>50</v>
      </c>
      <c r="F1738">
        <v>49.970638274999999</v>
      </c>
      <c r="G1738">
        <v>1306.8585204999999</v>
      </c>
      <c r="H1738">
        <v>1296.2631836</v>
      </c>
      <c r="I1738">
        <v>1385.9669189000001</v>
      </c>
      <c r="J1738">
        <v>1369.0018310999999</v>
      </c>
      <c r="K1738">
        <v>0</v>
      </c>
      <c r="L1738">
        <v>2050</v>
      </c>
      <c r="M1738">
        <v>2050</v>
      </c>
      <c r="N1738">
        <v>0</v>
      </c>
    </row>
    <row r="1739" spans="1:14" x14ac:dyDescent="0.25">
      <c r="A1739">
        <v>1281.6419289999999</v>
      </c>
      <c r="B1739" s="1">
        <f>DATE(2013,11,2) + TIME(15,24,22)</f>
        <v>41580.641921296294</v>
      </c>
      <c r="C1739">
        <v>80</v>
      </c>
      <c r="D1739">
        <v>77.158966063999998</v>
      </c>
      <c r="E1739">
        <v>50</v>
      </c>
      <c r="F1739">
        <v>49.970664978000002</v>
      </c>
      <c r="G1739">
        <v>1306.822876</v>
      </c>
      <c r="H1739">
        <v>1296.2194824000001</v>
      </c>
      <c r="I1739">
        <v>1385.9388428</v>
      </c>
      <c r="J1739">
        <v>1368.979126</v>
      </c>
      <c r="K1739">
        <v>0</v>
      </c>
      <c r="L1739">
        <v>2050</v>
      </c>
      <c r="M1739">
        <v>2050</v>
      </c>
      <c r="N1739">
        <v>0</v>
      </c>
    </row>
    <row r="1740" spans="1:14" x14ac:dyDescent="0.25">
      <c r="A1740">
        <v>1283.4262120000001</v>
      </c>
      <c r="B1740" s="1">
        <f>DATE(2013,11,4) + TIME(10,13,44)</f>
        <v>41582.426203703704</v>
      </c>
      <c r="C1740">
        <v>80</v>
      </c>
      <c r="D1740">
        <v>77.041839600000003</v>
      </c>
      <c r="E1740">
        <v>50</v>
      </c>
      <c r="F1740">
        <v>49.970691680999998</v>
      </c>
      <c r="G1740">
        <v>1306.7687988</v>
      </c>
      <c r="H1740">
        <v>1296.1569824000001</v>
      </c>
      <c r="I1740">
        <v>1385.8983154</v>
      </c>
      <c r="J1740">
        <v>1368.9464111</v>
      </c>
      <c r="K1740">
        <v>0</v>
      </c>
      <c r="L1740">
        <v>2050</v>
      </c>
      <c r="M1740">
        <v>2050</v>
      </c>
      <c r="N1740">
        <v>0</v>
      </c>
    </row>
    <row r="1741" spans="1:14" x14ac:dyDescent="0.25">
      <c r="A1741">
        <v>1285.2348</v>
      </c>
      <c r="B1741" s="1">
        <f>DATE(2013,11,6) + TIME(5,38,6)</f>
        <v>41584.234791666669</v>
      </c>
      <c r="C1741">
        <v>80</v>
      </c>
      <c r="D1741">
        <v>76.917793274000005</v>
      </c>
      <c r="E1741">
        <v>50</v>
      </c>
      <c r="F1741">
        <v>49.970714569000002</v>
      </c>
      <c r="G1741">
        <v>1306.7088623</v>
      </c>
      <c r="H1741">
        <v>1296.0874022999999</v>
      </c>
      <c r="I1741">
        <v>1385.8562012</v>
      </c>
      <c r="J1741">
        <v>1368.9124756000001</v>
      </c>
      <c r="K1741">
        <v>0</v>
      </c>
      <c r="L1741">
        <v>2050</v>
      </c>
      <c r="M1741">
        <v>2050</v>
      </c>
      <c r="N1741">
        <v>0</v>
      </c>
    </row>
    <row r="1742" spans="1:14" x14ac:dyDescent="0.25">
      <c r="A1742">
        <v>1287.0741929999999</v>
      </c>
      <c r="B1742" s="1">
        <f>DATE(2013,11,8) + TIME(1,46,50)</f>
        <v>41586.074189814812</v>
      </c>
      <c r="C1742">
        <v>80</v>
      </c>
      <c r="D1742">
        <v>76.791236877000003</v>
      </c>
      <c r="E1742">
        <v>50</v>
      </c>
      <c r="F1742">
        <v>49.970741271999998</v>
      </c>
      <c r="G1742">
        <v>1306.6468506000001</v>
      </c>
      <c r="H1742">
        <v>1296.0147704999999</v>
      </c>
      <c r="I1742">
        <v>1385.8154297000001</v>
      </c>
      <c r="J1742">
        <v>1368.8796387</v>
      </c>
      <c r="K1742">
        <v>0</v>
      </c>
      <c r="L1742">
        <v>2050</v>
      </c>
      <c r="M1742">
        <v>2050</v>
      </c>
      <c r="N1742">
        <v>0</v>
      </c>
    </row>
    <row r="1743" spans="1:14" x14ac:dyDescent="0.25">
      <c r="A1743">
        <v>1288.9663849999999</v>
      </c>
      <c r="B1743" s="1">
        <f>DATE(2013,11,9) + TIME(23,11,35)</f>
        <v>41587.966377314813</v>
      </c>
      <c r="C1743">
        <v>80</v>
      </c>
      <c r="D1743">
        <v>76.663131714000002</v>
      </c>
      <c r="E1743">
        <v>50</v>
      </c>
      <c r="F1743">
        <v>49.970767975000001</v>
      </c>
      <c r="G1743">
        <v>1306.5827637</v>
      </c>
      <c r="H1743">
        <v>1295.9390868999999</v>
      </c>
      <c r="I1743">
        <v>1385.7758789</v>
      </c>
      <c r="J1743">
        <v>1368.8477783000001</v>
      </c>
      <c r="K1743">
        <v>0</v>
      </c>
      <c r="L1743">
        <v>2050</v>
      </c>
      <c r="M1743">
        <v>2050</v>
      </c>
      <c r="N1743">
        <v>0</v>
      </c>
    </row>
    <row r="1744" spans="1:14" x14ac:dyDescent="0.25">
      <c r="A1744">
        <v>1290.9345430000001</v>
      </c>
      <c r="B1744" s="1">
        <f>DATE(2013,11,11) + TIME(22,25,44)</f>
        <v>41589.934537037036</v>
      </c>
      <c r="C1744">
        <v>80</v>
      </c>
      <c r="D1744">
        <v>76.532905579000001</v>
      </c>
      <c r="E1744">
        <v>50</v>
      </c>
      <c r="F1744">
        <v>49.970798492</v>
      </c>
      <c r="G1744">
        <v>1306.5155029</v>
      </c>
      <c r="H1744">
        <v>1295.8592529</v>
      </c>
      <c r="I1744">
        <v>1385.7369385</v>
      </c>
      <c r="J1744">
        <v>1368.8164062000001</v>
      </c>
      <c r="K1744">
        <v>0</v>
      </c>
      <c r="L1744">
        <v>2050</v>
      </c>
      <c r="M1744">
        <v>2050</v>
      </c>
      <c r="N1744">
        <v>0</v>
      </c>
    </row>
    <row r="1745" spans="1:14" x14ac:dyDescent="0.25">
      <c r="A1745">
        <v>1292.9921670000001</v>
      </c>
      <c r="B1745" s="1">
        <f>DATE(2013,11,13) + TIME(23,48,43)</f>
        <v>41591.992164351854</v>
      </c>
      <c r="C1745">
        <v>80</v>
      </c>
      <c r="D1745">
        <v>76.399658203000001</v>
      </c>
      <c r="E1745">
        <v>50</v>
      </c>
      <c r="F1745">
        <v>49.970829010000003</v>
      </c>
      <c r="G1745">
        <v>1306.4442139</v>
      </c>
      <c r="H1745">
        <v>1295.7741699000001</v>
      </c>
      <c r="I1745">
        <v>1385.6982422000001</v>
      </c>
      <c r="J1745">
        <v>1368.7852783000001</v>
      </c>
      <c r="K1745">
        <v>0</v>
      </c>
      <c r="L1745">
        <v>2050</v>
      </c>
      <c r="M1745">
        <v>2050</v>
      </c>
      <c r="N1745">
        <v>0</v>
      </c>
    </row>
    <row r="1746" spans="1:14" x14ac:dyDescent="0.25">
      <c r="A1746">
        <v>1295.086458</v>
      </c>
      <c r="B1746" s="1">
        <f>DATE(2013,11,16) + TIME(2,4,30)</f>
        <v>41594.086458333331</v>
      </c>
      <c r="C1746">
        <v>80</v>
      </c>
      <c r="D1746">
        <v>76.263992310000006</v>
      </c>
      <c r="E1746">
        <v>50</v>
      </c>
      <c r="F1746">
        <v>49.970859527999998</v>
      </c>
      <c r="G1746">
        <v>1306.3679199000001</v>
      </c>
      <c r="H1746">
        <v>1295.6828613</v>
      </c>
      <c r="I1746">
        <v>1385.6594238</v>
      </c>
      <c r="J1746">
        <v>1368.7539062000001</v>
      </c>
      <c r="K1746">
        <v>0</v>
      </c>
      <c r="L1746">
        <v>2050</v>
      </c>
      <c r="M1746">
        <v>2050</v>
      </c>
      <c r="N1746">
        <v>0</v>
      </c>
    </row>
    <row r="1747" spans="1:14" x14ac:dyDescent="0.25">
      <c r="A1747">
        <v>1297.2143369999999</v>
      </c>
      <c r="B1747" s="1">
        <f>DATE(2013,11,18) + TIME(5,8,38)</f>
        <v>41596.214328703703</v>
      </c>
      <c r="C1747">
        <v>80</v>
      </c>
      <c r="D1747">
        <v>76.127403259000005</v>
      </c>
      <c r="E1747">
        <v>50</v>
      </c>
      <c r="F1747">
        <v>49.970893859999997</v>
      </c>
      <c r="G1747">
        <v>1306.2885742000001</v>
      </c>
      <c r="H1747">
        <v>1295.5871582</v>
      </c>
      <c r="I1747">
        <v>1385.621582</v>
      </c>
      <c r="J1747">
        <v>1368.7233887</v>
      </c>
      <c r="K1747">
        <v>0</v>
      </c>
      <c r="L1747">
        <v>2050</v>
      </c>
      <c r="M1747">
        <v>2050</v>
      </c>
      <c r="N1747">
        <v>0</v>
      </c>
    </row>
    <row r="1748" spans="1:14" x14ac:dyDescent="0.25">
      <c r="A1748">
        <v>1299.3812270000001</v>
      </c>
      <c r="B1748" s="1">
        <f>DATE(2013,11,20) + TIME(9,8,58)</f>
        <v>41598.381226851852</v>
      </c>
      <c r="C1748">
        <v>80</v>
      </c>
      <c r="D1748">
        <v>75.990364075000002</v>
      </c>
      <c r="E1748">
        <v>50</v>
      </c>
      <c r="F1748">
        <v>49.970924377000003</v>
      </c>
      <c r="G1748">
        <v>1306.2060547000001</v>
      </c>
      <c r="H1748">
        <v>1295.4869385</v>
      </c>
      <c r="I1748">
        <v>1385.5845947</v>
      </c>
      <c r="J1748">
        <v>1368.6936035000001</v>
      </c>
      <c r="K1748">
        <v>0</v>
      </c>
      <c r="L1748">
        <v>2050</v>
      </c>
      <c r="M1748">
        <v>2050</v>
      </c>
      <c r="N1748">
        <v>0</v>
      </c>
    </row>
    <row r="1749" spans="1:14" x14ac:dyDescent="0.25">
      <c r="A1749">
        <v>1301.5925769999999</v>
      </c>
      <c r="B1749" s="1">
        <f>DATE(2013,11,22) + TIME(14,13,18)</f>
        <v>41600.592569444445</v>
      </c>
      <c r="C1749">
        <v>80</v>
      </c>
      <c r="D1749">
        <v>75.852790833</v>
      </c>
      <c r="E1749">
        <v>50</v>
      </c>
      <c r="F1749">
        <v>49.970958709999998</v>
      </c>
      <c r="G1749">
        <v>1306.1199951000001</v>
      </c>
      <c r="H1749">
        <v>1295.3818358999999</v>
      </c>
      <c r="I1749">
        <v>1385.5484618999999</v>
      </c>
      <c r="J1749">
        <v>1368.6645507999999</v>
      </c>
      <c r="K1749">
        <v>0</v>
      </c>
      <c r="L1749">
        <v>2050</v>
      </c>
      <c r="M1749">
        <v>2050</v>
      </c>
      <c r="N1749">
        <v>0</v>
      </c>
    </row>
    <row r="1750" spans="1:14" x14ac:dyDescent="0.25">
      <c r="A1750">
        <v>1303.8459909999999</v>
      </c>
      <c r="B1750" s="1">
        <f>DATE(2013,11,24) + TIME(20,18,13)</f>
        <v>41602.845983796295</v>
      </c>
      <c r="C1750">
        <v>80</v>
      </c>
      <c r="D1750">
        <v>75.714607239000003</v>
      </c>
      <c r="E1750">
        <v>50</v>
      </c>
      <c r="F1750">
        <v>49.970993042000003</v>
      </c>
      <c r="G1750">
        <v>1306.0299072</v>
      </c>
      <c r="H1750">
        <v>1295.2712402</v>
      </c>
      <c r="I1750">
        <v>1385.5129394999999</v>
      </c>
      <c r="J1750">
        <v>1368.6358643000001</v>
      </c>
      <c r="K1750">
        <v>0</v>
      </c>
      <c r="L1750">
        <v>2050</v>
      </c>
      <c r="M1750">
        <v>2050</v>
      </c>
      <c r="N1750">
        <v>0</v>
      </c>
    </row>
    <row r="1751" spans="1:14" x14ac:dyDescent="0.25">
      <c r="A1751">
        <v>1306.128584</v>
      </c>
      <c r="B1751" s="1">
        <f>DATE(2013,11,27) + TIME(3,5,9)</f>
        <v>41605.128576388888</v>
      </c>
      <c r="C1751">
        <v>80</v>
      </c>
      <c r="D1751">
        <v>75.576065063000001</v>
      </c>
      <c r="E1751">
        <v>50</v>
      </c>
      <c r="F1751">
        <v>49.971027374000002</v>
      </c>
      <c r="G1751">
        <v>1305.9359131000001</v>
      </c>
      <c r="H1751">
        <v>1295.1551514</v>
      </c>
      <c r="I1751">
        <v>1385.4780272999999</v>
      </c>
      <c r="J1751">
        <v>1368.6077881000001</v>
      </c>
      <c r="K1751">
        <v>0</v>
      </c>
      <c r="L1751">
        <v>2050</v>
      </c>
      <c r="M1751">
        <v>2050</v>
      </c>
      <c r="N1751">
        <v>0</v>
      </c>
    </row>
    <row r="1752" spans="1:14" x14ac:dyDescent="0.25">
      <c r="A1752">
        <v>1308.446359</v>
      </c>
      <c r="B1752" s="1">
        <f>DATE(2013,11,29) + TIME(10,42,45)</f>
        <v>41607.44635416667</v>
      </c>
      <c r="C1752">
        <v>80</v>
      </c>
      <c r="D1752">
        <v>75.437423706000004</v>
      </c>
      <c r="E1752">
        <v>50</v>
      </c>
      <c r="F1752">
        <v>49.971065521</v>
      </c>
      <c r="G1752">
        <v>1305.8382568</v>
      </c>
      <c r="H1752">
        <v>1295.0338135</v>
      </c>
      <c r="I1752">
        <v>1385.4440918</v>
      </c>
      <c r="J1752">
        <v>1368.5802002</v>
      </c>
      <c r="K1752">
        <v>0</v>
      </c>
      <c r="L1752">
        <v>2050</v>
      </c>
      <c r="M1752">
        <v>2050</v>
      </c>
      <c r="N1752">
        <v>0</v>
      </c>
    </row>
    <row r="1753" spans="1:14" x14ac:dyDescent="0.25">
      <c r="A1753">
        <v>1310</v>
      </c>
      <c r="B1753" s="1">
        <f>DATE(2013,12,1) + TIME(0,0,0)</f>
        <v>41609</v>
      </c>
      <c r="C1753">
        <v>80</v>
      </c>
      <c r="D1753">
        <v>75.317199707</v>
      </c>
      <c r="E1753">
        <v>50</v>
      </c>
      <c r="F1753">
        <v>49.971084595000001</v>
      </c>
      <c r="G1753">
        <v>1305.7369385</v>
      </c>
      <c r="H1753">
        <v>1294.9095459</v>
      </c>
      <c r="I1753">
        <v>1385.4104004000001</v>
      </c>
      <c r="J1753">
        <v>1368.5529785000001</v>
      </c>
      <c r="K1753">
        <v>0</v>
      </c>
      <c r="L1753">
        <v>2050</v>
      </c>
      <c r="M1753">
        <v>2050</v>
      </c>
      <c r="N1753">
        <v>0</v>
      </c>
    </row>
    <row r="1754" spans="1:14" x14ac:dyDescent="0.25">
      <c r="A1754">
        <v>1312.3582510000001</v>
      </c>
      <c r="B1754" s="1">
        <f>DATE(2013,12,3) + TIME(8,35,52)</f>
        <v>41611.358240740738</v>
      </c>
      <c r="C1754">
        <v>80</v>
      </c>
      <c r="D1754">
        <v>75.198348999000004</v>
      </c>
      <c r="E1754">
        <v>50</v>
      </c>
      <c r="F1754">
        <v>49.971126556000002</v>
      </c>
      <c r="G1754">
        <v>1305.6649170000001</v>
      </c>
      <c r="H1754">
        <v>1294.8150635</v>
      </c>
      <c r="I1754">
        <v>1385.3890381000001</v>
      </c>
      <c r="J1754">
        <v>1368.5357666</v>
      </c>
      <c r="K1754">
        <v>0</v>
      </c>
      <c r="L1754">
        <v>2050</v>
      </c>
      <c r="M1754">
        <v>2050</v>
      </c>
      <c r="N1754">
        <v>0</v>
      </c>
    </row>
    <row r="1755" spans="1:14" x14ac:dyDescent="0.25">
      <c r="A1755">
        <v>1314.7953219999999</v>
      </c>
      <c r="B1755" s="1">
        <f>DATE(2013,12,5) + TIME(19,5,15)</f>
        <v>41613.795312499999</v>
      </c>
      <c r="C1755">
        <v>80</v>
      </c>
      <c r="D1755">
        <v>75.065162658999995</v>
      </c>
      <c r="E1755">
        <v>50</v>
      </c>
      <c r="F1755">
        <v>49.971164702999999</v>
      </c>
      <c r="G1755">
        <v>1305.5583495999999</v>
      </c>
      <c r="H1755">
        <v>1294.6816406</v>
      </c>
      <c r="I1755">
        <v>1385.3569336</v>
      </c>
      <c r="J1755">
        <v>1368.5097656</v>
      </c>
      <c r="K1755">
        <v>0</v>
      </c>
      <c r="L1755">
        <v>2050</v>
      </c>
      <c r="M1755">
        <v>2050</v>
      </c>
      <c r="N1755">
        <v>0</v>
      </c>
    </row>
    <row r="1756" spans="1:14" x14ac:dyDescent="0.25">
      <c r="A1756">
        <v>1317.2565569999999</v>
      </c>
      <c r="B1756" s="1">
        <f>DATE(2013,12,8) + TIME(6,9,26)</f>
        <v>41616.256550925929</v>
      </c>
      <c r="C1756">
        <v>80</v>
      </c>
      <c r="D1756">
        <v>74.926513671999999</v>
      </c>
      <c r="E1756">
        <v>50</v>
      </c>
      <c r="F1756">
        <v>49.971202849999997</v>
      </c>
      <c r="G1756">
        <v>1305.4444579999999</v>
      </c>
      <c r="H1756">
        <v>1294.5378418</v>
      </c>
      <c r="I1756">
        <v>1385.3248291</v>
      </c>
      <c r="J1756">
        <v>1368.4837646000001</v>
      </c>
      <c r="K1756">
        <v>0</v>
      </c>
      <c r="L1756">
        <v>2050</v>
      </c>
      <c r="M1756">
        <v>2050</v>
      </c>
      <c r="N1756">
        <v>0</v>
      </c>
    </row>
    <row r="1757" spans="1:14" x14ac:dyDescent="0.25">
      <c r="A1757">
        <v>1319.7492139999999</v>
      </c>
      <c r="B1757" s="1">
        <f>DATE(2013,12,10) + TIME(17,58,52)</f>
        <v>41618.749212962961</v>
      </c>
      <c r="C1757">
        <v>80</v>
      </c>
      <c r="D1757">
        <v>74.786254882999998</v>
      </c>
      <c r="E1757">
        <v>50</v>
      </c>
      <c r="F1757">
        <v>49.971240997000002</v>
      </c>
      <c r="G1757">
        <v>1305.3261719</v>
      </c>
      <c r="H1757">
        <v>1294.387207</v>
      </c>
      <c r="I1757">
        <v>1385.293457</v>
      </c>
      <c r="J1757">
        <v>1368.458374</v>
      </c>
      <c r="K1757">
        <v>0</v>
      </c>
      <c r="L1757">
        <v>2050</v>
      </c>
      <c r="M1757">
        <v>2050</v>
      </c>
      <c r="N1757">
        <v>0</v>
      </c>
    </row>
    <row r="1758" spans="1:14" x14ac:dyDescent="0.25">
      <c r="A1758">
        <v>1322.2789660000001</v>
      </c>
      <c r="B1758" s="1">
        <f>DATE(2013,12,13) + TIME(6,41,42)</f>
        <v>41621.278958333336</v>
      </c>
      <c r="C1758">
        <v>80</v>
      </c>
      <c r="D1758">
        <v>74.645248413000004</v>
      </c>
      <c r="E1758">
        <v>50</v>
      </c>
      <c r="F1758">
        <v>49.971282959</v>
      </c>
      <c r="G1758">
        <v>1305.2032471</v>
      </c>
      <c r="H1758">
        <v>1294.2298584</v>
      </c>
      <c r="I1758">
        <v>1385.2626952999999</v>
      </c>
      <c r="J1758">
        <v>1368.4333495999999</v>
      </c>
      <c r="K1758">
        <v>0</v>
      </c>
      <c r="L1758">
        <v>2050</v>
      </c>
      <c r="M1758">
        <v>2050</v>
      </c>
      <c r="N1758">
        <v>0</v>
      </c>
    </row>
    <row r="1759" spans="1:14" x14ac:dyDescent="0.25">
      <c r="A1759">
        <v>1324.849704</v>
      </c>
      <c r="B1759" s="1">
        <f>DATE(2013,12,15) + TIME(20,23,34)</f>
        <v>41623.849699074075</v>
      </c>
      <c r="C1759">
        <v>80</v>
      </c>
      <c r="D1759">
        <v>74.503463745000005</v>
      </c>
      <c r="E1759">
        <v>50</v>
      </c>
      <c r="F1759">
        <v>49.971324920999997</v>
      </c>
      <c r="G1759">
        <v>1305.0754394999999</v>
      </c>
      <c r="H1759">
        <v>1294.0651855000001</v>
      </c>
      <c r="I1759">
        <v>1385.2322998</v>
      </c>
      <c r="J1759">
        <v>1368.4086914</v>
      </c>
      <c r="K1759">
        <v>0</v>
      </c>
      <c r="L1759">
        <v>2050</v>
      </c>
      <c r="M1759">
        <v>2050</v>
      </c>
      <c r="N1759">
        <v>0</v>
      </c>
    </row>
    <row r="1760" spans="1:14" x14ac:dyDescent="0.25">
      <c r="A1760">
        <v>1327.446522</v>
      </c>
      <c r="B1760" s="1">
        <f>DATE(2013,12,18) + TIME(10,42,59)</f>
        <v>41626.446516203701</v>
      </c>
      <c r="C1760">
        <v>80</v>
      </c>
      <c r="D1760">
        <v>74.360946655000006</v>
      </c>
      <c r="E1760">
        <v>50</v>
      </c>
      <c r="F1760">
        <v>49.971363068000002</v>
      </c>
      <c r="G1760">
        <v>1304.9422606999999</v>
      </c>
      <c r="H1760">
        <v>1293.8930664</v>
      </c>
      <c r="I1760">
        <v>1385.2023925999999</v>
      </c>
      <c r="J1760">
        <v>1368.3843993999999</v>
      </c>
      <c r="K1760">
        <v>0</v>
      </c>
      <c r="L1760">
        <v>2050</v>
      </c>
      <c r="M1760">
        <v>2050</v>
      </c>
      <c r="N1760">
        <v>0</v>
      </c>
    </row>
    <row r="1761" spans="1:14" x14ac:dyDescent="0.25">
      <c r="A1761">
        <v>1330.0765160000001</v>
      </c>
      <c r="B1761" s="1">
        <f>DATE(2013,12,21) + TIME(1,50,10)</f>
        <v>41629.076504629629</v>
      </c>
      <c r="C1761">
        <v>80</v>
      </c>
      <c r="D1761">
        <v>74.217864989999995</v>
      </c>
      <c r="E1761">
        <v>50</v>
      </c>
      <c r="F1761">
        <v>49.971405029000003</v>
      </c>
      <c r="G1761">
        <v>1304.8043213000001</v>
      </c>
      <c r="H1761">
        <v>1293.7138672000001</v>
      </c>
      <c r="I1761">
        <v>1385.1730957</v>
      </c>
      <c r="J1761">
        <v>1368.3604736</v>
      </c>
      <c r="K1761">
        <v>0</v>
      </c>
      <c r="L1761">
        <v>2050</v>
      </c>
      <c r="M1761">
        <v>2050</v>
      </c>
      <c r="N1761">
        <v>0</v>
      </c>
    </row>
    <row r="1762" spans="1:14" x14ac:dyDescent="0.25">
      <c r="A1762">
        <v>1332.745435</v>
      </c>
      <c r="B1762" s="1">
        <f>DATE(2013,12,23) + TIME(17,53,25)</f>
        <v>41631.745428240742</v>
      </c>
      <c r="C1762">
        <v>80</v>
      </c>
      <c r="D1762">
        <v>74.073898314999994</v>
      </c>
      <c r="E1762">
        <v>50</v>
      </c>
      <c r="F1762">
        <v>49.971446991000001</v>
      </c>
      <c r="G1762">
        <v>1304.6612548999999</v>
      </c>
      <c r="H1762">
        <v>1293.5270995999999</v>
      </c>
      <c r="I1762">
        <v>1385.1441649999999</v>
      </c>
      <c r="J1762">
        <v>1368.3369141000001</v>
      </c>
      <c r="K1762">
        <v>0</v>
      </c>
      <c r="L1762">
        <v>2050</v>
      </c>
      <c r="M1762">
        <v>2050</v>
      </c>
      <c r="N1762">
        <v>0</v>
      </c>
    </row>
    <row r="1763" spans="1:14" x14ac:dyDescent="0.25">
      <c r="A1763">
        <v>1335.458975</v>
      </c>
      <c r="B1763" s="1">
        <f>DATE(2013,12,26) + TIME(11,0,55)</f>
        <v>41634.458969907406</v>
      </c>
      <c r="C1763">
        <v>80</v>
      </c>
      <c r="D1763">
        <v>73.928634643999999</v>
      </c>
      <c r="E1763">
        <v>50</v>
      </c>
      <c r="F1763">
        <v>49.971492767000001</v>
      </c>
      <c r="G1763">
        <v>1304.5126952999999</v>
      </c>
      <c r="H1763">
        <v>1293.3323975000001</v>
      </c>
      <c r="I1763">
        <v>1385.1156006000001</v>
      </c>
      <c r="J1763">
        <v>1368.3135986</v>
      </c>
      <c r="K1763">
        <v>0</v>
      </c>
      <c r="L1763">
        <v>2050</v>
      </c>
      <c r="M1763">
        <v>2050</v>
      </c>
      <c r="N1763">
        <v>0</v>
      </c>
    </row>
    <row r="1764" spans="1:14" x14ac:dyDescent="0.25">
      <c r="A1764">
        <v>1338.222814</v>
      </c>
      <c r="B1764" s="1">
        <f>DATE(2013,12,29) + TIME(5,20,51)</f>
        <v>41637.222812499997</v>
      </c>
      <c r="C1764">
        <v>80</v>
      </c>
      <c r="D1764">
        <v>73.781600952000005</v>
      </c>
      <c r="E1764">
        <v>50</v>
      </c>
      <c r="F1764">
        <v>49.971534728999998</v>
      </c>
      <c r="G1764">
        <v>1304.3581543</v>
      </c>
      <c r="H1764">
        <v>1293.1289062000001</v>
      </c>
      <c r="I1764">
        <v>1385.0874022999999</v>
      </c>
      <c r="J1764">
        <v>1368.2905272999999</v>
      </c>
      <c r="K1764">
        <v>0</v>
      </c>
      <c r="L1764">
        <v>2050</v>
      </c>
      <c r="M1764">
        <v>2050</v>
      </c>
      <c r="N1764">
        <v>0</v>
      </c>
    </row>
    <row r="1765" spans="1:14" x14ac:dyDescent="0.25">
      <c r="A1765">
        <v>1341</v>
      </c>
      <c r="B1765" s="1">
        <f>DATE(2014,1,1) + TIME(0,0,0)</f>
        <v>41640</v>
      </c>
      <c r="C1765">
        <v>80</v>
      </c>
      <c r="D1765">
        <v>73.632904053000004</v>
      </c>
      <c r="E1765">
        <v>50</v>
      </c>
      <c r="F1765">
        <v>49.971576691000003</v>
      </c>
      <c r="G1765">
        <v>1304.1972656</v>
      </c>
      <c r="H1765">
        <v>1292.9162598</v>
      </c>
      <c r="I1765">
        <v>1385.0593262</v>
      </c>
      <c r="J1765">
        <v>1368.2677002</v>
      </c>
      <c r="K1765">
        <v>0</v>
      </c>
      <c r="L1765">
        <v>2050</v>
      </c>
      <c r="M1765">
        <v>2050</v>
      </c>
      <c r="N1765">
        <v>0</v>
      </c>
    </row>
    <row r="1766" spans="1:14" x14ac:dyDescent="0.25">
      <c r="A1766">
        <v>1343.809002</v>
      </c>
      <c r="B1766" s="1">
        <f>DATE(2014,1,3) + TIME(19,24,57)</f>
        <v>41642.808993055558</v>
      </c>
      <c r="C1766">
        <v>80</v>
      </c>
      <c r="D1766">
        <v>73.483078003000003</v>
      </c>
      <c r="E1766">
        <v>50</v>
      </c>
      <c r="F1766">
        <v>49.971622467000003</v>
      </c>
      <c r="G1766">
        <v>1304.0316161999999</v>
      </c>
      <c r="H1766">
        <v>1292.6964111</v>
      </c>
      <c r="I1766">
        <v>1385.0318603999999</v>
      </c>
      <c r="J1766">
        <v>1368.2451172000001</v>
      </c>
      <c r="K1766">
        <v>0</v>
      </c>
      <c r="L1766">
        <v>2050</v>
      </c>
      <c r="M1766">
        <v>2050</v>
      </c>
      <c r="N1766">
        <v>0</v>
      </c>
    </row>
    <row r="1767" spans="1:14" x14ac:dyDescent="0.25">
      <c r="A1767">
        <v>1346.6914389999999</v>
      </c>
      <c r="B1767" s="1">
        <f>DATE(2014,1,6) + TIME(16,35,40)</f>
        <v>41645.691435185188</v>
      </c>
      <c r="C1767">
        <v>80</v>
      </c>
      <c r="D1767">
        <v>73.331047057999996</v>
      </c>
      <c r="E1767">
        <v>50</v>
      </c>
      <c r="F1767">
        <v>49.971668243000003</v>
      </c>
      <c r="G1767">
        <v>1303.8604736</v>
      </c>
      <c r="H1767">
        <v>1292.4682617000001</v>
      </c>
      <c r="I1767">
        <v>1385.0048827999999</v>
      </c>
      <c r="J1767">
        <v>1368.2229004000001</v>
      </c>
      <c r="K1767">
        <v>0</v>
      </c>
      <c r="L1767">
        <v>2050</v>
      </c>
      <c r="M1767">
        <v>2050</v>
      </c>
      <c r="N1767">
        <v>0</v>
      </c>
    </row>
    <row r="1768" spans="1:14" x14ac:dyDescent="0.25">
      <c r="A1768">
        <v>1349.60662</v>
      </c>
      <c r="B1768" s="1">
        <f>DATE(2014,1,9) + TIME(14,33,31)</f>
        <v>41648.606608796297</v>
      </c>
      <c r="C1768">
        <v>80</v>
      </c>
      <c r="D1768">
        <v>73.175804138000004</v>
      </c>
      <c r="E1768">
        <v>50</v>
      </c>
      <c r="F1768">
        <v>49.97171402</v>
      </c>
      <c r="G1768">
        <v>1303.6815185999999</v>
      </c>
      <c r="H1768">
        <v>1292.2290039</v>
      </c>
      <c r="I1768">
        <v>1384.9776611</v>
      </c>
      <c r="J1768">
        <v>1368.2005615</v>
      </c>
      <c r="K1768">
        <v>0</v>
      </c>
      <c r="L1768">
        <v>2050</v>
      </c>
      <c r="M1768">
        <v>2050</v>
      </c>
      <c r="N1768">
        <v>0</v>
      </c>
    </row>
    <row r="1769" spans="1:14" x14ac:dyDescent="0.25">
      <c r="A1769">
        <v>1352.5593650000001</v>
      </c>
      <c r="B1769" s="1">
        <f>DATE(2014,1,12) + TIME(13,25,29)</f>
        <v>41651.559363425928</v>
      </c>
      <c r="C1769">
        <v>80</v>
      </c>
      <c r="D1769">
        <v>73.017852782999995</v>
      </c>
      <c r="E1769">
        <v>50</v>
      </c>
      <c r="F1769">
        <v>49.971759796000001</v>
      </c>
      <c r="G1769">
        <v>1303.4964600000001</v>
      </c>
      <c r="H1769">
        <v>1291.9805908000001</v>
      </c>
      <c r="I1769">
        <v>1384.9508057</v>
      </c>
      <c r="J1769">
        <v>1368.1785889</v>
      </c>
      <c r="K1769">
        <v>0</v>
      </c>
      <c r="L1769">
        <v>2050</v>
      </c>
      <c r="M1769">
        <v>2050</v>
      </c>
      <c r="N1769">
        <v>0</v>
      </c>
    </row>
    <row r="1770" spans="1:14" x14ac:dyDescent="0.25">
      <c r="A1770">
        <v>1355.5562649999999</v>
      </c>
      <c r="B1770" s="1">
        <f>DATE(2014,1,15) + TIME(13,21,1)</f>
        <v>41654.556261574071</v>
      </c>
      <c r="C1770">
        <v>80</v>
      </c>
      <c r="D1770">
        <v>72.856887817</v>
      </c>
      <c r="E1770">
        <v>50</v>
      </c>
      <c r="F1770">
        <v>49.971805572999997</v>
      </c>
      <c r="G1770">
        <v>1303.3052978999999</v>
      </c>
      <c r="H1770">
        <v>1291.7229004000001</v>
      </c>
      <c r="I1770">
        <v>1384.9243164</v>
      </c>
      <c r="J1770">
        <v>1368.1566161999999</v>
      </c>
      <c r="K1770">
        <v>0</v>
      </c>
      <c r="L1770">
        <v>2050</v>
      </c>
      <c r="M1770">
        <v>2050</v>
      </c>
      <c r="N1770">
        <v>0</v>
      </c>
    </row>
    <row r="1771" spans="1:14" x14ac:dyDescent="0.25">
      <c r="A1771">
        <v>1358.6038329999999</v>
      </c>
      <c r="B1771" s="1">
        <f>DATE(2014,1,18) + TIME(14,29,31)</f>
        <v>41657.603831018518</v>
      </c>
      <c r="C1771">
        <v>80</v>
      </c>
      <c r="D1771">
        <v>72.692276000999996</v>
      </c>
      <c r="E1771">
        <v>50</v>
      </c>
      <c r="F1771">
        <v>49.971855163999997</v>
      </c>
      <c r="G1771">
        <v>1303.1074219</v>
      </c>
      <c r="H1771">
        <v>1291.4553223</v>
      </c>
      <c r="I1771">
        <v>1384.8979492000001</v>
      </c>
      <c r="J1771">
        <v>1368.1348877</v>
      </c>
      <c r="K1771">
        <v>0</v>
      </c>
      <c r="L1771">
        <v>2050</v>
      </c>
      <c r="M1771">
        <v>2050</v>
      </c>
      <c r="N1771">
        <v>0</v>
      </c>
    </row>
    <row r="1772" spans="1:14" x14ac:dyDescent="0.25">
      <c r="A1772">
        <v>1361.708637</v>
      </c>
      <c r="B1772" s="1">
        <f>DATE(2014,1,21) + TIME(17,0,26)</f>
        <v>41660.708634259259</v>
      </c>
      <c r="C1772">
        <v>80</v>
      </c>
      <c r="D1772">
        <v>72.523315429999997</v>
      </c>
      <c r="E1772">
        <v>50</v>
      </c>
      <c r="F1772">
        <v>49.971900939999998</v>
      </c>
      <c r="G1772">
        <v>1302.9023437999999</v>
      </c>
      <c r="H1772">
        <v>1291.1772461</v>
      </c>
      <c r="I1772">
        <v>1384.871582</v>
      </c>
      <c r="J1772">
        <v>1368.1131591999999</v>
      </c>
      <c r="K1772">
        <v>0</v>
      </c>
      <c r="L1772">
        <v>2050</v>
      </c>
      <c r="M1772">
        <v>2050</v>
      </c>
      <c r="N1772">
        <v>0</v>
      </c>
    </row>
    <row r="1773" spans="1:14" x14ac:dyDescent="0.25">
      <c r="A1773">
        <v>1364.8578210000001</v>
      </c>
      <c r="B1773" s="1">
        <f>DATE(2014,1,24) + TIME(20,35,15)</f>
        <v>41663.857812499999</v>
      </c>
      <c r="C1773">
        <v>80</v>
      </c>
      <c r="D1773">
        <v>72.349464416999993</v>
      </c>
      <c r="E1773">
        <v>50</v>
      </c>
      <c r="F1773">
        <v>49.971950530999997</v>
      </c>
      <c r="G1773">
        <v>1302.6896973</v>
      </c>
      <c r="H1773">
        <v>1290.8879394999999</v>
      </c>
      <c r="I1773">
        <v>1384.8454589999999</v>
      </c>
      <c r="J1773">
        <v>1368.0914307</v>
      </c>
      <c r="K1773">
        <v>0</v>
      </c>
      <c r="L1773">
        <v>2050</v>
      </c>
      <c r="M1773">
        <v>2050</v>
      </c>
      <c r="N1773">
        <v>0</v>
      </c>
    </row>
    <row r="1774" spans="1:14" x14ac:dyDescent="0.25">
      <c r="A1774">
        <v>1368.0444480000001</v>
      </c>
      <c r="B1774" s="1">
        <f>DATE(2014,1,28) + TIME(1,4,0)</f>
        <v>41667.044444444444</v>
      </c>
      <c r="C1774">
        <v>80</v>
      </c>
      <c r="D1774">
        <v>72.170715332</v>
      </c>
      <c r="E1774">
        <v>50</v>
      </c>
      <c r="F1774">
        <v>49.972000121999997</v>
      </c>
      <c r="G1774">
        <v>1302.4702147999999</v>
      </c>
      <c r="H1774">
        <v>1290.5880127</v>
      </c>
      <c r="I1774">
        <v>1384.8193358999999</v>
      </c>
      <c r="J1774">
        <v>1368.0698242000001</v>
      </c>
      <c r="K1774">
        <v>0</v>
      </c>
      <c r="L1774">
        <v>2050</v>
      </c>
      <c r="M1774">
        <v>2050</v>
      </c>
      <c r="N1774">
        <v>0</v>
      </c>
    </row>
    <row r="1775" spans="1:14" x14ac:dyDescent="0.25">
      <c r="A1775">
        <v>1371.2757879999999</v>
      </c>
      <c r="B1775" s="1">
        <f>DATE(2014,1,31) + TIME(6,37,8)</f>
        <v>41670.275787037041</v>
      </c>
      <c r="C1775">
        <v>80</v>
      </c>
      <c r="D1775">
        <v>71.986808776999993</v>
      </c>
      <c r="E1775">
        <v>50</v>
      </c>
      <c r="F1775">
        <v>49.972049712999997</v>
      </c>
      <c r="G1775">
        <v>1302.2441406</v>
      </c>
      <c r="H1775">
        <v>1290.2781981999999</v>
      </c>
      <c r="I1775">
        <v>1384.7933350000001</v>
      </c>
      <c r="J1775">
        <v>1368.0483397999999</v>
      </c>
      <c r="K1775">
        <v>0</v>
      </c>
      <c r="L1775">
        <v>2050</v>
      </c>
      <c r="M1775">
        <v>2050</v>
      </c>
      <c r="N1775">
        <v>0</v>
      </c>
    </row>
    <row r="1776" spans="1:14" x14ac:dyDescent="0.25">
      <c r="A1776">
        <v>1372</v>
      </c>
      <c r="B1776" s="1">
        <f>DATE(2014,2,1) + TIME(0,0,0)</f>
        <v>41671</v>
      </c>
      <c r="C1776">
        <v>80</v>
      </c>
      <c r="D1776">
        <v>71.881080627000003</v>
      </c>
      <c r="E1776">
        <v>50</v>
      </c>
      <c r="F1776">
        <v>49.972057343000003</v>
      </c>
      <c r="G1776">
        <v>1302.0255127</v>
      </c>
      <c r="H1776">
        <v>1289.9951172000001</v>
      </c>
      <c r="I1776">
        <v>1384.7667236</v>
      </c>
      <c r="J1776">
        <v>1368.026001</v>
      </c>
      <c r="K1776">
        <v>0</v>
      </c>
      <c r="L1776">
        <v>2050</v>
      </c>
      <c r="M1776">
        <v>2050</v>
      </c>
      <c r="N1776">
        <v>0</v>
      </c>
    </row>
    <row r="1777" spans="1:14" x14ac:dyDescent="0.25">
      <c r="A1777">
        <v>1375.283156</v>
      </c>
      <c r="B1777" s="1">
        <f>DATE(2014,2,4) + TIME(6,47,44)</f>
        <v>41674.283148148148</v>
      </c>
      <c r="C1777">
        <v>80</v>
      </c>
      <c r="D1777">
        <v>71.739311217999997</v>
      </c>
      <c r="E1777">
        <v>50</v>
      </c>
      <c r="F1777">
        <v>49.972110747999999</v>
      </c>
      <c r="G1777">
        <v>1301.9459228999999</v>
      </c>
      <c r="H1777">
        <v>1289.8624268000001</v>
      </c>
      <c r="I1777">
        <v>1384.7618408000001</v>
      </c>
      <c r="J1777">
        <v>1368.0220947</v>
      </c>
      <c r="K1777">
        <v>0</v>
      </c>
      <c r="L1777">
        <v>2050</v>
      </c>
      <c r="M1777">
        <v>2050</v>
      </c>
      <c r="N1777">
        <v>0</v>
      </c>
    </row>
    <row r="1778" spans="1:14" x14ac:dyDescent="0.25">
      <c r="A1778">
        <v>1378.6410410000001</v>
      </c>
      <c r="B1778" s="1">
        <f>DATE(2014,2,7) + TIME(15,23,5)</f>
        <v>41677.641030092593</v>
      </c>
      <c r="C1778">
        <v>80</v>
      </c>
      <c r="D1778">
        <v>71.552574157999999</v>
      </c>
      <c r="E1778">
        <v>50</v>
      </c>
      <c r="F1778">
        <v>49.972160338999998</v>
      </c>
      <c r="G1778">
        <v>1301.7142334</v>
      </c>
      <c r="H1778">
        <v>1289.5469971</v>
      </c>
      <c r="I1778">
        <v>1384.7362060999999</v>
      </c>
      <c r="J1778">
        <v>1368.0006103999999</v>
      </c>
      <c r="K1778">
        <v>0</v>
      </c>
      <c r="L1778">
        <v>2050</v>
      </c>
      <c r="M1778">
        <v>2050</v>
      </c>
      <c r="N1778">
        <v>0</v>
      </c>
    </row>
    <row r="1779" spans="1:14" x14ac:dyDescent="0.25">
      <c r="A1779">
        <v>1382.043993</v>
      </c>
      <c r="B1779" s="1">
        <f>DATE(2014,2,11) + TIME(1,3,21)</f>
        <v>41681.043993055559</v>
      </c>
      <c r="C1779">
        <v>80</v>
      </c>
      <c r="D1779">
        <v>71.348922728999995</v>
      </c>
      <c r="E1779">
        <v>50</v>
      </c>
      <c r="F1779">
        <v>49.972209929999998</v>
      </c>
      <c r="G1779">
        <v>1301.4663086</v>
      </c>
      <c r="H1779">
        <v>1289.2049560999999</v>
      </c>
      <c r="I1779">
        <v>1384.7102050999999</v>
      </c>
      <c r="J1779">
        <v>1367.9790039</v>
      </c>
      <c r="K1779">
        <v>0</v>
      </c>
      <c r="L1779">
        <v>2050</v>
      </c>
      <c r="M1779">
        <v>2050</v>
      </c>
      <c r="N1779">
        <v>0</v>
      </c>
    </row>
    <row r="1780" spans="1:14" x14ac:dyDescent="0.25">
      <c r="A1780">
        <v>1385.4825020000001</v>
      </c>
      <c r="B1780" s="1">
        <f>DATE(2014,2,14) + TIME(11,34,48)</f>
        <v>41684.482499999998</v>
      </c>
      <c r="C1780">
        <v>80</v>
      </c>
      <c r="D1780">
        <v>71.135467528999996</v>
      </c>
      <c r="E1780">
        <v>50</v>
      </c>
      <c r="F1780">
        <v>49.972263335999997</v>
      </c>
      <c r="G1780">
        <v>1301.2097168</v>
      </c>
      <c r="H1780">
        <v>1288.8488769999999</v>
      </c>
      <c r="I1780">
        <v>1384.6843262</v>
      </c>
      <c r="J1780">
        <v>1367.9572754000001</v>
      </c>
      <c r="K1780">
        <v>0</v>
      </c>
      <c r="L1780">
        <v>2050</v>
      </c>
      <c r="M1780">
        <v>2050</v>
      </c>
      <c r="N1780">
        <v>0</v>
      </c>
    </row>
    <row r="1781" spans="1:14" x14ac:dyDescent="0.25">
      <c r="A1781">
        <v>1388.9647090000001</v>
      </c>
      <c r="B1781" s="1">
        <f>DATE(2014,2,17) + TIME(23,9,10)</f>
        <v>41687.964699074073</v>
      </c>
      <c r="C1781">
        <v>80</v>
      </c>
      <c r="D1781">
        <v>70.913558960000003</v>
      </c>
      <c r="E1781">
        <v>50</v>
      </c>
      <c r="F1781">
        <v>49.972312926999997</v>
      </c>
      <c r="G1781">
        <v>1300.9464111</v>
      </c>
      <c r="H1781">
        <v>1288.4821777</v>
      </c>
      <c r="I1781">
        <v>1384.6585693</v>
      </c>
      <c r="J1781">
        <v>1367.9356689000001</v>
      </c>
      <c r="K1781">
        <v>0</v>
      </c>
      <c r="L1781">
        <v>2050</v>
      </c>
      <c r="M1781">
        <v>2050</v>
      </c>
      <c r="N1781">
        <v>0</v>
      </c>
    </row>
    <row r="1782" spans="1:14" x14ac:dyDescent="0.25">
      <c r="A1782">
        <v>1392.4984979999999</v>
      </c>
      <c r="B1782" s="1">
        <f>DATE(2014,2,21) + TIME(11,57,50)</f>
        <v>41691.498495370368</v>
      </c>
      <c r="C1782">
        <v>80</v>
      </c>
      <c r="D1782">
        <v>70.682617187999995</v>
      </c>
      <c r="E1782">
        <v>50</v>
      </c>
      <c r="F1782">
        <v>49.972366332999997</v>
      </c>
      <c r="G1782">
        <v>1300.6765137</v>
      </c>
      <c r="H1782">
        <v>1288.1049805</v>
      </c>
      <c r="I1782">
        <v>1384.6328125</v>
      </c>
      <c r="J1782">
        <v>1367.9140625</v>
      </c>
      <c r="K1782">
        <v>0</v>
      </c>
      <c r="L1782">
        <v>2050</v>
      </c>
      <c r="M1782">
        <v>2050</v>
      </c>
      <c r="N1782">
        <v>0</v>
      </c>
    </row>
    <row r="1783" spans="1:14" x14ac:dyDescent="0.25">
      <c r="A1783">
        <v>1396.0917469999999</v>
      </c>
      <c r="B1783" s="1">
        <f>DATE(2014,2,25) + TIME(2,12,6)</f>
        <v>41695.091736111113</v>
      </c>
      <c r="C1783">
        <v>80</v>
      </c>
      <c r="D1783">
        <v>70.441619872999993</v>
      </c>
      <c r="E1783">
        <v>50</v>
      </c>
      <c r="F1783">
        <v>49.972419739000003</v>
      </c>
      <c r="G1783">
        <v>1300.3994141000001</v>
      </c>
      <c r="H1783">
        <v>1287.7166748</v>
      </c>
      <c r="I1783">
        <v>1384.6070557</v>
      </c>
      <c r="J1783">
        <v>1367.8923339999999</v>
      </c>
      <c r="K1783">
        <v>0</v>
      </c>
      <c r="L1783">
        <v>2050</v>
      </c>
      <c r="M1783">
        <v>2050</v>
      </c>
      <c r="N1783">
        <v>0</v>
      </c>
    </row>
    <row r="1784" spans="1:14" x14ac:dyDescent="0.25">
      <c r="A1784">
        <v>1399.751254</v>
      </c>
      <c r="B1784" s="1">
        <f>DATE(2014,2,28) + TIME(18,1,48)</f>
        <v>41698.751250000001</v>
      </c>
      <c r="C1784">
        <v>80</v>
      </c>
      <c r="D1784">
        <v>70.189414978000002</v>
      </c>
      <c r="E1784">
        <v>50</v>
      </c>
      <c r="F1784">
        <v>49.972473145000002</v>
      </c>
      <c r="G1784">
        <v>1300.1148682</v>
      </c>
      <c r="H1784">
        <v>1287.3165283000001</v>
      </c>
      <c r="I1784">
        <v>1384.5810547000001</v>
      </c>
      <c r="J1784">
        <v>1367.8703613</v>
      </c>
      <c r="K1784">
        <v>0</v>
      </c>
      <c r="L1784">
        <v>2050</v>
      </c>
      <c r="M1784">
        <v>2050</v>
      </c>
      <c r="N1784">
        <v>0</v>
      </c>
    </row>
    <row r="1785" spans="1:14" x14ac:dyDescent="0.25">
      <c r="A1785">
        <v>1400</v>
      </c>
      <c r="B1785" s="1">
        <f>DATE(2014,3,1) + TIME(0,0,0)</f>
        <v>41699</v>
      </c>
      <c r="C1785">
        <v>80</v>
      </c>
      <c r="D1785">
        <v>70.118919372999997</v>
      </c>
      <c r="E1785">
        <v>50</v>
      </c>
      <c r="F1785">
        <v>49.972473145000002</v>
      </c>
      <c r="G1785">
        <v>1299.8538818</v>
      </c>
      <c r="H1785">
        <v>1286.9906006000001</v>
      </c>
      <c r="I1785">
        <v>1384.5541992000001</v>
      </c>
      <c r="J1785">
        <v>1367.8476562000001</v>
      </c>
      <c r="K1785">
        <v>0</v>
      </c>
      <c r="L1785">
        <v>2050</v>
      </c>
      <c r="M1785">
        <v>2050</v>
      </c>
      <c r="N1785">
        <v>0</v>
      </c>
    </row>
    <row r="1786" spans="1:14" x14ac:dyDescent="0.25">
      <c r="A1786">
        <v>1403.7128729999999</v>
      </c>
      <c r="B1786" s="1">
        <f>DATE(2014,3,4) + TIME(17,6,32)</f>
        <v>41702.712870370371</v>
      </c>
      <c r="C1786">
        <v>80</v>
      </c>
      <c r="D1786">
        <v>69.896293639999996</v>
      </c>
      <c r="E1786">
        <v>50</v>
      </c>
      <c r="F1786">
        <v>49.972530364999997</v>
      </c>
      <c r="G1786">
        <v>1299.7930908000001</v>
      </c>
      <c r="H1786">
        <v>1286.8586425999999</v>
      </c>
      <c r="I1786">
        <v>1384.5529785000001</v>
      </c>
      <c r="J1786">
        <v>1367.8466797000001</v>
      </c>
      <c r="K1786">
        <v>0</v>
      </c>
      <c r="L1786">
        <v>2050</v>
      </c>
      <c r="M1786">
        <v>2050</v>
      </c>
      <c r="N1786">
        <v>0</v>
      </c>
    </row>
    <row r="1787" spans="1:14" x14ac:dyDescent="0.25">
      <c r="A1787">
        <v>1407.4929569999999</v>
      </c>
      <c r="B1787" s="1">
        <f>DATE(2014,3,8) + TIME(11,49,51)</f>
        <v>41706.492951388886</v>
      </c>
      <c r="C1787">
        <v>80</v>
      </c>
      <c r="D1787">
        <v>69.626976013000004</v>
      </c>
      <c r="E1787">
        <v>50</v>
      </c>
      <c r="F1787">
        <v>49.972583770999996</v>
      </c>
      <c r="G1787">
        <v>1299.5006103999999</v>
      </c>
      <c r="H1787">
        <v>1286.4482422000001</v>
      </c>
      <c r="I1787">
        <v>1384.5267334</v>
      </c>
      <c r="J1787">
        <v>1367.8243408000001</v>
      </c>
      <c r="K1787">
        <v>0</v>
      </c>
      <c r="L1787">
        <v>2050</v>
      </c>
      <c r="M1787">
        <v>2050</v>
      </c>
      <c r="N1787">
        <v>0</v>
      </c>
    </row>
    <row r="1788" spans="1:14" x14ac:dyDescent="0.25">
      <c r="A1788">
        <v>1411.343842</v>
      </c>
      <c r="B1788" s="1">
        <f>DATE(2014,3,12) + TIME(8,15,7)</f>
        <v>41710.343831018516</v>
      </c>
      <c r="C1788">
        <v>80</v>
      </c>
      <c r="D1788">
        <v>69.336914062000005</v>
      </c>
      <c r="E1788">
        <v>50</v>
      </c>
      <c r="F1788">
        <v>49.972640990999999</v>
      </c>
      <c r="G1788">
        <v>1299.1944579999999</v>
      </c>
      <c r="H1788">
        <v>1286.0145264</v>
      </c>
      <c r="I1788">
        <v>1384.5001221</v>
      </c>
      <c r="J1788">
        <v>1367.8017577999999</v>
      </c>
      <c r="K1788">
        <v>0</v>
      </c>
      <c r="L1788">
        <v>2050</v>
      </c>
      <c r="M1788">
        <v>2050</v>
      </c>
      <c r="N1788">
        <v>0</v>
      </c>
    </row>
    <row r="1789" spans="1:14" x14ac:dyDescent="0.25">
      <c r="A1789">
        <v>1415.2748549999999</v>
      </c>
      <c r="B1789" s="1">
        <f>DATE(2014,3,16) + TIME(6,35,47)</f>
        <v>41714.27484953704</v>
      </c>
      <c r="C1789">
        <v>80</v>
      </c>
      <c r="D1789">
        <v>69.030220032000003</v>
      </c>
      <c r="E1789">
        <v>50</v>
      </c>
      <c r="F1789">
        <v>49.972694396999998</v>
      </c>
      <c r="G1789">
        <v>1298.8793945</v>
      </c>
      <c r="H1789">
        <v>1285.5660399999999</v>
      </c>
      <c r="I1789">
        <v>1384.4731445</v>
      </c>
      <c r="J1789">
        <v>1367.7788086</v>
      </c>
      <c r="K1789">
        <v>0</v>
      </c>
      <c r="L1789">
        <v>2050</v>
      </c>
      <c r="M1789">
        <v>2050</v>
      </c>
      <c r="N1789">
        <v>0</v>
      </c>
    </row>
    <row r="1790" spans="1:14" x14ac:dyDescent="0.25">
      <c r="A1790">
        <v>1419.2785859999999</v>
      </c>
      <c r="B1790" s="1">
        <f>DATE(2014,3,20) + TIME(6,41,9)</f>
        <v>41718.27857638889</v>
      </c>
      <c r="C1790">
        <v>80</v>
      </c>
      <c r="D1790">
        <v>68.706771850999999</v>
      </c>
      <c r="E1790">
        <v>50</v>
      </c>
      <c r="F1790">
        <v>49.972751617</v>
      </c>
      <c r="G1790">
        <v>1298.5556641000001</v>
      </c>
      <c r="H1790">
        <v>1285.1037598</v>
      </c>
      <c r="I1790">
        <v>1384.4459228999999</v>
      </c>
      <c r="J1790">
        <v>1367.7553711</v>
      </c>
      <c r="K1790">
        <v>0</v>
      </c>
      <c r="L1790">
        <v>2050</v>
      </c>
      <c r="M1790">
        <v>2050</v>
      </c>
      <c r="N1790">
        <v>0</v>
      </c>
    </row>
    <row r="1791" spans="1:14" x14ac:dyDescent="0.25">
      <c r="A1791">
        <v>1423.348448</v>
      </c>
      <c r="B1791" s="1">
        <f>DATE(2014,3,24) + TIME(8,21,45)</f>
        <v>41722.348437499997</v>
      </c>
      <c r="C1791">
        <v>80</v>
      </c>
      <c r="D1791">
        <v>68.366401671999995</v>
      </c>
      <c r="E1791">
        <v>50</v>
      </c>
      <c r="F1791">
        <v>49.972808837999999</v>
      </c>
      <c r="G1791">
        <v>1298.2241211</v>
      </c>
      <c r="H1791">
        <v>1284.6290283000001</v>
      </c>
      <c r="I1791">
        <v>1384.4182129000001</v>
      </c>
      <c r="J1791">
        <v>1367.7316894999999</v>
      </c>
      <c r="K1791">
        <v>0</v>
      </c>
      <c r="L1791">
        <v>2050</v>
      </c>
      <c r="M1791">
        <v>2050</v>
      </c>
      <c r="N1791">
        <v>0</v>
      </c>
    </row>
    <row r="1792" spans="1:14" x14ac:dyDescent="0.25">
      <c r="A1792">
        <v>1427.4949939999999</v>
      </c>
      <c r="B1792" s="1">
        <f>DATE(2014,3,28) + TIME(11,52,47)</f>
        <v>41726.494988425926</v>
      </c>
      <c r="C1792">
        <v>80</v>
      </c>
      <c r="D1792">
        <v>68.008758545000006</v>
      </c>
      <c r="E1792">
        <v>50</v>
      </c>
      <c r="F1792">
        <v>49.972866058000001</v>
      </c>
      <c r="G1792">
        <v>1297.8857422000001</v>
      </c>
      <c r="H1792">
        <v>1284.1425781</v>
      </c>
      <c r="I1792">
        <v>1384.3901367000001</v>
      </c>
      <c r="J1792">
        <v>1367.7075195</v>
      </c>
      <c r="K1792">
        <v>0</v>
      </c>
      <c r="L1792">
        <v>2050</v>
      </c>
      <c r="M1792">
        <v>2050</v>
      </c>
      <c r="N1792">
        <v>0</v>
      </c>
    </row>
    <row r="1793" spans="1:14" x14ac:dyDescent="0.25">
      <c r="A1793">
        <v>1431</v>
      </c>
      <c r="B1793" s="1">
        <f>DATE(2014,4,1) + TIME(0,0,0)</f>
        <v>41730</v>
      </c>
      <c r="C1793">
        <v>80</v>
      </c>
      <c r="D1793">
        <v>67.645568847999996</v>
      </c>
      <c r="E1793">
        <v>50</v>
      </c>
      <c r="F1793">
        <v>49.972915649000001</v>
      </c>
      <c r="G1793">
        <v>1297.5418701000001</v>
      </c>
      <c r="H1793">
        <v>1283.6496582</v>
      </c>
      <c r="I1793">
        <v>1384.3615723</v>
      </c>
      <c r="J1793">
        <v>1367.6828613</v>
      </c>
      <c r="K1793">
        <v>0</v>
      </c>
      <c r="L1793">
        <v>2050</v>
      </c>
      <c r="M1793">
        <v>2050</v>
      </c>
      <c r="N1793">
        <v>0</v>
      </c>
    </row>
    <row r="1794" spans="1:14" x14ac:dyDescent="0.25">
      <c r="A1794">
        <v>1435.2341759999999</v>
      </c>
      <c r="B1794" s="1">
        <f>DATE(2014,4,5) + TIME(5,37,12)</f>
        <v>41734.234166666669</v>
      </c>
      <c r="C1794">
        <v>80</v>
      </c>
      <c r="D1794">
        <v>67.296600342000005</v>
      </c>
      <c r="E1794">
        <v>50</v>
      </c>
      <c r="F1794">
        <v>49.97297287</v>
      </c>
      <c r="G1794">
        <v>1297.2408447</v>
      </c>
      <c r="H1794">
        <v>1283.2077637</v>
      </c>
      <c r="I1794">
        <v>1384.3376464999999</v>
      </c>
      <c r="J1794">
        <v>1367.6622314000001</v>
      </c>
      <c r="K1794">
        <v>0</v>
      </c>
      <c r="L1794">
        <v>2050</v>
      </c>
      <c r="M1794">
        <v>2050</v>
      </c>
      <c r="N1794">
        <v>0</v>
      </c>
    </row>
    <row r="1795" spans="1:14" x14ac:dyDescent="0.25">
      <c r="A1795">
        <v>1439.6600350000001</v>
      </c>
      <c r="B1795" s="1">
        <f>DATE(2014,4,9) + TIME(15,50,27)</f>
        <v>41738.660034722219</v>
      </c>
      <c r="C1795">
        <v>80</v>
      </c>
      <c r="D1795">
        <v>66.895294188999998</v>
      </c>
      <c r="E1795">
        <v>50</v>
      </c>
      <c r="F1795">
        <v>49.973033905000001</v>
      </c>
      <c r="G1795">
        <v>1296.8924560999999</v>
      </c>
      <c r="H1795">
        <v>1282.7043457</v>
      </c>
      <c r="I1795">
        <v>1384.3085937999999</v>
      </c>
      <c r="J1795">
        <v>1367.6370850000001</v>
      </c>
      <c r="K1795">
        <v>0</v>
      </c>
      <c r="L1795">
        <v>2050</v>
      </c>
      <c r="M1795">
        <v>2050</v>
      </c>
      <c r="N1795">
        <v>0</v>
      </c>
    </row>
    <row r="1796" spans="1:14" x14ac:dyDescent="0.25">
      <c r="A1796">
        <v>1444.1798409999999</v>
      </c>
      <c r="B1796" s="1">
        <f>DATE(2014,4,14) + TIME(4,18,58)</f>
        <v>41743.179837962962</v>
      </c>
      <c r="C1796">
        <v>80</v>
      </c>
      <c r="D1796">
        <v>66.460365295000003</v>
      </c>
      <c r="E1796">
        <v>50</v>
      </c>
      <c r="F1796">
        <v>49.973094940000003</v>
      </c>
      <c r="G1796">
        <v>1296.5253906</v>
      </c>
      <c r="H1796">
        <v>1282.1706543</v>
      </c>
      <c r="I1796">
        <v>1384.2783202999999</v>
      </c>
      <c r="J1796">
        <v>1367.6107178</v>
      </c>
      <c r="K1796">
        <v>0</v>
      </c>
      <c r="L1796">
        <v>2050</v>
      </c>
      <c r="M1796">
        <v>2050</v>
      </c>
      <c r="N1796">
        <v>0</v>
      </c>
    </row>
    <row r="1797" spans="1:14" x14ac:dyDescent="0.25">
      <c r="A1797">
        <v>1448.8017890000001</v>
      </c>
      <c r="B1797" s="1">
        <f>DATE(2014,4,18) + TIME(19,14,34)</f>
        <v>41747.801782407405</v>
      </c>
      <c r="C1797">
        <v>80</v>
      </c>
      <c r="D1797">
        <v>66.001388550000001</v>
      </c>
      <c r="E1797">
        <v>50</v>
      </c>
      <c r="F1797">
        <v>49.973155974999997</v>
      </c>
      <c r="G1797">
        <v>1296.1496582</v>
      </c>
      <c r="H1797">
        <v>1281.6217041</v>
      </c>
      <c r="I1797">
        <v>1384.2473144999999</v>
      </c>
      <c r="J1797">
        <v>1367.5837402</v>
      </c>
      <c r="K1797">
        <v>0</v>
      </c>
      <c r="L1797">
        <v>2050</v>
      </c>
      <c r="M1797">
        <v>2050</v>
      </c>
      <c r="N1797">
        <v>0</v>
      </c>
    </row>
    <row r="1798" spans="1:14" x14ac:dyDescent="0.25">
      <c r="A1798">
        <v>1453.541117</v>
      </c>
      <c r="B1798" s="1">
        <f>DATE(2014,4,23) + TIME(12,59,12)</f>
        <v>41752.54111111111</v>
      </c>
      <c r="C1798">
        <v>80</v>
      </c>
      <c r="D1798">
        <v>65.518569946</v>
      </c>
      <c r="E1798">
        <v>50</v>
      </c>
      <c r="F1798">
        <v>49.973220824999999</v>
      </c>
      <c r="G1798">
        <v>1295.7664795000001</v>
      </c>
      <c r="H1798">
        <v>1281.0596923999999</v>
      </c>
      <c r="I1798">
        <v>1384.2155762</v>
      </c>
      <c r="J1798">
        <v>1367.5559082</v>
      </c>
      <c r="K1798">
        <v>0</v>
      </c>
      <c r="L1798">
        <v>2050</v>
      </c>
      <c r="M1798">
        <v>2050</v>
      </c>
      <c r="N1798">
        <v>0</v>
      </c>
    </row>
    <row r="1799" spans="1:14" x14ac:dyDescent="0.25">
      <c r="A1799">
        <v>1458.4147390000001</v>
      </c>
      <c r="B1799" s="1">
        <f>DATE(2014,4,28) + TIME(9,57,13)</f>
        <v>41757.414733796293</v>
      </c>
      <c r="C1799">
        <v>80</v>
      </c>
      <c r="D1799">
        <v>65.010612488000007</v>
      </c>
      <c r="E1799">
        <v>50</v>
      </c>
      <c r="F1799">
        <v>49.973285675</v>
      </c>
      <c r="G1799">
        <v>1295.3757324000001</v>
      </c>
      <c r="H1799">
        <v>1280.484375</v>
      </c>
      <c r="I1799">
        <v>1384.1829834</v>
      </c>
      <c r="J1799">
        <v>1367.5273437999999</v>
      </c>
      <c r="K1799">
        <v>0</v>
      </c>
      <c r="L1799">
        <v>2050</v>
      </c>
      <c r="M1799">
        <v>2050</v>
      </c>
      <c r="N1799">
        <v>0</v>
      </c>
    </row>
    <row r="1800" spans="1:14" x14ac:dyDescent="0.25">
      <c r="A1800">
        <v>1461</v>
      </c>
      <c r="B1800" s="1">
        <f>DATE(2014,5,1) + TIME(0,0,0)</f>
        <v>41760</v>
      </c>
      <c r="C1800">
        <v>80</v>
      </c>
      <c r="D1800">
        <v>64.540504455999994</v>
      </c>
      <c r="E1800">
        <v>50</v>
      </c>
      <c r="F1800">
        <v>49.973316193000002</v>
      </c>
      <c r="G1800">
        <v>1294.9827881000001</v>
      </c>
      <c r="H1800">
        <v>1279.9191894999999</v>
      </c>
      <c r="I1800">
        <v>1384.1490478999999</v>
      </c>
      <c r="J1800">
        <v>1367.4973144999999</v>
      </c>
      <c r="K1800">
        <v>0</v>
      </c>
      <c r="L1800">
        <v>2050</v>
      </c>
      <c r="M1800">
        <v>2050</v>
      </c>
      <c r="N1800">
        <v>0</v>
      </c>
    </row>
    <row r="1801" spans="1:14" x14ac:dyDescent="0.25">
      <c r="A1801">
        <v>1461.0000010000001</v>
      </c>
      <c r="B1801" s="1">
        <f>DATE(2014,5,1) + TIME(0,0,0)</f>
        <v>41760</v>
      </c>
      <c r="C1801">
        <v>80</v>
      </c>
      <c r="D1801">
        <v>64.540664672999995</v>
      </c>
      <c r="E1801">
        <v>50</v>
      </c>
      <c r="F1801">
        <v>49.973201752000001</v>
      </c>
      <c r="G1801">
        <v>1317.776001</v>
      </c>
      <c r="H1801">
        <v>1296.0267334</v>
      </c>
      <c r="I1801">
        <v>1366.6000977000001</v>
      </c>
      <c r="J1801">
        <v>1343.9121094</v>
      </c>
      <c r="K1801">
        <v>2875</v>
      </c>
      <c r="L1801">
        <v>0</v>
      </c>
      <c r="M1801">
        <v>0</v>
      </c>
      <c r="N1801">
        <v>2875</v>
      </c>
    </row>
    <row r="1802" spans="1:14" x14ac:dyDescent="0.25">
      <c r="A1802">
        <v>1461.000004</v>
      </c>
      <c r="B1802" s="1">
        <f>DATE(2014,5,1) + TIME(0,0,0)</f>
        <v>41760</v>
      </c>
      <c r="C1802">
        <v>80</v>
      </c>
      <c r="D1802">
        <v>64.541107178000004</v>
      </c>
      <c r="E1802">
        <v>50</v>
      </c>
      <c r="F1802">
        <v>49.972900391000003</v>
      </c>
      <c r="G1802">
        <v>1320.2053223</v>
      </c>
      <c r="H1802">
        <v>1298.7220459</v>
      </c>
      <c r="I1802">
        <v>1364.2069091999999</v>
      </c>
      <c r="J1802">
        <v>1341.5181885</v>
      </c>
      <c r="K1802">
        <v>2875</v>
      </c>
      <c r="L1802">
        <v>0</v>
      </c>
      <c r="M1802">
        <v>0</v>
      </c>
      <c r="N1802">
        <v>2875</v>
      </c>
    </row>
    <row r="1803" spans="1:14" x14ac:dyDescent="0.25">
      <c r="A1803">
        <v>1461.0000130000001</v>
      </c>
      <c r="B1803" s="1">
        <f>DATE(2014,5,1) + TIME(0,0,1)</f>
        <v>41760.000011574077</v>
      </c>
      <c r="C1803">
        <v>80</v>
      </c>
      <c r="D1803">
        <v>64.542098999000004</v>
      </c>
      <c r="E1803">
        <v>50</v>
      </c>
      <c r="F1803">
        <v>49.972225189</v>
      </c>
      <c r="G1803">
        <v>1325.5329589999999</v>
      </c>
      <c r="H1803">
        <v>1304.4038086</v>
      </c>
      <c r="I1803">
        <v>1358.8383789</v>
      </c>
      <c r="J1803">
        <v>1336.1486815999999</v>
      </c>
      <c r="K1803">
        <v>2875</v>
      </c>
      <c r="L1803">
        <v>0</v>
      </c>
      <c r="M1803">
        <v>0</v>
      </c>
      <c r="N1803">
        <v>2875</v>
      </c>
    </row>
    <row r="1804" spans="1:14" x14ac:dyDescent="0.25">
      <c r="A1804">
        <v>1461.0000399999999</v>
      </c>
      <c r="B1804" s="1">
        <f>DATE(2014,5,1) + TIME(0,0,3)</f>
        <v>41760.000034722223</v>
      </c>
      <c r="C1804">
        <v>80</v>
      </c>
      <c r="D1804">
        <v>64.543968200999998</v>
      </c>
      <c r="E1804">
        <v>50</v>
      </c>
      <c r="F1804">
        <v>49.971092224000003</v>
      </c>
      <c r="G1804">
        <v>1334.1917725000001</v>
      </c>
      <c r="H1804">
        <v>1313.2100829999999</v>
      </c>
      <c r="I1804">
        <v>1349.8659668</v>
      </c>
      <c r="J1804">
        <v>1327.1774902</v>
      </c>
      <c r="K1804">
        <v>2875</v>
      </c>
      <c r="L1804">
        <v>0</v>
      </c>
      <c r="M1804">
        <v>0</v>
      </c>
      <c r="N1804">
        <v>2875</v>
      </c>
    </row>
    <row r="1805" spans="1:14" x14ac:dyDescent="0.25">
      <c r="A1805">
        <v>1461.000121</v>
      </c>
      <c r="B1805" s="1">
        <f>DATE(2014,5,1) + TIME(0,0,10)</f>
        <v>41760.000115740739</v>
      </c>
      <c r="C1805">
        <v>80</v>
      </c>
      <c r="D1805">
        <v>64.547431946000003</v>
      </c>
      <c r="E1805">
        <v>50</v>
      </c>
      <c r="F1805">
        <v>49.969703674000002</v>
      </c>
      <c r="G1805">
        <v>1344.6237793</v>
      </c>
      <c r="H1805">
        <v>1323.5289307</v>
      </c>
      <c r="I1805">
        <v>1338.9128418</v>
      </c>
      <c r="J1805">
        <v>1316.2302245999999</v>
      </c>
      <c r="K1805">
        <v>2875</v>
      </c>
      <c r="L1805">
        <v>0</v>
      </c>
      <c r="M1805">
        <v>0</v>
      </c>
      <c r="N1805">
        <v>2875</v>
      </c>
    </row>
    <row r="1806" spans="1:14" x14ac:dyDescent="0.25">
      <c r="A1806">
        <v>1461.000364</v>
      </c>
      <c r="B1806" s="1">
        <f>DATE(2014,5,1) + TIME(0,0,31)</f>
        <v>41760.000358796293</v>
      </c>
      <c r="C1806">
        <v>80</v>
      </c>
      <c r="D1806">
        <v>64.555145264000004</v>
      </c>
      <c r="E1806">
        <v>50</v>
      </c>
      <c r="F1806">
        <v>49.968250275000003</v>
      </c>
      <c r="G1806">
        <v>1355.4414062000001</v>
      </c>
      <c r="H1806">
        <v>1334.1857910000001</v>
      </c>
      <c r="I1806">
        <v>1327.6364745999999</v>
      </c>
      <c r="J1806">
        <v>1304.9641113</v>
      </c>
      <c r="K1806">
        <v>2875</v>
      </c>
      <c r="L1806">
        <v>0</v>
      </c>
      <c r="M1806">
        <v>0</v>
      </c>
      <c r="N1806">
        <v>2875</v>
      </c>
    </row>
    <row r="1807" spans="1:14" x14ac:dyDescent="0.25">
      <c r="A1807">
        <v>1461.0010930000001</v>
      </c>
      <c r="B1807" s="1">
        <f>DATE(2014,5,1) + TIME(0,1,34)</f>
        <v>41760.001087962963</v>
      </c>
      <c r="C1807">
        <v>80</v>
      </c>
      <c r="D1807">
        <v>64.575607300000001</v>
      </c>
      <c r="E1807">
        <v>50</v>
      </c>
      <c r="F1807">
        <v>49.966735839999998</v>
      </c>
      <c r="G1807">
        <v>1366.5423584</v>
      </c>
      <c r="H1807">
        <v>1345.1062012</v>
      </c>
      <c r="I1807">
        <v>1316.3653564000001</v>
      </c>
      <c r="J1807">
        <v>1293.7036132999999</v>
      </c>
      <c r="K1807">
        <v>2875</v>
      </c>
      <c r="L1807">
        <v>0</v>
      </c>
      <c r="M1807">
        <v>0</v>
      </c>
      <c r="N1807">
        <v>2875</v>
      </c>
    </row>
    <row r="1808" spans="1:14" x14ac:dyDescent="0.25">
      <c r="A1808">
        <v>1461.0032799999999</v>
      </c>
      <c r="B1808" s="1">
        <f>DATE(2014,5,1) + TIME(0,4,43)</f>
        <v>41760.003275462965</v>
      </c>
      <c r="C1808">
        <v>80</v>
      </c>
      <c r="D1808">
        <v>64.634529114000003</v>
      </c>
      <c r="E1808">
        <v>50</v>
      </c>
      <c r="F1808">
        <v>49.965015411000003</v>
      </c>
      <c r="G1808">
        <v>1378.2177733999999</v>
      </c>
      <c r="H1808">
        <v>1356.5668945</v>
      </c>
      <c r="I1808">
        <v>1305</v>
      </c>
      <c r="J1808">
        <v>1282.3151855000001</v>
      </c>
      <c r="K1808">
        <v>2875</v>
      </c>
      <c r="L1808">
        <v>0</v>
      </c>
      <c r="M1808">
        <v>0</v>
      </c>
      <c r="N1808">
        <v>2875</v>
      </c>
    </row>
    <row r="1809" spans="1:14" x14ac:dyDescent="0.25">
      <c r="A1809">
        <v>1461.0098410000001</v>
      </c>
      <c r="B1809" s="1">
        <f>DATE(2014,5,1) + TIME(0,14,10)</f>
        <v>41760.009837962964</v>
      </c>
      <c r="C1809">
        <v>80</v>
      </c>
      <c r="D1809">
        <v>64.808029175000001</v>
      </c>
      <c r="E1809">
        <v>50</v>
      </c>
      <c r="F1809">
        <v>49.962738037000001</v>
      </c>
      <c r="G1809">
        <v>1389.8731689000001</v>
      </c>
      <c r="H1809">
        <v>1368.0529785000001</v>
      </c>
      <c r="I1809">
        <v>1293.8723144999999</v>
      </c>
      <c r="J1809">
        <v>1271.1131591999999</v>
      </c>
      <c r="K1809">
        <v>2875</v>
      </c>
      <c r="L1809">
        <v>0</v>
      </c>
      <c r="M1809">
        <v>0</v>
      </c>
      <c r="N1809">
        <v>2875</v>
      </c>
    </row>
    <row r="1810" spans="1:14" x14ac:dyDescent="0.25">
      <c r="A1810">
        <v>1461.029524</v>
      </c>
      <c r="B1810" s="1">
        <f>DATE(2014,5,1) + TIME(0,42,30)</f>
        <v>41760.029513888891</v>
      </c>
      <c r="C1810">
        <v>80</v>
      </c>
      <c r="D1810">
        <v>65.310852050999998</v>
      </c>
      <c r="E1810">
        <v>50</v>
      </c>
      <c r="F1810">
        <v>49.959049225000001</v>
      </c>
      <c r="G1810">
        <v>1399.0772704999999</v>
      </c>
      <c r="H1810">
        <v>1377.2933350000001</v>
      </c>
      <c r="I1810">
        <v>1285.0855713000001</v>
      </c>
      <c r="J1810">
        <v>1262.2613524999999</v>
      </c>
      <c r="K1810">
        <v>2875</v>
      </c>
      <c r="L1810">
        <v>0</v>
      </c>
      <c r="M1810">
        <v>0</v>
      </c>
      <c r="N1810">
        <v>2875</v>
      </c>
    </row>
    <row r="1811" spans="1:14" x14ac:dyDescent="0.25">
      <c r="A1811">
        <v>1461.0524519999999</v>
      </c>
      <c r="B1811" s="1">
        <f>DATE(2014,5,1) + TIME(1,15,31)</f>
        <v>41760.052442129629</v>
      </c>
      <c r="C1811">
        <v>80</v>
      </c>
      <c r="D1811">
        <v>65.874107361</v>
      </c>
      <c r="E1811">
        <v>50</v>
      </c>
      <c r="F1811">
        <v>49.955661773999999</v>
      </c>
      <c r="G1811">
        <v>1402.5217285000001</v>
      </c>
      <c r="H1811">
        <v>1380.8790283000001</v>
      </c>
      <c r="I1811">
        <v>1281.9373779</v>
      </c>
      <c r="J1811">
        <v>1259.0922852000001</v>
      </c>
      <c r="K1811">
        <v>2875</v>
      </c>
      <c r="L1811">
        <v>0</v>
      </c>
      <c r="M1811">
        <v>0</v>
      </c>
      <c r="N1811">
        <v>2875</v>
      </c>
    </row>
    <row r="1812" spans="1:14" x14ac:dyDescent="0.25">
      <c r="A1812">
        <v>1461.0759210000001</v>
      </c>
      <c r="B1812" s="1">
        <f>DATE(2014,5,1) + TIME(1,49,19)</f>
        <v>41760.075914351852</v>
      </c>
      <c r="C1812">
        <v>80</v>
      </c>
      <c r="D1812">
        <v>66.428062439000001</v>
      </c>
      <c r="E1812">
        <v>50</v>
      </c>
      <c r="F1812">
        <v>49.952491760000001</v>
      </c>
      <c r="G1812">
        <v>1403.7619629000001</v>
      </c>
      <c r="H1812">
        <v>1382.2785644999999</v>
      </c>
      <c r="I1812">
        <v>1280.8936768000001</v>
      </c>
      <c r="J1812">
        <v>1258.041626</v>
      </c>
      <c r="K1812">
        <v>2875</v>
      </c>
      <c r="L1812">
        <v>0</v>
      </c>
      <c r="M1812">
        <v>0</v>
      </c>
      <c r="N1812">
        <v>2875</v>
      </c>
    </row>
    <row r="1813" spans="1:14" x14ac:dyDescent="0.25">
      <c r="A1813">
        <v>1461.0998959999999</v>
      </c>
      <c r="B1813" s="1">
        <f>DATE(2014,5,1) + TIME(2,23,51)</f>
        <v>41760.099895833337</v>
      </c>
      <c r="C1813">
        <v>80</v>
      </c>
      <c r="D1813">
        <v>66.971290588000002</v>
      </c>
      <c r="E1813">
        <v>50</v>
      </c>
      <c r="F1813">
        <v>49.949375152999998</v>
      </c>
      <c r="G1813">
        <v>1404.1636963000001</v>
      </c>
      <c r="H1813">
        <v>1382.8414307</v>
      </c>
      <c r="I1813">
        <v>1280.5734863</v>
      </c>
      <c r="J1813">
        <v>1257.7188721</v>
      </c>
      <c r="K1813">
        <v>2875</v>
      </c>
      <c r="L1813">
        <v>0</v>
      </c>
      <c r="M1813">
        <v>0</v>
      </c>
      <c r="N1813">
        <v>2875</v>
      </c>
    </row>
    <row r="1814" spans="1:14" x14ac:dyDescent="0.25">
      <c r="A1814">
        <v>1461.124384</v>
      </c>
      <c r="B1814" s="1">
        <f>DATE(2014,5,1) + TIME(2,59,6)</f>
        <v>41760.124374999999</v>
      </c>
      <c r="C1814">
        <v>80</v>
      </c>
      <c r="D1814">
        <v>67.503448485999996</v>
      </c>
      <c r="E1814">
        <v>50</v>
      </c>
      <c r="F1814">
        <v>49.946262359999999</v>
      </c>
      <c r="G1814">
        <v>1404.2154541</v>
      </c>
      <c r="H1814">
        <v>1383.0510254000001</v>
      </c>
      <c r="I1814">
        <v>1280.5010986</v>
      </c>
      <c r="J1814">
        <v>1257.6453856999999</v>
      </c>
      <c r="K1814">
        <v>2875</v>
      </c>
      <c r="L1814">
        <v>0</v>
      </c>
      <c r="M1814">
        <v>0</v>
      </c>
      <c r="N1814">
        <v>2875</v>
      </c>
    </row>
    <row r="1815" spans="1:14" x14ac:dyDescent="0.25">
      <c r="A1815">
        <v>1461.1494</v>
      </c>
      <c r="B1815" s="1">
        <f>DATE(2014,5,1) + TIME(3,35,8)</f>
        <v>41760.149398148147</v>
      </c>
      <c r="C1815">
        <v>80</v>
      </c>
      <c r="D1815">
        <v>68.024421692000004</v>
      </c>
      <c r="E1815">
        <v>50</v>
      </c>
      <c r="F1815">
        <v>49.943122864000003</v>
      </c>
      <c r="G1815">
        <v>1404.1131591999999</v>
      </c>
      <c r="H1815">
        <v>1383.1021728999999</v>
      </c>
      <c r="I1815">
        <v>1280.5056152</v>
      </c>
      <c r="J1815">
        <v>1257.6492920000001</v>
      </c>
      <c r="K1815">
        <v>2875</v>
      </c>
      <c r="L1815">
        <v>0</v>
      </c>
      <c r="M1815">
        <v>0</v>
      </c>
      <c r="N1815">
        <v>2875</v>
      </c>
    </row>
    <row r="1816" spans="1:14" x14ac:dyDescent="0.25">
      <c r="A1816">
        <v>1461.1749769999999</v>
      </c>
      <c r="B1816" s="1">
        <f>DATE(2014,5,1) + TIME(4,11,58)</f>
        <v>41760.174976851849</v>
      </c>
      <c r="C1816">
        <v>80</v>
      </c>
      <c r="D1816">
        <v>68.534370421999995</v>
      </c>
      <c r="E1816">
        <v>50</v>
      </c>
      <c r="F1816">
        <v>49.939952849999997</v>
      </c>
      <c r="G1816">
        <v>1403.9414062000001</v>
      </c>
      <c r="H1816">
        <v>1383.0788574000001</v>
      </c>
      <c r="I1816">
        <v>1280.5273437999999</v>
      </c>
      <c r="J1816">
        <v>1257.6706543</v>
      </c>
      <c r="K1816">
        <v>2875</v>
      </c>
      <c r="L1816">
        <v>0</v>
      </c>
      <c r="M1816">
        <v>0</v>
      </c>
      <c r="N1816">
        <v>2875</v>
      </c>
    </row>
    <row r="1817" spans="1:14" x14ac:dyDescent="0.25">
      <c r="A1817">
        <v>1461.201145</v>
      </c>
      <c r="B1817" s="1">
        <f>DATE(2014,5,1) + TIME(4,49,38)</f>
        <v>41760.20113425926</v>
      </c>
      <c r="C1817">
        <v>80</v>
      </c>
      <c r="D1817">
        <v>69.033386230000005</v>
      </c>
      <c r="E1817">
        <v>50</v>
      </c>
      <c r="F1817">
        <v>49.936740874999998</v>
      </c>
      <c r="G1817">
        <v>1403.7385254000001</v>
      </c>
      <c r="H1817">
        <v>1383.0196533000001</v>
      </c>
      <c r="I1817">
        <v>1280.5478516000001</v>
      </c>
      <c r="J1817">
        <v>1257.6907959</v>
      </c>
      <c r="K1817">
        <v>2875</v>
      </c>
      <c r="L1817">
        <v>0</v>
      </c>
      <c r="M1817">
        <v>0</v>
      </c>
      <c r="N1817">
        <v>2875</v>
      </c>
    </row>
    <row r="1818" spans="1:14" x14ac:dyDescent="0.25">
      <c r="A1818">
        <v>1461.2279390000001</v>
      </c>
      <c r="B1818" s="1">
        <f>DATE(2014,5,1) + TIME(5,28,13)</f>
        <v>41760.22792824074</v>
      </c>
      <c r="C1818">
        <v>80</v>
      </c>
      <c r="D1818">
        <v>69.521568298000005</v>
      </c>
      <c r="E1818">
        <v>50</v>
      </c>
      <c r="F1818">
        <v>49.933490753000001</v>
      </c>
      <c r="G1818">
        <v>1403.5228271000001</v>
      </c>
      <c r="H1818">
        <v>1382.942749</v>
      </c>
      <c r="I1818">
        <v>1280.5629882999999</v>
      </c>
      <c r="J1818">
        <v>1257.7056885</v>
      </c>
      <c r="K1818">
        <v>2875</v>
      </c>
      <c r="L1818">
        <v>0</v>
      </c>
      <c r="M1818">
        <v>0</v>
      </c>
      <c r="N1818">
        <v>2875</v>
      </c>
    </row>
    <row r="1819" spans="1:14" x14ac:dyDescent="0.25">
      <c r="A1819">
        <v>1461.2553929999999</v>
      </c>
      <c r="B1819" s="1">
        <f>DATE(2014,5,1) + TIME(6,7,45)</f>
        <v>41760.255381944444</v>
      </c>
      <c r="C1819">
        <v>80</v>
      </c>
      <c r="D1819">
        <v>69.998992920000006</v>
      </c>
      <c r="E1819">
        <v>50</v>
      </c>
      <c r="F1819">
        <v>49.930194855000003</v>
      </c>
      <c r="G1819">
        <v>1403.3033447</v>
      </c>
      <c r="H1819">
        <v>1382.8572998</v>
      </c>
      <c r="I1819">
        <v>1280.5729980000001</v>
      </c>
      <c r="J1819">
        <v>1257.715332</v>
      </c>
      <c r="K1819">
        <v>2875</v>
      </c>
      <c r="L1819">
        <v>0</v>
      </c>
      <c r="M1819">
        <v>0</v>
      </c>
      <c r="N1819">
        <v>2875</v>
      </c>
    </row>
    <row r="1820" spans="1:14" x14ac:dyDescent="0.25">
      <c r="A1820">
        <v>1461.2835500000001</v>
      </c>
      <c r="B1820" s="1">
        <f>DATE(2014,5,1) + TIME(6,48,18)</f>
        <v>41760.283541666664</v>
      </c>
      <c r="C1820">
        <v>80</v>
      </c>
      <c r="D1820">
        <v>70.465408324999999</v>
      </c>
      <c r="E1820">
        <v>50</v>
      </c>
      <c r="F1820">
        <v>49.926853180000002</v>
      </c>
      <c r="G1820">
        <v>1403.0847168</v>
      </c>
      <c r="H1820">
        <v>1382.7681885</v>
      </c>
      <c r="I1820">
        <v>1280.5793457</v>
      </c>
      <c r="J1820">
        <v>1257.7211914</v>
      </c>
      <c r="K1820">
        <v>2875</v>
      </c>
      <c r="L1820">
        <v>0</v>
      </c>
      <c r="M1820">
        <v>0</v>
      </c>
      <c r="N1820">
        <v>2875</v>
      </c>
    </row>
    <row r="1821" spans="1:14" x14ac:dyDescent="0.25">
      <c r="A1821">
        <v>1461.3124519999999</v>
      </c>
      <c r="B1821" s="1">
        <f>DATE(2014,5,1) + TIME(7,29,55)</f>
        <v>41760.312442129631</v>
      </c>
      <c r="C1821">
        <v>80</v>
      </c>
      <c r="D1821">
        <v>70.921211243000002</v>
      </c>
      <c r="E1821">
        <v>50</v>
      </c>
      <c r="F1821">
        <v>49.923461914000001</v>
      </c>
      <c r="G1821">
        <v>1402.8692627</v>
      </c>
      <c r="H1821">
        <v>1382.6778564000001</v>
      </c>
      <c r="I1821">
        <v>1280.5830077999999</v>
      </c>
      <c r="J1821">
        <v>1257.7246094</v>
      </c>
      <c r="K1821">
        <v>2875</v>
      </c>
      <c r="L1821">
        <v>0</v>
      </c>
      <c r="M1821">
        <v>0</v>
      </c>
      <c r="N1821">
        <v>2875</v>
      </c>
    </row>
    <row r="1822" spans="1:14" x14ac:dyDescent="0.25">
      <c r="A1822">
        <v>1461.3421450000001</v>
      </c>
      <c r="B1822" s="1">
        <f>DATE(2014,5,1) + TIME(8,12,41)</f>
        <v>41760.342141203706</v>
      </c>
      <c r="C1822">
        <v>80</v>
      </c>
      <c r="D1822">
        <v>71.366477966000005</v>
      </c>
      <c r="E1822">
        <v>50</v>
      </c>
      <c r="F1822">
        <v>49.920013427999997</v>
      </c>
      <c r="G1822">
        <v>1402.6579589999999</v>
      </c>
      <c r="H1822">
        <v>1382.5876464999999</v>
      </c>
      <c r="I1822">
        <v>1280.5852050999999</v>
      </c>
      <c r="J1822">
        <v>1257.7264404</v>
      </c>
      <c r="K1822">
        <v>2875</v>
      </c>
      <c r="L1822">
        <v>0</v>
      </c>
      <c r="M1822">
        <v>0</v>
      </c>
      <c r="N1822">
        <v>2875</v>
      </c>
    </row>
    <row r="1823" spans="1:14" x14ac:dyDescent="0.25">
      <c r="A1823">
        <v>1461.3726819999999</v>
      </c>
      <c r="B1823" s="1">
        <f>DATE(2014,5,1) + TIME(8,56,39)</f>
        <v>41760.372673611113</v>
      </c>
      <c r="C1823">
        <v>80</v>
      </c>
      <c r="D1823">
        <v>71.801254271999994</v>
      </c>
      <c r="E1823">
        <v>50</v>
      </c>
      <c r="F1823">
        <v>49.916507721000002</v>
      </c>
      <c r="G1823">
        <v>1402.4516602000001</v>
      </c>
      <c r="H1823">
        <v>1382.4981689000001</v>
      </c>
      <c r="I1823">
        <v>1280.5863036999999</v>
      </c>
      <c r="J1823">
        <v>1257.7271728999999</v>
      </c>
      <c r="K1823">
        <v>2875</v>
      </c>
      <c r="L1823">
        <v>0</v>
      </c>
      <c r="M1823">
        <v>0</v>
      </c>
      <c r="N1823">
        <v>2875</v>
      </c>
    </row>
    <row r="1824" spans="1:14" x14ac:dyDescent="0.25">
      <c r="A1824">
        <v>1461.4041179999999</v>
      </c>
      <c r="B1824" s="1">
        <f>DATE(2014,5,1) + TIME(9,41,55)</f>
        <v>41760.404108796298</v>
      </c>
      <c r="C1824">
        <v>80</v>
      </c>
      <c r="D1824">
        <v>72.225585937999995</v>
      </c>
      <c r="E1824">
        <v>50</v>
      </c>
      <c r="F1824">
        <v>49.912940978999998</v>
      </c>
      <c r="G1824">
        <v>1402.2503661999999</v>
      </c>
      <c r="H1824">
        <v>1382.4099120999999</v>
      </c>
      <c r="I1824">
        <v>1280.5867920000001</v>
      </c>
      <c r="J1824">
        <v>1257.7272949000001</v>
      </c>
      <c r="K1824">
        <v>2875</v>
      </c>
      <c r="L1824">
        <v>0</v>
      </c>
      <c r="M1824">
        <v>0</v>
      </c>
      <c r="N1824">
        <v>2875</v>
      </c>
    </row>
    <row r="1825" spans="1:14" x14ac:dyDescent="0.25">
      <c r="A1825">
        <v>1461.436528</v>
      </c>
      <c r="B1825" s="1">
        <f>DATE(2014,5,1) + TIME(10,28,36)</f>
        <v>41760.436527777776</v>
      </c>
      <c r="C1825">
        <v>80</v>
      </c>
      <c r="D1825">
        <v>72.639671325999998</v>
      </c>
      <c r="E1825">
        <v>50</v>
      </c>
      <c r="F1825">
        <v>49.909301757999998</v>
      </c>
      <c r="G1825">
        <v>1402.0541992000001</v>
      </c>
      <c r="H1825">
        <v>1382.3229980000001</v>
      </c>
      <c r="I1825">
        <v>1280.5870361</v>
      </c>
      <c r="J1825">
        <v>1257.7271728999999</v>
      </c>
      <c r="K1825">
        <v>2875</v>
      </c>
      <c r="L1825">
        <v>0</v>
      </c>
      <c r="M1825">
        <v>0</v>
      </c>
      <c r="N1825">
        <v>2875</v>
      </c>
    </row>
    <row r="1826" spans="1:14" x14ac:dyDescent="0.25">
      <c r="A1826">
        <v>1461.4699700000001</v>
      </c>
      <c r="B1826" s="1">
        <f>DATE(2014,5,1) + TIME(11,16,45)</f>
        <v>41760.469965277778</v>
      </c>
      <c r="C1826">
        <v>80</v>
      </c>
      <c r="D1826">
        <v>73.043395996000001</v>
      </c>
      <c r="E1826">
        <v>50</v>
      </c>
      <c r="F1826">
        <v>49.905590056999998</v>
      </c>
      <c r="G1826">
        <v>1401.8629149999999</v>
      </c>
      <c r="H1826">
        <v>1382.2373047000001</v>
      </c>
      <c r="I1826">
        <v>1280.5869141000001</v>
      </c>
      <c r="J1826">
        <v>1257.7266846</v>
      </c>
      <c r="K1826">
        <v>2875</v>
      </c>
      <c r="L1826">
        <v>0</v>
      </c>
      <c r="M1826">
        <v>0</v>
      </c>
      <c r="N1826">
        <v>2875</v>
      </c>
    </row>
    <row r="1827" spans="1:14" x14ac:dyDescent="0.25">
      <c r="A1827">
        <v>1461.504516</v>
      </c>
      <c r="B1827" s="1">
        <f>DATE(2014,5,1) + TIME(12,6,30)</f>
        <v>41760.504513888889</v>
      </c>
      <c r="C1827">
        <v>80</v>
      </c>
      <c r="D1827">
        <v>73.436752318999993</v>
      </c>
      <c r="E1827">
        <v>50</v>
      </c>
      <c r="F1827">
        <v>49.901802062999998</v>
      </c>
      <c r="G1827">
        <v>1401.6763916</v>
      </c>
      <c r="H1827">
        <v>1382.1530762</v>
      </c>
      <c r="I1827">
        <v>1280.5866699000001</v>
      </c>
      <c r="J1827">
        <v>1257.7259521000001</v>
      </c>
      <c r="K1827">
        <v>2875</v>
      </c>
      <c r="L1827">
        <v>0</v>
      </c>
      <c r="M1827">
        <v>0</v>
      </c>
      <c r="N1827">
        <v>2875</v>
      </c>
    </row>
    <row r="1828" spans="1:14" x14ac:dyDescent="0.25">
      <c r="A1828">
        <v>1461.5402489999999</v>
      </c>
      <c r="B1828" s="1">
        <f>DATE(2014,5,1) + TIME(12,57,57)</f>
        <v>41760.540243055555</v>
      </c>
      <c r="C1828">
        <v>80</v>
      </c>
      <c r="D1828">
        <v>73.819740295000003</v>
      </c>
      <c r="E1828">
        <v>50</v>
      </c>
      <c r="F1828">
        <v>49.897926331000001</v>
      </c>
      <c r="G1828">
        <v>1401.4945068</v>
      </c>
      <c r="H1828">
        <v>1382.0699463000001</v>
      </c>
      <c r="I1828">
        <v>1280.5863036999999</v>
      </c>
      <c r="J1828">
        <v>1257.7252197</v>
      </c>
      <c r="K1828">
        <v>2875</v>
      </c>
      <c r="L1828">
        <v>0</v>
      </c>
      <c r="M1828">
        <v>0</v>
      </c>
      <c r="N1828">
        <v>2875</v>
      </c>
    </row>
    <row r="1829" spans="1:14" x14ac:dyDescent="0.25">
      <c r="A1829">
        <v>1461.5772589999999</v>
      </c>
      <c r="B1829" s="1">
        <f>DATE(2014,5,1) + TIME(13,51,15)</f>
        <v>41760.577256944445</v>
      </c>
      <c r="C1829">
        <v>80</v>
      </c>
      <c r="D1829">
        <v>74.192367554</v>
      </c>
      <c r="E1829">
        <v>50</v>
      </c>
      <c r="F1829">
        <v>49.893959045000003</v>
      </c>
      <c r="G1829">
        <v>1401.3170166</v>
      </c>
      <c r="H1829">
        <v>1381.9880370999999</v>
      </c>
      <c r="I1829">
        <v>1280.5859375</v>
      </c>
      <c r="J1829">
        <v>1257.7243652</v>
      </c>
      <c r="K1829">
        <v>2875</v>
      </c>
      <c r="L1829">
        <v>0</v>
      </c>
      <c r="M1829">
        <v>0</v>
      </c>
      <c r="N1829">
        <v>2875</v>
      </c>
    </row>
    <row r="1830" spans="1:14" x14ac:dyDescent="0.25">
      <c r="A1830">
        <v>1461.6156490000001</v>
      </c>
      <c r="B1830" s="1">
        <f>DATE(2014,5,1) + TIME(14,46,32)</f>
        <v>41760.615648148145</v>
      </c>
      <c r="C1830">
        <v>80</v>
      </c>
      <c r="D1830">
        <v>74.554603576999995</v>
      </c>
      <c r="E1830">
        <v>50</v>
      </c>
      <c r="F1830">
        <v>49.889888763000002</v>
      </c>
      <c r="G1830">
        <v>1401.1437988</v>
      </c>
      <c r="H1830">
        <v>1381.9071045000001</v>
      </c>
      <c r="I1830">
        <v>1280.5853271000001</v>
      </c>
      <c r="J1830">
        <v>1257.7235106999999</v>
      </c>
      <c r="K1830">
        <v>2875</v>
      </c>
      <c r="L1830">
        <v>0</v>
      </c>
      <c r="M1830">
        <v>0</v>
      </c>
      <c r="N1830">
        <v>2875</v>
      </c>
    </row>
    <row r="1831" spans="1:14" x14ac:dyDescent="0.25">
      <c r="A1831">
        <v>1461.6555310000001</v>
      </c>
      <c r="B1831" s="1">
        <f>DATE(2014,5,1) + TIME(15,43,57)</f>
        <v>41760.65552083333</v>
      </c>
      <c r="C1831">
        <v>80</v>
      </c>
      <c r="D1831">
        <v>74.906440735000004</v>
      </c>
      <c r="E1831">
        <v>50</v>
      </c>
      <c r="F1831">
        <v>49.885711669999999</v>
      </c>
      <c r="G1831">
        <v>1400.9744873</v>
      </c>
      <c r="H1831">
        <v>1381.8270264</v>
      </c>
      <c r="I1831">
        <v>1280.5848389</v>
      </c>
      <c r="J1831">
        <v>1257.7224120999999</v>
      </c>
      <c r="K1831">
        <v>2875</v>
      </c>
      <c r="L1831">
        <v>0</v>
      </c>
      <c r="M1831">
        <v>0</v>
      </c>
      <c r="N1831">
        <v>2875</v>
      </c>
    </row>
    <row r="1832" spans="1:14" x14ac:dyDescent="0.25">
      <c r="A1832">
        <v>1461.697034</v>
      </c>
      <c r="B1832" s="1">
        <f>DATE(2014,5,1) + TIME(16,43,43)</f>
        <v>41760.697025462963</v>
      </c>
      <c r="C1832">
        <v>80</v>
      </c>
      <c r="D1832">
        <v>75.247650145999998</v>
      </c>
      <c r="E1832">
        <v>50</v>
      </c>
      <c r="F1832">
        <v>49.881416321000003</v>
      </c>
      <c r="G1832">
        <v>1400.8088379000001</v>
      </c>
      <c r="H1832">
        <v>1381.7478027</v>
      </c>
      <c r="I1832">
        <v>1280.5842285000001</v>
      </c>
      <c r="J1832">
        <v>1257.7214355000001</v>
      </c>
      <c r="K1832">
        <v>2875</v>
      </c>
      <c r="L1832">
        <v>0</v>
      </c>
      <c r="M1832">
        <v>0</v>
      </c>
      <c r="N1832">
        <v>2875</v>
      </c>
    </row>
    <row r="1833" spans="1:14" x14ac:dyDescent="0.25">
      <c r="A1833">
        <v>1461.740301</v>
      </c>
      <c r="B1833" s="1">
        <f>DATE(2014,5,1) + TIME(17,46,2)</f>
        <v>41760.740300925929</v>
      </c>
      <c r="C1833">
        <v>80</v>
      </c>
      <c r="D1833">
        <v>75.578285217000001</v>
      </c>
      <c r="E1833">
        <v>50</v>
      </c>
      <c r="F1833">
        <v>49.876991271999998</v>
      </c>
      <c r="G1833">
        <v>1400.6467285000001</v>
      </c>
      <c r="H1833">
        <v>1381.6691894999999</v>
      </c>
      <c r="I1833">
        <v>1280.5834961</v>
      </c>
      <c r="J1833">
        <v>1257.7202147999999</v>
      </c>
      <c r="K1833">
        <v>2875</v>
      </c>
      <c r="L1833">
        <v>0</v>
      </c>
      <c r="M1833">
        <v>0</v>
      </c>
      <c r="N1833">
        <v>2875</v>
      </c>
    </row>
    <row r="1834" spans="1:14" x14ac:dyDescent="0.25">
      <c r="A1834">
        <v>1461.785496</v>
      </c>
      <c r="B1834" s="1">
        <f>DATE(2014,5,1) + TIME(18,51,6)</f>
        <v>41760.785486111112</v>
      </c>
      <c r="C1834">
        <v>80</v>
      </c>
      <c r="D1834">
        <v>75.898376464999998</v>
      </c>
      <c r="E1834">
        <v>50</v>
      </c>
      <c r="F1834">
        <v>49.872425079000003</v>
      </c>
      <c r="G1834">
        <v>1400.4879149999999</v>
      </c>
      <c r="H1834">
        <v>1381.5910644999999</v>
      </c>
      <c r="I1834">
        <v>1280.5827637</v>
      </c>
      <c r="J1834">
        <v>1257.7189940999999</v>
      </c>
      <c r="K1834">
        <v>2875</v>
      </c>
      <c r="L1834">
        <v>0</v>
      </c>
      <c r="M1834">
        <v>0</v>
      </c>
      <c r="N1834">
        <v>2875</v>
      </c>
    </row>
    <row r="1835" spans="1:14" x14ac:dyDescent="0.25">
      <c r="A1835">
        <v>1461.8328220000001</v>
      </c>
      <c r="B1835" s="1">
        <f>DATE(2014,5,1) + TIME(19,59,15)</f>
        <v>41760.832812499997</v>
      </c>
      <c r="C1835">
        <v>80</v>
      </c>
      <c r="D1835">
        <v>76.207946777000004</v>
      </c>
      <c r="E1835">
        <v>50</v>
      </c>
      <c r="F1835">
        <v>49.867702483999999</v>
      </c>
      <c r="G1835">
        <v>1400.3321533000001</v>
      </c>
      <c r="H1835">
        <v>1381.5133057</v>
      </c>
      <c r="I1835">
        <v>1280.5820312000001</v>
      </c>
      <c r="J1835">
        <v>1257.7177733999999</v>
      </c>
      <c r="K1835">
        <v>2875</v>
      </c>
      <c r="L1835">
        <v>0</v>
      </c>
      <c r="M1835">
        <v>0</v>
      </c>
      <c r="N1835">
        <v>2875</v>
      </c>
    </row>
    <row r="1836" spans="1:14" x14ac:dyDescent="0.25">
      <c r="A1836">
        <v>1461.8824959999999</v>
      </c>
      <c r="B1836" s="1">
        <f>DATE(2014,5,1) + TIME(21,10,47)</f>
        <v>41760.882488425923</v>
      </c>
      <c r="C1836">
        <v>80</v>
      </c>
      <c r="D1836">
        <v>76.506912231000001</v>
      </c>
      <c r="E1836">
        <v>50</v>
      </c>
      <c r="F1836">
        <v>49.862804412999999</v>
      </c>
      <c r="G1836">
        <v>1400.1791992000001</v>
      </c>
      <c r="H1836">
        <v>1381.4357910000001</v>
      </c>
      <c r="I1836">
        <v>1280.5811768000001</v>
      </c>
      <c r="J1836">
        <v>1257.7163086</v>
      </c>
      <c r="K1836">
        <v>2875</v>
      </c>
      <c r="L1836">
        <v>0</v>
      </c>
      <c r="M1836">
        <v>0</v>
      </c>
      <c r="N1836">
        <v>2875</v>
      </c>
    </row>
    <row r="1837" spans="1:14" x14ac:dyDescent="0.25">
      <c r="A1837">
        <v>1461.934751</v>
      </c>
      <c r="B1837" s="1">
        <f>DATE(2014,5,1) + TIME(22,26,2)</f>
        <v>41760.934745370374</v>
      </c>
      <c r="C1837">
        <v>80</v>
      </c>
      <c r="D1837">
        <v>76.795089722</v>
      </c>
      <c r="E1837">
        <v>50</v>
      </c>
      <c r="F1837">
        <v>49.857715607000003</v>
      </c>
      <c r="G1837">
        <v>1400.0286865</v>
      </c>
      <c r="H1837">
        <v>1381.3582764</v>
      </c>
      <c r="I1837">
        <v>1280.5802002</v>
      </c>
      <c r="J1837">
        <v>1257.7149658000001</v>
      </c>
      <c r="K1837">
        <v>2875</v>
      </c>
      <c r="L1837">
        <v>0</v>
      </c>
      <c r="M1837">
        <v>0</v>
      </c>
      <c r="N1837">
        <v>2875</v>
      </c>
    </row>
    <row r="1838" spans="1:14" x14ac:dyDescent="0.25">
      <c r="A1838">
        <v>1461.9898740000001</v>
      </c>
      <c r="B1838" s="1">
        <f>DATE(2014,5,1) + TIME(23,45,25)</f>
        <v>41760.989872685182</v>
      </c>
      <c r="C1838">
        <v>80</v>
      </c>
      <c r="D1838">
        <v>77.072357178000004</v>
      </c>
      <c r="E1838">
        <v>50</v>
      </c>
      <c r="F1838">
        <v>49.852416992000002</v>
      </c>
      <c r="G1838">
        <v>1399.8807373</v>
      </c>
      <c r="H1838">
        <v>1381.2807617000001</v>
      </c>
      <c r="I1838">
        <v>1280.5792236</v>
      </c>
      <c r="J1838">
        <v>1257.7133789</v>
      </c>
      <c r="K1838">
        <v>2875</v>
      </c>
      <c r="L1838">
        <v>0</v>
      </c>
      <c r="M1838">
        <v>0</v>
      </c>
      <c r="N1838">
        <v>2875</v>
      </c>
    </row>
    <row r="1839" spans="1:14" x14ac:dyDescent="0.25">
      <c r="A1839">
        <v>1462.0482010000001</v>
      </c>
      <c r="B1839" s="1">
        <f>DATE(2014,5,2) + TIME(1,9,24)</f>
        <v>41761.048194444447</v>
      </c>
      <c r="C1839">
        <v>80</v>
      </c>
      <c r="D1839">
        <v>77.338600158999995</v>
      </c>
      <c r="E1839">
        <v>50</v>
      </c>
      <c r="F1839">
        <v>49.846881865999997</v>
      </c>
      <c r="G1839">
        <v>1399.7347411999999</v>
      </c>
      <c r="H1839">
        <v>1381.2028809000001</v>
      </c>
      <c r="I1839">
        <v>1280.5782471</v>
      </c>
      <c r="J1839">
        <v>1257.7117920000001</v>
      </c>
      <c r="K1839">
        <v>2875</v>
      </c>
      <c r="L1839">
        <v>0</v>
      </c>
      <c r="M1839">
        <v>0</v>
      </c>
      <c r="N1839">
        <v>2875</v>
      </c>
    </row>
    <row r="1840" spans="1:14" x14ac:dyDescent="0.25">
      <c r="A1840">
        <v>1462.1101289999999</v>
      </c>
      <c r="B1840" s="1">
        <f>DATE(2014,5,2) + TIME(2,38,35)</f>
        <v>41761.110127314816</v>
      </c>
      <c r="C1840">
        <v>80</v>
      </c>
      <c r="D1840">
        <v>77.593666076999995</v>
      </c>
      <c r="E1840">
        <v>50</v>
      </c>
      <c r="F1840">
        <v>49.841083527000002</v>
      </c>
      <c r="G1840">
        <v>1399.5905762</v>
      </c>
      <c r="H1840">
        <v>1381.1245117000001</v>
      </c>
      <c r="I1840">
        <v>1280.5770264</v>
      </c>
      <c r="J1840">
        <v>1257.7099608999999</v>
      </c>
      <c r="K1840">
        <v>2875</v>
      </c>
      <c r="L1840">
        <v>0</v>
      </c>
      <c r="M1840">
        <v>0</v>
      </c>
      <c r="N1840">
        <v>2875</v>
      </c>
    </row>
    <row r="1841" spans="1:14" x14ac:dyDescent="0.25">
      <c r="A1841">
        <v>1462.176121</v>
      </c>
      <c r="B1841" s="1">
        <f>DATE(2014,5,2) + TIME(4,13,36)</f>
        <v>41761.176111111112</v>
      </c>
      <c r="C1841">
        <v>80</v>
      </c>
      <c r="D1841">
        <v>77.837371825999995</v>
      </c>
      <c r="E1841">
        <v>50</v>
      </c>
      <c r="F1841">
        <v>49.834983825999998</v>
      </c>
      <c r="G1841">
        <v>1399.4479980000001</v>
      </c>
      <c r="H1841">
        <v>1381.0455322</v>
      </c>
      <c r="I1841">
        <v>1280.5758057</v>
      </c>
      <c r="J1841">
        <v>1257.7081298999999</v>
      </c>
      <c r="K1841">
        <v>2875</v>
      </c>
      <c r="L1841">
        <v>0</v>
      </c>
      <c r="M1841">
        <v>0</v>
      </c>
      <c r="N1841">
        <v>2875</v>
      </c>
    </row>
    <row r="1842" spans="1:14" x14ac:dyDescent="0.25">
      <c r="A1842">
        <v>1462.24676</v>
      </c>
      <c r="B1842" s="1">
        <f>DATE(2014,5,2) + TIME(5,55,20)</f>
        <v>41761.246759259258</v>
      </c>
      <c r="C1842">
        <v>80</v>
      </c>
      <c r="D1842">
        <v>78.069580078000001</v>
      </c>
      <c r="E1842">
        <v>50</v>
      </c>
      <c r="F1842">
        <v>49.828548431000002</v>
      </c>
      <c r="G1842">
        <v>1399.3066406</v>
      </c>
      <c r="H1842">
        <v>1380.9656981999999</v>
      </c>
      <c r="I1842">
        <v>1280.5745850000001</v>
      </c>
      <c r="J1842">
        <v>1257.7061768000001</v>
      </c>
      <c r="K1842">
        <v>2875</v>
      </c>
      <c r="L1842">
        <v>0</v>
      </c>
      <c r="M1842">
        <v>0</v>
      </c>
      <c r="N1842">
        <v>2875</v>
      </c>
    </row>
    <row r="1843" spans="1:14" x14ac:dyDescent="0.25">
      <c r="A1843">
        <v>1462.3227460000001</v>
      </c>
      <c r="B1843" s="1">
        <f>DATE(2014,5,2) + TIME(7,44,45)</f>
        <v>41761.322743055556</v>
      </c>
      <c r="C1843">
        <v>80</v>
      </c>
      <c r="D1843">
        <v>78.290107727000006</v>
      </c>
      <c r="E1843">
        <v>50</v>
      </c>
      <c r="F1843">
        <v>49.821723937999998</v>
      </c>
      <c r="G1843">
        <v>1399.1662598</v>
      </c>
      <c r="H1843">
        <v>1380.8846435999999</v>
      </c>
      <c r="I1843">
        <v>1280.5732422000001</v>
      </c>
      <c r="J1843">
        <v>1257.7041016000001</v>
      </c>
      <c r="K1843">
        <v>2875</v>
      </c>
      <c r="L1843">
        <v>0</v>
      </c>
      <c r="M1843">
        <v>0</v>
      </c>
      <c r="N1843">
        <v>2875</v>
      </c>
    </row>
    <row r="1844" spans="1:14" x14ac:dyDescent="0.25">
      <c r="A1844">
        <v>1462.4049399999999</v>
      </c>
      <c r="B1844" s="1">
        <f>DATE(2014,5,2) + TIME(9,43,6)</f>
        <v>41761.404930555553</v>
      </c>
      <c r="C1844">
        <v>80</v>
      </c>
      <c r="D1844">
        <v>78.498725891000007</v>
      </c>
      <c r="E1844">
        <v>50</v>
      </c>
      <c r="F1844">
        <v>49.814449310000001</v>
      </c>
      <c r="G1844">
        <v>1399.0262451000001</v>
      </c>
      <c r="H1844">
        <v>1380.8020019999999</v>
      </c>
      <c r="I1844">
        <v>1280.5716553</v>
      </c>
      <c r="J1844">
        <v>1257.7019043</v>
      </c>
      <c r="K1844">
        <v>2875</v>
      </c>
      <c r="L1844">
        <v>0</v>
      </c>
      <c r="M1844">
        <v>0</v>
      </c>
      <c r="N1844">
        <v>2875</v>
      </c>
    </row>
    <row r="1845" spans="1:14" x14ac:dyDescent="0.25">
      <c r="A1845">
        <v>1462.4944250000001</v>
      </c>
      <c r="B1845" s="1">
        <f>DATE(2014,5,2) + TIME(11,51,58)</f>
        <v>41761.494421296295</v>
      </c>
      <c r="C1845">
        <v>80</v>
      </c>
      <c r="D1845">
        <v>78.695190429999997</v>
      </c>
      <c r="E1845">
        <v>50</v>
      </c>
      <c r="F1845">
        <v>49.806655884000001</v>
      </c>
      <c r="G1845">
        <v>1398.8863524999999</v>
      </c>
      <c r="H1845">
        <v>1380.7175293</v>
      </c>
      <c r="I1845">
        <v>1280.5700684000001</v>
      </c>
      <c r="J1845">
        <v>1257.6994629000001</v>
      </c>
      <c r="K1845">
        <v>2875</v>
      </c>
      <c r="L1845">
        <v>0</v>
      </c>
      <c r="M1845">
        <v>0</v>
      </c>
      <c r="N1845">
        <v>2875</v>
      </c>
    </row>
    <row r="1846" spans="1:14" x14ac:dyDescent="0.25">
      <c r="A1846">
        <v>1462.5422739999999</v>
      </c>
      <c r="B1846" s="1">
        <f>DATE(2014,5,2) + TIME(13,0,52)</f>
        <v>41761.542268518519</v>
      </c>
      <c r="C1846">
        <v>80</v>
      </c>
      <c r="D1846">
        <v>78.792167664000004</v>
      </c>
      <c r="E1846">
        <v>50</v>
      </c>
      <c r="F1846">
        <v>49.802280426000003</v>
      </c>
      <c r="G1846">
        <v>1398.8028564000001</v>
      </c>
      <c r="H1846">
        <v>1380.6595459</v>
      </c>
      <c r="I1846">
        <v>1280.567749</v>
      </c>
      <c r="J1846">
        <v>1257.6970214999999</v>
      </c>
      <c r="K1846">
        <v>2875</v>
      </c>
      <c r="L1846">
        <v>0</v>
      </c>
      <c r="M1846">
        <v>0</v>
      </c>
      <c r="N1846">
        <v>2875</v>
      </c>
    </row>
    <row r="1847" spans="1:14" x14ac:dyDescent="0.25">
      <c r="A1847">
        <v>1462.6379710000001</v>
      </c>
      <c r="B1847" s="1">
        <f>DATE(2014,5,2) + TIME(15,18,40)</f>
        <v>41761.637962962966</v>
      </c>
      <c r="C1847">
        <v>80</v>
      </c>
      <c r="D1847">
        <v>78.958396911999998</v>
      </c>
      <c r="E1847">
        <v>50</v>
      </c>
      <c r="F1847">
        <v>49.794105530000003</v>
      </c>
      <c r="G1847">
        <v>1398.6821289</v>
      </c>
      <c r="H1847">
        <v>1380.5899658000001</v>
      </c>
      <c r="I1847">
        <v>1280.5672606999999</v>
      </c>
      <c r="J1847">
        <v>1257.6953125</v>
      </c>
      <c r="K1847">
        <v>2875</v>
      </c>
      <c r="L1847">
        <v>0</v>
      </c>
      <c r="M1847">
        <v>0</v>
      </c>
      <c r="N1847">
        <v>2875</v>
      </c>
    </row>
    <row r="1848" spans="1:14" x14ac:dyDescent="0.25">
      <c r="A1848">
        <v>1462.7337239999999</v>
      </c>
      <c r="B1848" s="1">
        <f>DATE(2014,5,2) + TIME(17,36,33)</f>
        <v>41761.733715277776</v>
      </c>
      <c r="C1848">
        <v>80</v>
      </c>
      <c r="D1848">
        <v>79.100967406999999</v>
      </c>
      <c r="E1848">
        <v>50</v>
      </c>
      <c r="F1848">
        <v>49.785961151000002</v>
      </c>
      <c r="G1848">
        <v>1398.5579834</v>
      </c>
      <c r="H1848">
        <v>1380.5093993999999</v>
      </c>
      <c r="I1848">
        <v>1280.5651855000001</v>
      </c>
      <c r="J1848">
        <v>1257.6925048999999</v>
      </c>
      <c r="K1848">
        <v>2875</v>
      </c>
      <c r="L1848">
        <v>0</v>
      </c>
      <c r="M1848">
        <v>0</v>
      </c>
      <c r="N1848">
        <v>2875</v>
      </c>
    </row>
    <row r="1849" spans="1:14" x14ac:dyDescent="0.25">
      <c r="A1849">
        <v>1462.8301349999999</v>
      </c>
      <c r="B1849" s="1">
        <f>DATE(2014,5,2) + TIME(19,55,23)</f>
        <v>41761.830127314817</v>
      </c>
      <c r="C1849">
        <v>80</v>
      </c>
      <c r="D1849">
        <v>79.223915099999999</v>
      </c>
      <c r="E1849">
        <v>50</v>
      </c>
      <c r="F1849">
        <v>49.777805327999999</v>
      </c>
      <c r="G1849">
        <v>1398.4415283000001</v>
      </c>
      <c r="H1849">
        <v>1380.4324951000001</v>
      </c>
      <c r="I1849">
        <v>1280.5632324000001</v>
      </c>
      <c r="J1849">
        <v>1257.6896973</v>
      </c>
      <c r="K1849">
        <v>2875</v>
      </c>
      <c r="L1849">
        <v>0</v>
      </c>
      <c r="M1849">
        <v>0</v>
      </c>
      <c r="N1849">
        <v>2875</v>
      </c>
    </row>
    <row r="1850" spans="1:14" x14ac:dyDescent="0.25">
      <c r="A1850">
        <v>1462.927457</v>
      </c>
      <c r="B1850" s="1">
        <f>DATE(2014,5,2) + TIME(22,15,32)</f>
        <v>41761.927453703705</v>
      </c>
      <c r="C1850">
        <v>80</v>
      </c>
      <c r="D1850">
        <v>79.330085753999995</v>
      </c>
      <c r="E1850">
        <v>50</v>
      </c>
      <c r="F1850">
        <v>49.769615172999998</v>
      </c>
      <c r="G1850">
        <v>1398.3319091999999</v>
      </c>
      <c r="H1850">
        <v>1380.3585204999999</v>
      </c>
      <c r="I1850">
        <v>1280.5611572</v>
      </c>
      <c r="J1850">
        <v>1257.6868896000001</v>
      </c>
      <c r="K1850">
        <v>2875</v>
      </c>
      <c r="L1850">
        <v>0</v>
      </c>
      <c r="M1850">
        <v>0</v>
      </c>
      <c r="N1850">
        <v>2875</v>
      </c>
    </row>
    <row r="1851" spans="1:14" x14ac:dyDescent="0.25">
      <c r="A1851">
        <v>1463.02595</v>
      </c>
      <c r="B1851" s="1">
        <f>DATE(2014,5,3) + TIME(0,37,22)</f>
        <v>41762.025949074072</v>
      </c>
      <c r="C1851">
        <v>80</v>
      </c>
      <c r="D1851">
        <v>79.421852111999996</v>
      </c>
      <c r="E1851">
        <v>50</v>
      </c>
      <c r="F1851">
        <v>49.761371613000001</v>
      </c>
      <c r="G1851">
        <v>1398.2280272999999</v>
      </c>
      <c r="H1851">
        <v>1380.2872314000001</v>
      </c>
      <c r="I1851">
        <v>1280.559082</v>
      </c>
      <c r="J1851">
        <v>1257.684082</v>
      </c>
      <c r="K1851">
        <v>2875</v>
      </c>
      <c r="L1851">
        <v>0</v>
      </c>
      <c r="M1851">
        <v>0</v>
      </c>
      <c r="N1851">
        <v>2875</v>
      </c>
    </row>
    <row r="1852" spans="1:14" x14ac:dyDescent="0.25">
      <c r="A1852">
        <v>1463.1259110000001</v>
      </c>
      <c r="B1852" s="1">
        <f>DATE(2014,5,3) + TIME(3,1,18)</f>
        <v>41762.125902777778</v>
      </c>
      <c r="C1852">
        <v>80</v>
      </c>
      <c r="D1852">
        <v>79.501251221000004</v>
      </c>
      <c r="E1852">
        <v>50</v>
      </c>
      <c r="F1852">
        <v>49.753051757999998</v>
      </c>
      <c r="G1852">
        <v>1398.1291504000001</v>
      </c>
      <c r="H1852">
        <v>1380.2182617000001</v>
      </c>
      <c r="I1852">
        <v>1280.5570068</v>
      </c>
      <c r="J1852">
        <v>1257.6811522999999</v>
      </c>
      <c r="K1852">
        <v>2875</v>
      </c>
      <c r="L1852">
        <v>0</v>
      </c>
      <c r="M1852">
        <v>0</v>
      </c>
      <c r="N1852">
        <v>2875</v>
      </c>
    </row>
    <row r="1853" spans="1:14" x14ac:dyDescent="0.25">
      <c r="A1853">
        <v>1463.2275549999999</v>
      </c>
      <c r="B1853" s="1">
        <f>DATE(2014,5,3) + TIME(5,27,40)</f>
        <v>41762.227546296293</v>
      </c>
      <c r="C1853">
        <v>80</v>
      </c>
      <c r="D1853">
        <v>79.569915770999998</v>
      </c>
      <c r="E1853">
        <v>50</v>
      </c>
      <c r="F1853">
        <v>49.744640349999997</v>
      </c>
      <c r="G1853">
        <v>1398.0345459</v>
      </c>
      <c r="H1853">
        <v>1380.1513672000001</v>
      </c>
      <c r="I1853">
        <v>1280.5548096</v>
      </c>
      <c r="J1853">
        <v>1257.6781006000001</v>
      </c>
      <c r="K1853">
        <v>2875</v>
      </c>
      <c r="L1853">
        <v>0</v>
      </c>
      <c r="M1853">
        <v>0</v>
      </c>
      <c r="N1853">
        <v>2875</v>
      </c>
    </row>
    <row r="1854" spans="1:14" x14ac:dyDescent="0.25">
      <c r="A1854">
        <v>1463.331142</v>
      </c>
      <c r="B1854" s="1">
        <f>DATE(2014,5,3) + TIME(7,56,50)</f>
        <v>41762.331134259257</v>
      </c>
      <c r="C1854">
        <v>80</v>
      </c>
      <c r="D1854">
        <v>79.629272460999999</v>
      </c>
      <c r="E1854">
        <v>50</v>
      </c>
      <c r="F1854">
        <v>49.736118316999999</v>
      </c>
      <c r="G1854">
        <v>1397.9437256000001</v>
      </c>
      <c r="H1854">
        <v>1380.0861815999999</v>
      </c>
      <c r="I1854">
        <v>1280.5526123</v>
      </c>
      <c r="J1854">
        <v>1257.6751709</v>
      </c>
      <c r="K1854">
        <v>2875</v>
      </c>
      <c r="L1854">
        <v>0</v>
      </c>
      <c r="M1854">
        <v>0</v>
      </c>
      <c r="N1854">
        <v>2875</v>
      </c>
    </row>
    <row r="1855" spans="1:14" x14ac:dyDescent="0.25">
      <c r="A1855">
        <v>1463.43694</v>
      </c>
      <c r="B1855" s="1">
        <f>DATE(2014,5,3) + TIME(10,29,11)</f>
        <v>41762.436932870369</v>
      </c>
      <c r="C1855">
        <v>80</v>
      </c>
      <c r="D1855">
        <v>79.680549622000001</v>
      </c>
      <c r="E1855">
        <v>50</v>
      </c>
      <c r="F1855">
        <v>49.727470398000001</v>
      </c>
      <c r="G1855">
        <v>1397.8562012</v>
      </c>
      <c r="H1855">
        <v>1380.0224608999999</v>
      </c>
      <c r="I1855">
        <v>1280.5504149999999</v>
      </c>
      <c r="J1855">
        <v>1257.6719971</v>
      </c>
      <c r="K1855">
        <v>2875</v>
      </c>
      <c r="L1855">
        <v>0</v>
      </c>
      <c r="M1855">
        <v>0</v>
      </c>
      <c r="N1855">
        <v>2875</v>
      </c>
    </row>
    <row r="1856" spans="1:14" x14ac:dyDescent="0.25">
      <c r="A1856">
        <v>1463.5452359999999</v>
      </c>
      <c r="B1856" s="1">
        <f>DATE(2014,5,3) + TIME(13,5,8)</f>
        <v>41762.545231481483</v>
      </c>
      <c r="C1856">
        <v>80</v>
      </c>
      <c r="D1856">
        <v>79.724792480000005</v>
      </c>
      <c r="E1856">
        <v>50</v>
      </c>
      <c r="F1856">
        <v>49.718669890999998</v>
      </c>
      <c r="G1856">
        <v>1397.7714844</v>
      </c>
      <c r="H1856">
        <v>1379.9599608999999</v>
      </c>
      <c r="I1856">
        <v>1280.5482178</v>
      </c>
      <c r="J1856">
        <v>1257.6689452999999</v>
      </c>
      <c r="K1856">
        <v>2875</v>
      </c>
      <c r="L1856">
        <v>0</v>
      </c>
      <c r="M1856">
        <v>0</v>
      </c>
      <c r="N1856">
        <v>2875</v>
      </c>
    </row>
    <row r="1857" spans="1:14" x14ac:dyDescent="0.25">
      <c r="A1857">
        <v>1463.656332</v>
      </c>
      <c r="B1857" s="1">
        <f>DATE(2014,5,3) + TIME(15,45,7)</f>
        <v>41762.656331018516</v>
      </c>
      <c r="C1857">
        <v>80</v>
      </c>
      <c r="D1857">
        <v>79.762908936000002</v>
      </c>
      <c r="E1857">
        <v>50</v>
      </c>
      <c r="F1857">
        <v>49.709701537999997</v>
      </c>
      <c r="G1857">
        <v>1397.6890868999999</v>
      </c>
      <c r="H1857">
        <v>1379.8986815999999</v>
      </c>
      <c r="I1857">
        <v>1280.5457764</v>
      </c>
      <c r="J1857">
        <v>1257.6656493999999</v>
      </c>
      <c r="K1857">
        <v>2875</v>
      </c>
      <c r="L1857">
        <v>0</v>
      </c>
      <c r="M1857">
        <v>0</v>
      </c>
      <c r="N1857">
        <v>2875</v>
      </c>
    </row>
    <row r="1858" spans="1:14" x14ac:dyDescent="0.25">
      <c r="A1858">
        <v>1463.7705559999999</v>
      </c>
      <c r="B1858" s="1">
        <f>DATE(2014,5,3) + TIME(18,29,36)</f>
        <v>41762.770555555559</v>
      </c>
      <c r="C1858">
        <v>80</v>
      </c>
      <c r="D1858">
        <v>79.795684813999998</v>
      </c>
      <c r="E1858">
        <v>50</v>
      </c>
      <c r="F1858">
        <v>49.700534820999998</v>
      </c>
      <c r="G1858">
        <v>1397.6088867000001</v>
      </c>
      <c r="H1858">
        <v>1379.8381348</v>
      </c>
      <c r="I1858">
        <v>1280.543457</v>
      </c>
      <c r="J1858">
        <v>1257.6623535000001</v>
      </c>
      <c r="K1858">
        <v>2875</v>
      </c>
      <c r="L1858">
        <v>0</v>
      </c>
      <c r="M1858">
        <v>0</v>
      </c>
      <c r="N1858">
        <v>2875</v>
      </c>
    </row>
    <row r="1859" spans="1:14" x14ac:dyDescent="0.25">
      <c r="A1859">
        <v>1463.888265</v>
      </c>
      <c r="B1859" s="1">
        <f>DATE(2014,5,3) + TIME(21,19,6)</f>
        <v>41762.88826388889</v>
      </c>
      <c r="C1859">
        <v>80</v>
      </c>
      <c r="D1859">
        <v>79.823806762999993</v>
      </c>
      <c r="E1859">
        <v>50</v>
      </c>
      <c r="F1859">
        <v>49.691150665000002</v>
      </c>
      <c r="G1859">
        <v>1397.5301514</v>
      </c>
      <c r="H1859">
        <v>1379.7784423999999</v>
      </c>
      <c r="I1859">
        <v>1280.5408935999999</v>
      </c>
      <c r="J1859">
        <v>1257.6589355000001</v>
      </c>
      <c r="K1859">
        <v>2875</v>
      </c>
      <c r="L1859">
        <v>0</v>
      </c>
      <c r="M1859">
        <v>0</v>
      </c>
      <c r="N1859">
        <v>2875</v>
      </c>
    </row>
    <row r="1860" spans="1:14" x14ac:dyDescent="0.25">
      <c r="A1860">
        <v>1464.009853</v>
      </c>
      <c r="B1860" s="1">
        <f>DATE(2014,5,4) + TIME(0,14,11)</f>
        <v>41763.00984953704</v>
      </c>
      <c r="C1860">
        <v>80</v>
      </c>
      <c r="D1860">
        <v>79.847862243999998</v>
      </c>
      <c r="E1860">
        <v>50</v>
      </c>
      <c r="F1860">
        <v>49.681522369</v>
      </c>
      <c r="G1860">
        <v>1397.4530029</v>
      </c>
      <c r="H1860">
        <v>1379.7192382999999</v>
      </c>
      <c r="I1860">
        <v>1280.5383300999999</v>
      </c>
      <c r="J1860">
        <v>1257.6553954999999</v>
      </c>
      <c r="K1860">
        <v>2875</v>
      </c>
      <c r="L1860">
        <v>0</v>
      </c>
      <c r="M1860">
        <v>0</v>
      </c>
      <c r="N1860">
        <v>2875</v>
      </c>
    </row>
    <row r="1861" spans="1:14" x14ac:dyDescent="0.25">
      <c r="A1861">
        <v>1464.1357559999999</v>
      </c>
      <c r="B1861" s="1">
        <f>DATE(2014,5,4) + TIME(3,15,29)</f>
        <v>41763.135752314818</v>
      </c>
      <c r="C1861">
        <v>80</v>
      </c>
      <c r="D1861">
        <v>79.868385314999998</v>
      </c>
      <c r="E1861">
        <v>50</v>
      </c>
      <c r="F1861">
        <v>49.671619415000002</v>
      </c>
      <c r="G1861">
        <v>1397.3768310999999</v>
      </c>
      <c r="H1861">
        <v>1379.6604004000001</v>
      </c>
      <c r="I1861">
        <v>1280.5356445</v>
      </c>
      <c r="J1861">
        <v>1257.6517334</v>
      </c>
      <c r="K1861">
        <v>2875</v>
      </c>
      <c r="L1861">
        <v>0</v>
      </c>
      <c r="M1861">
        <v>0</v>
      </c>
      <c r="N1861">
        <v>2875</v>
      </c>
    </row>
    <row r="1862" spans="1:14" x14ac:dyDescent="0.25">
      <c r="A1862">
        <v>1464.2665280000001</v>
      </c>
      <c r="B1862" s="1">
        <f>DATE(2014,5,4) + TIME(6,23,48)</f>
        <v>41763.266527777778</v>
      </c>
      <c r="C1862">
        <v>80</v>
      </c>
      <c r="D1862">
        <v>79.885841369999994</v>
      </c>
      <c r="E1862">
        <v>50</v>
      </c>
      <c r="F1862">
        <v>49.661407470999997</v>
      </c>
      <c r="G1862">
        <v>1397.3013916</v>
      </c>
      <c r="H1862">
        <v>1379.6018065999999</v>
      </c>
      <c r="I1862">
        <v>1280.5329589999999</v>
      </c>
      <c r="J1862">
        <v>1257.6479492000001</v>
      </c>
      <c r="K1862">
        <v>2875</v>
      </c>
      <c r="L1862">
        <v>0</v>
      </c>
      <c r="M1862">
        <v>0</v>
      </c>
      <c r="N1862">
        <v>2875</v>
      </c>
    </row>
    <row r="1863" spans="1:14" x14ac:dyDescent="0.25">
      <c r="A1863">
        <v>1464.4026960000001</v>
      </c>
      <c r="B1863" s="1">
        <f>DATE(2014,5,4) + TIME(9,39,52)</f>
        <v>41763.402685185189</v>
      </c>
      <c r="C1863">
        <v>80</v>
      </c>
      <c r="D1863">
        <v>79.900619507000002</v>
      </c>
      <c r="E1863">
        <v>50</v>
      </c>
      <c r="F1863">
        <v>49.650848388999997</v>
      </c>
      <c r="G1863">
        <v>1397.2264404</v>
      </c>
      <c r="H1863">
        <v>1379.5432129000001</v>
      </c>
      <c r="I1863">
        <v>1280.5300293</v>
      </c>
      <c r="J1863">
        <v>1257.6439209</v>
      </c>
      <c r="K1863">
        <v>2875</v>
      </c>
      <c r="L1863">
        <v>0</v>
      </c>
      <c r="M1863">
        <v>0</v>
      </c>
      <c r="N1863">
        <v>2875</v>
      </c>
    </row>
    <row r="1864" spans="1:14" x14ac:dyDescent="0.25">
      <c r="A1864">
        <v>1464.5448710000001</v>
      </c>
      <c r="B1864" s="1">
        <f>DATE(2014,5,4) + TIME(13,4,36)</f>
        <v>41763.544861111113</v>
      </c>
      <c r="C1864">
        <v>80</v>
      </c>
      <c r="D1864">
        <v>79.913078307999996</v>
      </c>
      <c r="E1864">
        <v>50</v>
      </c>
      <c r="F1864">
        <v>49.639904022000003</v>
      </c>
      <c r="G1864">
        <v>1397.1517334</v>
      </c>
      <c r="H1864">
        <v>1379.484375</v>
      </c>
      <c r="I1864">
        <v>1280.5270995999999</v>
      </c>
      <c r="J1864">
        <v>1257.6398925999999</v>
      </c>
      <c r="K1864">
        <v>2875</v>
      </c>
      <c r="L1864">
        <v>0</v>
      </c>
      <c r="M1864">
        <v>0</v>
      </c>
      <c r="N1864">
        <v>2875</v>
      </c>
    </row>
    <row r="1865" spans="1:14" x14ac:dyDescent="0.25">
      <c r="A1865">
        <v>1464.692929</v>
      </c>
      <c r="B1865" s="1">
        <f>DATE(2014,5,4) + TIME(16,37,49)</f>
        <v>41763.692928240744</v>
      </c>
      <c r="C1865">
        <v>80</v>
      </c>
      <c r="D1865">
        <v>79.923477172999995</v>
      </c>
      <c r="E1865">
        <v>50</v>
      </c>
      <c r="F1865">
        <v>49.628578185999999</v>
      </c>
      <c r="G1865">
        <v>1397.0770264</v>
      </c>
      <c r="H1865">
        <v>1379.425293</v>
      </c>
      <c r="I1865">
        <v>1280.5239257999999</v>
      </c>
      <c r="J1865">
        <v>1257.6354980000001</v>
      </c>
      <c r="K1865">
        <v>2875</v>
      </c>
      <c r="L1865">
        <v>0</v>
      </c>
      <c r="M1865">
        <v>0</v>
      </c>
      <c r="N1865">
        <v>2875</v>
      </c>
    </row>
    <row r="1866" spans="1:14" x14ac:dyDescent="0.25">
      <c r="A1866">
        <v>1464.846356</v>
      </c>
      <c r="B1866" s="1">
        <f>DATE(2014,5,4) + TIME(20,18,45)</f>
        <v>41763.846354166664</v>
      </c>
      <c r="C1866">
        <v>80</v>
      </c>
      <c r="D1866">
        <v>79.932060242000006</v>
      </c>
      <c r="E1866">
        <v>50</v>
      </c>
      <c r="F1866">
        <v>49.616909026999998</v>
      </c>
      <c r="G1866">
        <v>1397.0023193</v>
      </c>
      <c r="H1866">
        <v>1379.3660889</v>
      </c>
      <c r="I1866">
        <v>1280.5206298999999</v>
      </c>
      <c r="J1866">
        <v>1257.6311035000001</v>
      </c>
      <c r="K1866">
        <v>2875</v>
      </c>
      <c r="L1866">
        <v>0</v>
      </c>
      <c r="M1866">
        <v>0</v>
      </c>
      <c r="N1866">
        <v>2875</v>
      </c>
    </row>
    <row r="1867" spans="1:14" x14ac:dyDescent="0.25">
      <c r="A1867">
        <v>1465.0057979999999</v>
      </c>
      <c r="B1867" s="1">
        <f>DATE(2014,5,5) + TIME(0,8,20)</f>
        <v>41764.005787037036</v>
      </c>
      <c r="C1867">
        <v>80</v>
      </c>
      <c r="D1867">
        <v>79.939125060999999</v>
      </c>
      <c r="E1867">
        <v>50</v>
      </c>
      <c r="F1867">
        <v>49.604854584000002</v>
      </c>
      <c r="G1867">
        <v>1396.9281006000001</v>
      </c>
      <c r="H1867">
        <v>1379.3068848</v>
      </c>
      <c r="I1867">
        <v>1280.5172118999999</v>
      </c>
      <c r="J1867">
        <v>1257.6264647999999</v>
      </c>
      <c r="K1867">
        <v>2875</v>
      </c>
      <c r="L1867">
        <v>0</v>
      </c>
      <c r="M1867">
        <v>0</v>
      </c>
      <c r="N1867">
        <v>2875</v>
      </c>
    </row>
    <row r="1868" spans="1:14" x14ac:dyDescent="0.25">
      <c r="A1868">
        <v>1465.1719599999999</v>
      </c>
      <c r="B1868" s="1">
        <f>DATE(2014,5,5) + TIME(4,7,37)</f>
        <v>41764.171956018516</v>
      </c>
      <c r="C1868">
        <v>80</v>
      </c>
      <c r="D1868">
        <v>79.944915770999998</v>
      </c>
      <c r="E1868">
        <v>50</v>
      </c>
      <c r="F1868">
        <v>49.592372894</v>
      </c>
      <c r="G1868">
        <v>1396.8538818</v>
      </c>
      <c r="H1868">
        <v>1379.2476807</v>
      </c>
      <c r="I1868">
        <v>1280.5136719</v>
      </c>
      <c r="J1868">
        <v>1257.621582</v>
      </c>
      <c r="K1868">
        <v>2875</v>
      </c>
      <c r="L1868">
        <v>0</v>
      </c>
      <c r="M1868">
        <v>0</v>
      </c>
      <c r="N1868">
        <v>2875</v>
      </c>
    </row>
    <row r="1869" spans="1:14" x14ac:dyDescent="0.25">
      <c r="A1869">
        <v>1465.345503</v>
      </c>
      <c r="B1869" s="1">
        <f>DATE(2014,5,5) + TIME(8,17,31)</f>
        <v>41764.345497685186</v>
      </c>
      <c r="C1869">
        <v>80</v>
      </c>
      <c r="D1869">
        <v>79.949630737000007</v>
      </c>
      <c r="E1869">
        <v>50</v>
      </c>
      <c r="F1869">
        <v>49.579421996999997</v>
      </c>
      <c r="G1869">
        <v>1396.7794189000001</v>
      </c>
      <c r="H1869">
        <v>1379.1881103999999</v>
      </c>
      <c r="I1869">
        <v>1280.5098877</v>
      </c>
      <c r="J1869">
        <v>1257.6165771000001</v>
      </c>
      <c r="K1869">
        <v>2875</v>
      </c>
      <c r="L1869">
        <v>0</v>
      </c>
      <c r="M1869">
        <v>0</v>
      </c>
      <c r="N1869">
        <v>2875</v>
      </c>
    </row>
    <row r="1870" spans="1:14" x14ac:dyDescent="0.25">
      <c r="A1870">
        <v>1465.527282</v>
      </c>
      <c r="B1870" s="1">
        <f>DATE(2014,5,5) + TIME(12,39,17)</f>
        <v>41764.527280092596</v>
      </c>
      <c r="C1870">
        <v>80</v>
      </c>
      <c r="D1870">
        <v>79.953453064000001</v>
      </c>
      <c r="E1870">
        <v>50</v>
      </c>
      <c r="F1870">
        <v>49.565948486000003</v>
      </c>
      <c r="G1870">
        <v>1396.7044678</v>
      </c>
      <c r="H1870">
        <v>1379.1280518000001</v>
      </c>
      <c r="I1870">
        <v>1280.5059814000001</v>
      </c>
      <c r="J1870">
        <v>1257.6112060999999</v>
      </c>
      <c r="K1870">
        <v>2875</v>
      </c>
      <c r="L1870">
        <v>0</v>
      </c>
      <c r="M1870">
        <v>0</v>
      </c>
      <c r="N1870">
        <v>2875</v>
      </c>
    </row>
    <row r="1871" spans="1:14" x14ac:dyDescent="0.25">
      <c r="A1871">
        <v>1465.718282</v>
      </c>
      <c r="B1871" s="1">
        <f>DATE(2014,5,5) + TIME(17,14,19)</f>
        <v>41764.718275462961</v>
      </c>
      <c r="C1871">
        <v>80</v>
      </c>
      <c r="D1871">
        <v>79.956542968999997</v>
      </c>
      <c r="E1871">
        <v>50</v>
      </c>
      <c r="F1871">
        <v>49.551895141999999</v>
      </c>
      <c r="G1871">
        <v>1396.6289062000001</v>
      </c>
      <c r="H1871">
        <v>1379.0673827999999</v>
      </c>
      <c r="I1871">
        <v>1280.5019531</v>
      </c>
      <c r="J1871">
        <v>1257.6057129000001</v>
      </c>
      <c r="K1871">
        <v>2875</v>
      </c>
      <c r="L1871">
        <v>0</v>
      </c>
      <c r="M1871">
        <v>0</v>
      </c>
      <c r="N1871">
        <v>2875</v>
      </c>
    </row>
    <row r="1872" spans="1:14" x14ac:dyDescent="0.25">
      <c r="A1872">
        <v>1465.914642</v>
      </c>
      <c r="B1872" s="1">
        <f>DATE(2014,5,5) + TIME(21,57,5)</f>
        <v>41764.914641203701</v>
      </c>
      <c r="C1872">
        <v>80</v>
      </c>
      <c r="D1872">
        <v>79.958969116000006</v>
      </c>
      <c r="E1872">
        <v>50</v>
      </c>
      <c r="F1872">
        <v>49.537479400999999</v>
      </c>
      <c r="G1872">
        <v>1396.5523682</v>
      </c>
      <c r="H1872">
        <v>1379.0059814000001</v>
      </c>
      <c r="I1872">
        <v>1280.4975586</v>
      </c>
      <c r="J1872">
        <v>1257.5998535000001</v>
      </c>
      <c r="K1872">
        <v>2875</v>
      </c>
      <c r="L1872">
        <v>0</v>
      </c>
      <c r="M1872">
        <v>0</v>
      </c>
      <c r="N1872">
        <v>2875</v>
      </c>
    </row>
    <row r="1873" spans="1:14" x14ac:dyDescent="0.25">
      <c r="A1873">
        <v>1466.112159</v>
      </c>
      <c r="B1873" s="1">
        <f>DATE(2014,5,6) + TIME(2,41,30)</f>
        <v>41765.11215277778</v>
      </c>
      <c r="C1873">
        <v>80</v>
      </c>
      <c r="D1873">
        <v>79.960838318</v>
      </c>
      <c r="E1873">
        <v>50</v>
      </c>
      <c r="F1873">
        <v>49.522949218999997</v>
      </c>
      <c r="G1873">
        <v>1396.4765625</v>
      </c>
      <c r="H1873">
        <v>1378.9450684000001</v>
      </c>
      <c r="I1873">
        <v>1280.4930420000001</v>
      </c>
      <c r="J1873">
        <v>1257.5939940999999</v>
      </c>
      <c r="K1873">
        <v>2875</v>
      </c>
      <c r="L1873">
        <v>0</v>
      </c>
      <c r="M1873">
        <v>0</v>
      </c>
      <c r="N1873">
        <v>2875</v>
      </c>
    </row>
    <row r="1874" spans="1:14" x14ac:dyDescent="0.25">
      <c r="A1874">
        <v>1466.311465</v>
      </c>
      <c r="B1874" s="1">
        <f>DATE(2014,5,6) + TIME(7,28,30)</f>
        <v>41765.31145833333</v>
      </c>
      <c r="C1874">
        <v>80</v>
      </c>
      <c r="D1874">
        <v>79.962287903000004</v>
      </c>
      <c r="E1874">
        <v>50</v>
      </c>
      <c r="F1874">
        <v>49.508285522000001</v>
      </c>
      <c r="G1874">
        <v>1396.402832</v>
      </c>
      <c r="H1874">
        <v>1378.8857422000001</v>
      </c>
      <c r="I1874">
        <v>1280.4885254000001</v>
      </c>
      <c r="J1874">
        <v>1257.5878906</v>
      </c>
      <c r="K1874">
        <v>2875</v>
      </c>
      <c r="L1874">
        <v>0</v>
      </c>
      <c r="M1874">
        <v>0</v>
      </c>
      <c r="N1874">
        <v>2875</v>
      </c>
    </row>
    <row r="1875" spans="1:14" x14ac:dyDescent="0.25">
      <c r="A1875">
        <v>1466.51316</v>
      </c>
      <c r="B1875" s="1">
        <f>DATE(2014,5,6) + TIME(12,18,57)</f>
        <v>41765.513159722221</v>
      </c>
      <c r="C1875">
        <v>80</v>
      </c>
      <c r="D1875">
        <v>79.963417053000001</v>
      </c>
      <c r="E1875">
        <v>50</v>
      </c>
      <c r="F1875">
        <v>49.493476868000002</v>
      </c>
      <c r="G1875">
        <v>1396.3308105000001</v>
      </c>
      <c r="H1875">
        <v>1378.8280029</v>
      </c>
      <c r="I1875">
        <v>1280.4838867000001</v>
      </c>
      <c r="J1875">
        <v>1257.5817870999999</v>
      </c>
      <c r="K1875">
        <v>2875</v>
      </c>
      <c r="L1875">
        <v>0</v>
      </c>
      <c r="M1875">
        <v>0</v>
      </c>
      <c r="N1875">
        <v>2875</v>
      </c>
    </row>
    <row r="1876" spans="1:14" x14ac:dyDescent="0.25">
      <c r="A1876">
        <v>1466.717842</v>
      </c>
      <c r="B1876" s="1">
        <f>DATE(2014,5,6) + TIME(17,13,41)</f>
        <v>41765.717835648145</v>
      </c>
      <c r="C1876">
        <v>80</v>
      </c>
      <c r="D1876">
        <v>79.964302063000005</v>
      </c>
      <c r="E1876">
        <v>50</v>
      </c>
      <c r="F1876">
        <v>49.478488921999997</v>
      </c>
      <c r="G1876">
        <v>1396.2602539</v>
      </c>
      <c r="H1876">
        <v>1378.7713623</v>
      </c>
      <c r="I1876">
        <v>1280.4793701000001</v>
      </c>
      <c r="J1876">
        <v>1257.5756836</v>
      </c>
      <c r="K1876">
        <v>2875</v>
      </c>
      <c r="L1876">
        <v>0</v>
      </c>
      <c r="M1876">
        <v>0</v>
      </c>
      <c r="N1876">
        <v>2875</v>
      </c>
    </row>
    <row r="1877" spans="1:14" x14ac:dyDescent="0.25">
      <c r="A1877">
        <v>1466.9261160000001</v>
      </c>
      <c r="B1877" s="1">
        <f>DATE(2014,5,6) + TIME(22,13,36)</f>
        <v>41765.926111111112</v>
      </c>
      <c r="C1877">
        <v>80</v>
      </c>
      <c r="D1877">
        <v>79.964996338000006</v>
      </c>
      <c r="E1877">
        <v>50</v>
      </c>
      <c r="F1877">
        <v>49.463298797999997</v>
      </c>
      <c r="G1877">
        <v>1396.1907959</v>
      </c>
      <c r="H1877">
        <v>1378.7155762</v>
      </c>
      <c r="I1877">
        <v>1280.4746094</v>
      </c>
      <c r="J1877">
        <v>1257.5693358999999</v>
      </c>
      <c r="K1877">
        <v>2875</v>
      </c>
      <c r="L1877">
        <v>0</v>
      </c>
      <c r="M1877">
        <v>0</v>
      </c>
      <c r="N1877">
        <v>2875</v>
      </c>
    </row>
    <row r="1878" spans="1:14" x14ac:dyDescent="0.25">
      <c r="A1878">
        <v>1467.1386110000001</v>
      </c>
      <c r="B1878" s="1">
        <f>DATE(2014,5,7) + TIME(3,19,35)</f>
        <v>41766.138599537036</v>
      </c>
      <c r="C1878">
        <v>80</v>
      </c>
      <c r="D1878">
        <v>79.965538025000001</v>
      </c>
      <c r="E1878">
        <v>50</v>
      </c>
      <c r="F1878">
        <v>49.447872162000003</v>
      </c>
      <c r="G1878">
        <v>1396.1221923999999</v>
      </c>
      <c r="H1878">
        <v>1378.6605225000001</v>
      </c>
      <c r="I1878">
        <v>1280.4698486</v>
      </c>
      <c r="J1878">
        <v>1257.5629882999999</v>
      </c>
      <c r="K1878">
        <v>2875</v>
      </c>
      <c r="L1878">
        <v>0</v>
      </c>
      <c r="M1878">
        <v>0</v>
      </c>
      <c r="N1878">
        <v>2875</v>
      </c>
    </row>
    <row r="1879" spans="1:14" x14ac:dyDescent="0.25">
      <c r="A1879">
        <v>1467.355988</v>
      </c>
      <c r="B1879" s="1">
        <f>DATE(2014,5,7) + TIME(8,32,37)</f>
        <v>41766.355983796297</v>
      </c>
      <c r="C1879">
        <v>80</v>
      </c>
      <c r="D1879">
        <v>79.965972899999997</v>
      </c>
      <c r="E1879">
        <v>50</v>
      </c>
      <c r="F1879">
        <v>49.432174683</v>
      </c>
      <c r="G1879">
        <v>1396.0543213000001</v>
      </c>
      <c r="H1879">
        <v>1378.6060791</v>
      </c>
      <c r="I1879">
        <v>1280.4649658000001</v>
      </c>
      <c r="J1879">
        <v>1257.5565185999999</v>
      </c>
      <c r="K1879">
        <v>2875</v>
      </c>
      <c r="L1879">
        <v>0</v>
      </c>
      <c r="M1879">
        <v>0</v>
      </c>
      <c r="N1879">
        <v>2875</v>
      </c>
    </row>
    <row r="1880" spans="1:14" x14ac:dyDescent="0.25">
      <c r="A1880">
        <v>1467.5789600000001</v>
      </c>
      <c r="B1880" s="1">
        <f>DATE(2014,5,7) + TIME(13,53,42)</f>
        <v>41766.578958333332</v>
      </c>
      <c r="C1880">
        <v>80</v>
      </c>
      <c r="D1880">
        <v>79.966323853000006</v>
      </c>
      <c r="E1880">
        <v>50</v>
      </c>
      <c r="F1880">
        <v>49.416164397999999</v>
      </c>
      <c r="G1880">
        <v>1395.9868164</v>
      </c>
      <c r="H1880">
        <v>1378.5520019999999</v>
      </c>
      <c r="I1880">
        <v>1280.4599608999999</v>
      </c>
      <c r="J1880">
        <v>1257.5498047000001</v>
      </c>
      <c r="K1880">
        <v>2875</v>
      </c>
      <c r="L1880">
        <v>0</v>
      </c>
      <c r="M1880">
        <v>0</v>
      </c>
      <c r="N1880">
        <v>2875</v>
      </c>
    </row>
    <row r="1881" spans="1:14" x14ac:dyDescent="0.25">
      <c r="A1881">
        <v>1467.808329</v>
      </c>
      <c r="B1881" s="1">
        <f>DATE(2014,5,7) + TIME(19,23,59)</f>
        <v>41766.808321759258</v>
      </c>
      <c r="C1881">
        <v>80</v>
      </c>
      <c r="D1881">
        <v>79.966598511000001</v>
      </c>
      <c r="E1881">
        <v>50</v>
      </c>
      <c r="F1881">
        <v>49.399795531999999</v>
      </c>
      <c r="G1881">
        <v>1395.9194336</v>
      </c>
      <c r="H1881">
        <v>1378.4980469</v>
      </c>
      <c r="I1881">
        <v>1280.4548339999999</v>
      </c>
      <c r="J1881">
        <v>1257.5429687999999</v>
      </c>
      <c r="K1881">
        <v>2875</v>
      </c>
      <c r="L1881">
        <v>0</v>
      </c>
      <c r="M1881">
        <v>0</v>
      </c>
      <c r="N1881">
        <v>2875</v>
      </c>
    </row>
    <row r="1882" spans="1:14" x14ac:dyDescent="0.25">
      <c r="A1882">
        <v>1468.0450619999999</v>
      </c>
      <c r="B1882" s="1">
        <f>DATE(2014,5,8) + TIME(1,4,53)</f>
        <v>41767.045057870368</v>
      </c>
      <c r="C1882">
        <v>80</v>
      </c>
      <c r="D1882">
        <v>79.966819763000004</v>
      </c>
      <c r="E1882">
        <v>50</v>
      </c>
      <c r="F1882">
        <v>49.383014678999999</v>
      </c>
      <c r="G1882">
        <v>1395.8520507999999</v>
      </c>
      <c r="H1882">
        <v>1378.4442139</v>
      </c>
      <c r="I1882">
        <v>1280.4495850000001</v>
      </c>
      <c r="J1882">
        <v>1257.5358887</v>
      </c>
      <c r="K1882">
        <v>2875</v>
      </c>
      <c r="L1882">
        <v>0</v>
      </c>
      <c r="M1882">
        <v>0</v>
      </c>
      <c r="N1882">
        <v>2875</v>
      </c>
    </row>
    <row r="1883" spans="1:14" x14ac:dyDescent="0.25">
      <c r="A1883">
        <v>1468.28692</v>
      </c>
      <c r="B1883" s="1">
        <f>DATE(2014,5,8) + TIME(6,53,9)</f>
        <v>41767.286909722221</v>
      </c>
      <c r="C1883">
        <v>80</v>
      </c>
      <c r="D1883">
        <v>79.966995238999999</v>
      </c>
      <c r="E1883">
        <v>50</v>
      </c>
      <c r="F1883">
        <v>49.365928650000001</v>
      </c>
      <c r="G1883">
        <v>1395.7844238</v>
      </c>
      <c r="H1883">
        <v>1378.3901367000001</v>
      </c>
      <c r="I1883">
        <v>1280.4440918</v>
      </c>
      <c r="J1883">
        <v>1257.5285644999999</v>
      </c>
      <c r="K1883">
        <v>2875</v>
      </c>
      <c r="L1883">
        <v>0</v>
      </c>
      <c r="M1883">
        <v>0</v>
      </c>
      <c r="N1883">
        <v>2875</v>
      </c>
    </row>
    <row r="1884" spans="1:14" x14ac:dyDescent="0.25">
      <c r="A1884">
        <v>1468.533944</v>
      </c>
      <c r="B1884" s="1">
        <f>DATE(2014,5,8) + TIME(12,48,52)</f>
        <v>41767.533935185187</v>
      </c>
      <c r="C1884">
        <v>80</v>
      </c>
      <c r="D1884">
        <v>79.967132567999997</v>
      </c>
      <c r="E1884">
        <v>50</v>
      </c>
      <c r="F1884">
        <v>49.348545074</v>
      </c>
      <c r="G1884">
        <v>1395.7171631000001</v>
      </c>
      <c r="H1884">
        <v>1378.3364257999999</v>
      </c>
      <c r="I1884">
        <v>1280.4384766000001</v>
      </c>
      <c r="J1884">
        <v>1257.5211182</v>
      </c>
      <c r="K1884">
        <v>2875</v>
      </c>
      <c r="L1884">
        <v>0</v>
      </c>
      <c r="M1884">
        <v>0</v>
      </c>
      <c r="N1884">
        <v>2875</v>
      </c>
    </row>
    <row r="1885" spans="1:14" x14ac:dyDescent="0.25">
      <c r="A1885">
        <v>1468.7868060000001</v>
      </c>
      <c r="B1885" s="1">
        <f>DATE(2014,5,8) + TIME(18,53,0)</f>
        <v>41767.786805555559</v>
      </c>
      <c r="C1885">
        <v>80</v>
      </c>
      <c r="D1885">
        <v>79.967247009000005</v>
      </c>
      <c r="E1885">
        <v>50</v>
      </c>
      <c r="F1885">
        <v>49.330829620000003</v>
      </c>
      <c r="G1885">
        <v>1395.6502685999999</v>
      </c>
      <c r="H1885">
        <v>1378.2830810999999</v>
      </c>
      <c r="I1885">
        <v>1280.4327393000001</v>
      </c>
      <c r="J1885">
        <v>1257.5134277</v>
      </c>
      <c r="K1885">
        <v>2875</v>
      </c>
      <c r="L1885">
        <v>0</v>
      </c>
      <c r="M1885">
        <v>0</v>
      </c>
      <c r="N1885">
        <v>2875</v>
      </c>
    </row>
    <row r="1886" spans="1:14" x14ac:dyDescent="0.25">
      <c r="A1886">
        <v>1469.0462239999999</v>
      </c>
      <c r="B1886" s="1">
        <f>DATE(2014,5,9) + TIME(1,6,33)</f>
        <v>41768.046215277776</v>
      </c>
      <c r="C1886">
        <v>80</v>
      </c>
      <c r="D1886">
        <v>79.967338561999995</v>
      </c>
      <c r="E1886">
        <v>50</v>
      </c>
      <c r="F1886">
        <v>49.312747954999999</v>
      </c>
      <c r="G1886">
        <v>1395.5836182</v>
      </c>
      <c r="H1886">
        <v>1378.2298584</v>
      </c>
      <c r="I1886">
        <v>1280.4268798999999</v>
      </c>
      <c r="J1886">
        <v>1257.5056152</v>
      </c>
      <c r="K1886">
        <v>2875</v>
      </c>
      <c r="L1886">
        <v>0</v>
      </c>
      <c r="M1886">
        <v>0</v>
      </c>
      <c r="N1886">
        <v>2875</v>
      </c>
    </row>
    <row r="1887" spans="1:14" x14ac:dyDescent="0.25">
      <c r="A1887">
        <v>1469.3129839999999</v>
      </c>
      <c r="B1887" s="1">
        <f>DATE(2014,5,9) + TIME(7,30,41)</f>
        <v>41768.312974537039</v>
      </c>
      <c r="C1887">
        <v>80</v>
      </c>
      <c r="D1887">
        <v>79.967414856000005</v>
      </c>
      <c r="E1887">
        <v>50</v>
      </c>
      <c r="F1887">
        <v>49.294261931999998</v>
      </c>
      <c r="G1887">
        <v>1395.5170897999999</v>
      </c>
      <c r="H1887">
        <v>1378.1767577999999</v>
      </c>
      <c r="I1887">
        <v>1280.4207764</v>
      </c>
      <c r="J1887">
        <v>1257.4975586</v>
      </c>
      <c r="K1887">
        <v>2875</v>
      </c>
      <c r="L1887">
        <v>0</v>
      </c>
      <c r="M1887">
        <v>0</v>
      </c>
      <c r="N1887">
        <v>2875</v>
      </c>
    </row>
    <row r="1888" spans="1:14" x14ac:dyDescent="0.25">
      <c r="A1888">
        <v>1469.587957</v>
      </c>
      <c r="B1888" s="1">
        <f>DATE(2014,5,9) + TIME(14,6,39)</f>
        <v>41768.587951388887</v>
      </c>
      <c r="C1888">
        <v>80</v>
      </c>
      <c r="D1888">
        <v>79.967468261999997</v>
      </c>
      <c r="E1888">
        <v>50</v>
      </c>
      <c r="F1888">
        <v>49.275318145999996</v>
      </c>
      <c r="G1888">
        <v>1395.4503173999999</v>
      </c>
      <c r="H1888">
        <v>1378.1236572</v>
      </c>
      <c r="I1888">
        <v>1280.4146728999999</v>
      </c>
      <c r="J1888">
        <v>1257.4892577999999</v>
      </c>
      <c r="K1888">
        <v>2875</v>
      </c>
      <c r="L1888">
        <v>0</v>
      </c>
      <c r="M1888">
        <v>0</v>
      </c>
      <c r="N1888">
        <v>2875</v>
      </c>
    </row>
    <row r="1889" spans="1:14" x14ac:dyDescent="0.25">
      <c r="A1889">
        <v>1469.8722600000001</v>
      </c>
      <c r="B1889" s="1">
        <f>DATE(2014,5,9) + TIME(20,56,3)</f>
        <v>41768.872256944444</v>
      </c>
      <c r="C1889">
        <v>80</v>
      </c>
      <c r="D1889">
        <v>79.967514038000004</v>
      </c>
      <c r="E1889">
        <v>50</v>
      </c>
      <c r="F1889">
        <v>49.255859375</v>
      </c>
      <c r="G1889">
        <v>1395.3833007999999</v>
      </c>
      <c r="H1889">
        <v>1378.0703125</v>
      </c>
      <c r="I1889">
        <v>1280.4082031</v>
      </c>
      <c r="J1889">
        <v>1257.4807129000001</v>
      </c>
      <c r="K1889">
        <v>2875</v>
      </c>
      <c r="L1889">
        <v>0</v>
      </c>
      <c r="M1889">
        <v>0</v>
      </c>
      <c r="N1889">
        <v>2875</v>
      </c>
    </row>
    <row r="1890" spans="1:14" x14ac:dyDescent="0.25">
      <c r="A1890">
        <v>1470.166921</v>
      </c>
      <c r="B1890" s="1">
        <f>DATE(2014,5,10) + TIME(4,0,21)</f>
        <v>41769.166909722226</v>
      </c>
      <c r="C1890">
        <v>80</v>
      </c>
      <c r="D1890">
        <v>79.967552185000002</v>
      </c>
      <c r="E1890">
        <v>50</v>
      </c>
      <c r="F1890">
        <v>49.235828400000003</v>
      </c>
      <c r="G1890">
        <v>1395.3157959</v>
      </c>
      <c r="H1890">
        <v>1378.0166016000001</v>
      </c>
      <c r="I1890">
        <v>1280.4016113</v>
      </c>
      <c r="J1890">
        <v>1257.4719238</v>
      </c>
      <c r="K1890">
        <v>2875</v>
      </c>
      <c r="L1890">
        <v>0</v>
      </c>
      <c r="M1890">
        <v>0</v>
      </c>
      <c r="N1890">
        <v>2875</v>
      </c>
    </row>
    <row r="1891" spans="1:14" x14ac:dyDescent="0.25">
      <c r="A1891">
        <v>1470.4731569999999</v>
      </c>
      <c r="B1891" s="1">
        <f>DATE(2014,5,10) + TIME(11,21,20)</f>
        <v>41769.47314814815</v>
      </c>
      <c r="C1891">
        <v>80</v>
      </c>
      <c r="D1891">
        <v>79.967575073000006</v>
      </c>
      <c r="E1891">
        <v>50</v>
      </c>
      <c r="F1891">
        <v>49.21516037</v>
      </c>
      <c r="G1891">
        <v>1395.2475586</v>
      </c>
      <c r="H1891">
        <v>1377.9622803</v>
      </c>
      <c r="I1891">
        <v>1280.3946533000001</v>
      </c>
      <c r="J1891">
        <v>1257.4627685999999</v>
      </c>
      <c r="K1891">
        <v>2875</v>
      </c>
      <c r="L1891">
        <v>0</v>
      </c>
      <c r="M1891">
        <v>0</v>
      </c>
      <c r="N1891">
        <v>2875</v>
      </c>
    </row>
    <row r="1892" spans="1:14" x14ac:dyDescent="0.25">
      <c r="A1892">
        <v>1470.7854990000001</v>
      </c>
      <c r="B1892" s="1">
        <f>DATE(2014,5,10) + TIME(18,51,7)</f>
        <v>41769.785497685189</v>
      </c>
      <c r="C1892">
        <v>80</v>
      </c>
      <c r="D1892">
        <v>79.967597960999996</v>
      </c>
      <c r="E1892">
        <v>50</v>
      </c>
      <c r="F1892">
        <v>49.194091796999999</v>
      </c>
      <c r="G1892">
        <v>1395.1784668</v>
      </c>
      <c r="H1892">
        <v>1377.9074707</v>
      </c>
      <c r="I1892">
        <v>1280.3874512</v>
      </c>
      <c r="J1892">
        <v>1257.4532471</v>
      </c>
      <c r="K1892">
        <v>2875</v>
      </c>
      <c r="L1892">
        <v>0</v>
      </c>
      <c r="M1892">
        <v>0</v>
      </c>
      <c r="N1892">
        <v>2875</v>
      </c>
    </row>
    <row r="1893" spans="1:14" x14ac:dyDescent="0.25">
      <c r="A1893">
        <v>1471.1002140000001</v>
      </c>
      <c r="B1893" s="1">
        <f>DATE(2014,5,11) + TIME(2,24,18)</f>
        <v>41770.100208333337</v>
      </c>
      <c r="C1893">
        <v>80</v>
      </c>
      <c r="D1893">
        <v>79.967613220000004</v>
      </c>
      <c r="E1893">
        <v>50</v>
      </c>
      <c r="F1893">
        <v>49.172821044999999</v>
      </c>
      <c r="G1893">
        <v>1395.1098632999999</v>
      </c>
      <c r="H1893">
        <v>1377.8529053</v>
      </c>
      <c r="I1893">
        <v>1280.3800048999999</v>
      </c>
      <c r="J1893">
        <v>1257.4434814000001</v>
      </c>
      <c r="K1893">
        <v>2875</v>
      </c>
      <c r="L1893">
        <v>0</v>
      </c>
      <c r="M1893">
        <v>0</v>
      </c>
      <c r="N1893">
        <v>2875</v>
      </c>
    </row>
    <row r="1894" spans="1:14" x14ac:dyDescent="0.25">
      <c r="A1894">
        <v>1471.4182290000001</v>
      </c>
      <c r="B1894" s="1">
        <f>DATE(2014,5,11) + TIME(10,2,14)</f>
        <v>41770.418217592596</v>
      </c>
      <c r="C1894">
        <v>80</v>
      </c>
      <c r="D1894">
        <v>79.967620850000003</v>
      </c>
      <c r="E1894">
        <v>50</v>
      </c>
      <c r="F1894">
        <v>49.151351929</v>
      </c>
      <c r="G1894">
        <v>1395.0423584</v>
      </c>
      <c r="H1894">
        <v>1377.7993164</v>
      </c>
      <c r="I1894">
        <v>1280.3725586</v>
      </c>
      <c r="J1894">
        <v>1257.4335937999999</v>
      </c>
      <c r="K1894">
        <v>2875</v>
      </c>
      <c r="L1894">
        <v>0</v>
      </c>
      <c r="M1894">
        <v>0</v>
      </c>
      <c r="N1894">
        <v>2875</v>
      </c>
    </row>
    <row r="1895" spans="1:14" x14ac:dyDescent="0.25">
      <c r="A1895">
        <v>1471.7404550000001</v>
      </c>
      <c r="B1895" s="1">
        <f>DATE(2014,5,11) + TIME(17,46,15)</f>
        <v>41770.740451388891</v>
      </c>
      <c r="C1895">
        <v>80</v>
      </c>
      <c r="D1895">
        <v>79.967620850000003</v>
      </c>
      <c r="E1895">
        <v>50</v>
      </c>
      <c r="F1895">
        <v>49.129661560000002</v>
      </c>
      <c r="G1895">
        <v>1394.9758300999999</v>
      </c>
      <c r="H1895">
        <v>1377.746582</v>
      </c>
      <c r="I1895">
        <v>1280.3649902</v>
      </c>
      <c r="J1895">
        <v>1257.4235839999999</v>
      </c>
      <c r="K1895">
        <v>2875</v>
      </c>
      <c r="L1895">
        <v>0</v>
      </c>
      <c r="M1895">
        <v>0</v>
      </c>
      <c r="N1895">
        <v>2875</v>
      </c>
    </row>
    <row r="1896" spans="1:14" x14ac:dyDescent="0.25">
      <c r="A1896">
        <v>1472.0678210000001</v>
      </c>
      <c r="B1896" s="1">
        <f>DATE(2014,5,12) + TIME(1,37,39)</f>
        <v>41771.067812499998</v>
      </c>
      <c r="C1896">
        <v>80</v>
      </c>
      <c r="D1896">
        <v>79.967620850000003</v>
      </c>
      <c r="E1896">
        <v>50</v>
      </c>
      <c r="F1896">
        <v>49.107719420999999</v>
      </c>
      <c r="G1896">
        <v>1394.9101562000001</v>
      </c>
      <c r="H1896">
        <v>1377.6943358999999</v>
      </c>
      <c r="I1896">
        <v>1280.3574219</v>
      </c>
      <c r="J1896">
        <v>1257.4134521000001</v>
      </c>
      <c r="K1896">
        <v>2875</v>
      </c>
      <c r="L1896">
        <v>0</v>
      </c>
      <c r="M1896">
        <v>0</v>
      </c>
      <c r="N1896">
        <v>2875</v>
      </c>
    </row>
    <row r="1897" spans="1:14" x14ac:dyDescent="0.25">
      <c r="A1897">
        <v>1472.4012909999999</v>
      </c>
      <c r="B1897" s="1">
        <f>DATE(2014,5,12) + TIME(9,37,51)</f>
        <v>41771.401284722226</v>
      </c>
      <c r="C1897">
        <v>80</v>
      </c>
      <c r="D1897">
        <v>79.967620850000003</v>
      </c>
      <c r="E1897">
        <v>50</v>
      </c>
      <c r="F1897">
        <v>49.085483551000003</v>
      </c>
      <c r="G1897">
        <v>1394.8448486</v>
      </c>
      <c r="H1897">
        <v>1377.6425781</v>
      </c>
      <c r="I1897">
        <v>1280.3496094</v>
      </c>
      <c r="J1897">
        <v>1257.4031981999999</v>
      </c>
      <c r="K1897">
        <v>2875</v>
      </c>
      <c r="L1897">
        <v>0</v>
      </c>
      <c r="M1897">
        <v>0</v>
      </c>
      <c r="N1897">
        <v>2875</v>
      </c>
    </row>
    <row r="1898" spans="1:14" x14ac:dyDescent="0.25">
      <c r="A1898">
        <v>1472.741884</v>
      </c>
      <c r="B1898" s="1">
        <f>DATE(2014,5,12) + TIME(17,48,18)</f>
        <v>41771.741875</v>
      </c>
      <c r="C1898">
        <v>80</v>
      </c>
      <c r="D1898">
        <v>79.967613220000004</v>
      </c>
      <c r="E1898">
        <v>50</v>
      </c>
      <c r="F1898">
        <v>49.062908172999997</v>
      </c>
      <c r="G1898">
        <v>1394.7800293</v>
      </c>
      <c r="H1898">
        <v>1377.5911865</v>
      </c>
      <c r="I1898">
        <v>1280.3416748</v>
      </c>
      <c r="J1898">
        <v>1257.3925781</v>
      </c>
      <c r="K1898">
        <v>2875</v>
      </c>
      <c r="L1898">
        <v>0</v>
      </c>
      <c r="M1898">
        <v>0</v>
      </c>
      <c r="N1898">
        <v>2875</v>
      </c>
    </row>
    <row r="1899" spans="1:14" x14ac:dyDescent="0.25">
      <c r="A1899">
        <v>1473.09069</v>
      </c>
      <c r="B1899" s="1">
        <f>DATE(2014,5,13) + TIME(2,10,35)</f>
        <v>41772.090682870374</v>
      </c>
      <c r="C1899">
        <v>80</v>
      </c>
      <c r="D1899">
        <v>79.967613220000004</v>
      </c>
      <c r="E1899">
        <v>50</v>
      </c>
      <c r="F1899">
        <v>49.039932251000003</v>
      </c>
      <c r="G1899">
        <v>1394.7152100000001</v>
      </c>
      <c r="H1899">
        <v>1377.5397949000001</v>
      </c>
      <c r="I1899">
        <v>1280.3334961</v>
      </c>
      <c r="J1899">
        <v>1257.3818358999999</v>
      </c>
      <c r="K1899">
        <v>2875</v>
      </c>
      <c r="L1899">
        <v>0</v>
      </c>
      <c r="M1899">
        <v>0</v>
      </c>
      <c r="N1899">
        <v>2875</v>
      </c>
    </row>
    <row r="1900" spans="1:14" x14ac:dyDescent="0.25">
      <c r="A1900">
        <v>1473.4488919999999</v>
      </c>
      <c r="B1900" s="1">
        <f>DATE(2014,5,13) + TIME(10,46,24)</f>
        <v>41772.448888888888</v>
      </c>
      <c r="C1900">
        <v>80</v>
      </c>
      <c r="D1900">
        <v>79.967597960999996</v>
      </c>
      <c r="E1900">
        <v>50</v>
      </c>
      <c r="F1900">
        <v>49.016498566000003</v>
      </c>
      <c r="G1900">
        <v>1394.6502685999999</v>
      </c>
      <c r="H1900">
        <v>1377.4884033000001</v>
      </c>
      <c r="I1900">
        <v>1280.3251952999999</v>
      </c>
      <c r="J1900">
        <v>1257.3707274999999</v>
      </c>
      <c r="K1900">
        <v>2875</v>
      </c>
      <c r="L1900">
        <v>0</v>
      </c>
      <c r="M1900">
        <v>0</v>
      </c>
      <c r="N1900">
        <v>2875</v>
      </c>
    </row>
    <row r="1901" spans="1:14" x14ac:dyDescent="0.25">
      <c r="A1901">
        <v>1473.8180010000001</v>
      </c>
      <c r="B1901" s="1">
        <f>DATE(2014,5,13) + TIME(19,37,55)</f>
        <v>41772.817997685182</v>
      </c>
      <c r="C1901">
        <v>80</v>
      </c>
      <c r="D1901">
        <v>79.967590332</v>
      </c>
      <c r="E1901">
        <v>50</v>
      </c>
      <c r="F1901">
        <v>48.992523192999997</v>
      </c>
      <c r="G1901">
        <v>1394.5852050999999</v>
      </c>
      <c r="H1901">
        <v>1377.4367675999999</v>
      </c>
      <c r="I1901">
        <v>1280.3165283000001</v>
      </c>
      <c r="J1901">
        <v>1257.3592529</v>
      </c>
      <c r="K1901">
        <v>2875</v>
      </c>
      <c r="L1901">
        <v>0</v>
      </c>
      <c r="M1901">
        <v>0</v>
      </c>
      <c r="N1901">
        <v>2875</v>
      </c>
    </row>
    <row r="1902" spans="1:14" x14ac:dyDescent="0.25">
      <c r="A1902">
        <v>1474.197107</v>
      </c>
      <c r="B1902" s="1">
        <f>DATE(2014,5,14) + TIME(4,43,50)</f>
        <v>41773.197106481479</v>
      </c>
      <c r="C1902">
        <v>80</v>
      </c>
      <c r="D1902">
        <v>79.967582703000005</v>
      </c>
      <c r="E1902">
        <v>50</v>
      </c>
      <c r="F1902">
        <v>48.968032837000003</v>
      </c>
      <c r="G1902">
        <v>1394.5196533000001</v>
      </c>
      <c r="H1902">
        <v>1377.3848877</v>
      </c>
      <c r="I1902">
        <v>1280.3077393000001</v>
      </c>
      <c r="J1902">
        <v>1257.3475341999999</v>
      </c>
      <c r="K1902">
        <v>2875</v>
      </c>
      <c r="L1902">
        <v>0</v>
      </c>
      <c r="M1902">
        <v>0</v>
      </c>
      <c r="N1902">
        <v>2875</v>
      </c>
    </row>
    <row r="1903" spans="1:14" x14ac:dyDescent="0.25">
      <c r="A1903">
        <v>1474.582437</v>
      </c>
      <c r="B1903" s="1">
        <f>DATE(2014,5,14) + TIME(13,58,42)</f>
        <v>41773.582430555558</v>
      </c>
      <c r="C1903">
        <v>80</v>
      </c>
      <c r="D1903">
        <v>79.967567443999997</v>
      </c>
      <c r="E1903">
        <v>50</v>
      </c>
      <c r="F1903">
        <v>48.943176270000002</v>
      </c>
      <c r="G1903">
        <v>1394.4538574000001</v>
      </c>
      <c r="H1903">
        <v>1377.3327637</v>
      </c>
      <c r="I1903">
        <v>1280.2984618999999</v>
      </c>
      <c r="J1903">
        <v>1257.3354492000001</v>
      </c>
      <c r="K1903">
        <v>2875</v>
      </c>
      <c r="L1903">
        <v>0</v>
      </c>
      <c r="M1903">
        <v>0</v>
      </c>
      <c r="N1903">
        <v>2875</v>
      </c>
    </row>
    <row r="1904" spans="1:14" x14ac:dyDescent="0.25">
      <c r="A1904">
        <v>1474.973847</v>
      </c>
      <c r="B1904" s="1">
        <f>DATE(2014,5,14) + TIME(23,22,20)</f>
        <v>41773.97384259259</v>
      </c>
      <c r="C1904">
        <v>80</v>
      </c>
      <c r="D1904">
        <v>79.967559813999998</v>
      </c>
      <c r="E1904">
        <v>50</v>
      </c>
      <c r="F1904">
        <v>48.917987822999997</v>
      </c>
      <c r="G1904">
        <v>1394.3883057</v>
      </c>
      <c r="H1904">
        <v>1377.2808838000001</v>
      </c>
      <c r="I1904">
        <v>1280.2891846</v>
      </c>
      <c r="J1904">
        <v>1257.3229980000001</v>
      </c>
      <c r="K1904">
        <v>2875</v>
      </c>
      <c r="L1904">
        <v>0</v>
      </c>
      <c r="M1904">
        <v>0</v>
      </c>
      <c r="N1904">
        <v>2875</v>
      </c>
    </row>
    <row r="1905" spans="1:14" x14ac:dyDescent="0.25">
      <c r="A1905">
        <v>1475.372337</v>
      </c>
      <c r="B1905" s="1">
        <f>DATE(2014,5,15) + TIME(8,56,9)</f>
        <v>41774.37232638889</v>
      </c>
      <c r="C1905">
        <v>80</v>
      </c>
      <c r="D1905">
        <v>79.967544556000007</v>
      </c>
      <c r="E1905">
        <v>50</v>
      </c>
      <c r="F1905">
        <v>48.892444611000002</v>
      </c>
      <c r="G1905">
        <v>1394.3233643000001</v>
      </c>
      <c r="H1905">
        <v>1377.2293701000001</v>
      </c>
      <c r="I1905">
        <v>1280.2795410000001</v>
      </c>
      <c r="J1905">
        <v>1257.3104248</v>
      </c>
      <c r="K1905">
        <v>2875</v>
      </c>
      <c r="L1905">
        <v>0</v>
      </c>
      <c r="M1905">
        <v>0</v>
      </c>
      <c r="N1905">
        <v>2875</v>
      </c>
    </row>
    <row r="1906" spans="1:14" x14ac:dyDescent="0.25">
      <c r="A1906">
        <v>1475.7789560000001</v>
      </c>
      <c r="B1906" s="1">
        <f>DATE(2014,5,15) + TIME(18,41,41)</f>
        <v>41774.778946759259</v>
      </c>
      <c r="C1906">
        <v>80</v>
      </c>
      <c r="D1906">
        <v>79.967529296999999</v>
      </c>
      <c r="E1906">
        <v>50</v>
      </c>
      <c r="F1906">
        <v>48.866512299</v>
      </c>
      <c r="G1906">
        <v>1394.2585449000001</v>
      </c>
      <c r="H1906">
        <v>1377.1781006000001</v>
      </c>
      <c r="I1906">
        <v>1280.2698975000001</v>
      </c>
      <c r="J1906">
        <v>1257.2974853999999</v>
      </c>
      <c r="K1906">
        <v>2875</v>
      </c>
      <c r="L1906">
        <v>0</v>
      </c>
      <c r="M1906">
        <v>0</v>
      </c>
      <c r="N1906">
        <v>2875</v>
      </c>
    </row>
    <row r="1907" spans="1:14" x14ac:dyDescent="0.25">
      <c r="A1907">
        <v>1476.194823</v>
      </c>
      <c r="B1907" s="1">
        <f>DATE(2014,5,16) + TIME(4,40,32)</f>
        <v>41775.194814814815</v>
      </c>
      <c r="C1907">
        <v>80</v>
      </c>
      <c r="D1907">
        <v>79.967514038000004</v>
      </c>
      <c r="E1907">
        <v>50</v>
      </c>
      <c r="F1907">
        <v>48.840145110999998</v>
      </c>
      <c r="G1907">
        <v>1394.1938477000001</v>
      </c>
      <c r="H1907">
        <v>1377.1268310999999</v>
      </c>
      <c r="I1907">
        <v>1280.2598877</v>
      </c>
      <c r="J1907">
        <v>1257.2843018000001</v>
      </c>
      <c r="K1907">
        <v>2875</v>
      </c>
      <c r="L1907">
        <v>0</v>
      </c>
      <c r="M1907">
        <v>0</v>
      </c>
      <c r="N1907">
        <v>2875</v>
      </c>
    </row>
    <row r="1908" spans="1:14" x14ac:dyDescent="0.25">
      <c r="A1908">
        <v>1476.6207240000001</v>
      </c>
      <c r="B1908" s="1">
        <f>DATE(2014,5,16) + TIME(14,53,50)</f>
        <v>41775.620717592596</v>
      </c>
      <c r="C1908">
        <v>80</v>
      </c>
      <c r="D1908">
        <v>79.967506408999995</v>
      </c>
      <c r="E1908">
        <v>50</v>
      </c>
      <c r="F1908">
        <v>48.813304901000002</v>
      </c>
      <c r="G1908">
        <v>1394.1291504000001</v>
      </c>
      <c r="H1908">
        <v>1377.0755615</v>
      </c>
      <c r="I1908">
        <v>1280.2496338000001</v>
      </c>
      <c r="J1908">
        <v>1257.2707519999999</v>
      </c>
      <c r="K1908">
        <v>2875</v>
      </c>
      <c r="L1908">
        <v>0</v>
      </c>
      <c r="M1908">
        <v>0</v>
      </c>
      <c r="N1908">
        <v>2875</v>
      </c>
    </row>
    <row r="1909" spans="1:14" x14ac:dyDescent="0.25">
      <c r="A1909">
        <v>1477.0507560000001</v>
      </c>
      <c r="B1909" s="1">
        <f>DATE(2014,5,17) + TIME(1,13,5)</f>
        <v>41776.050752314812</v>
      </c>
      <c r="C1909">
        <v>80</v>
      </c>
      <c r="D1909">
        <v>79.967491150000001</v>
      </c>
      <c r="E1909">
        <v>50</v>
      </c>
      <c r="F1909">
        <v>48.786205291999998</v>
      </c>
      <c r="G1909">
        <v>1394.0642089999999</v>
      </c>
      <c r="H1909">
        <v>1377.0240478999999</v>
      </c>
      <c r="I1909">
        <v>1280.2391356999999</v>
      </c>
      <c r="J1909">
        <v>1257.2568358999999</v>
      </c>
      <c r="K1909">
        <v>2875</v>
      </c>
      <c r="L1909">
        <v>0</v>
      </c>
      <c r="M1909">
        <v>0</v>
      </c>
      <c r="N1909">
        <v>2875</v>
      </c>
    </row>
    <row r="1910" spans="1:14" x14ac:dyDescent="0.25">
      <c r="A1910">
        <v>1477.486234</v>
      </c>
      <c r="B1910" s="1">
        <f>DATE(2014,5,17) + TIME(11,40,10)</f>
        <v>41776.486226851855</v>
      </c>
      <c r="C1910">
        <v>80</v>
      </c>
      <c r="D1910">
        <v>79.967475891000007</v>
      </c>
      <c r="E1910">
        <v>50</v>
      </c>
      <c r="F1910">
        <v>48.758850098000003</v>
      </c>
      <c r="G1910">
        <v>1394.0001221</v>
      </c>
      <c r="H1910">
        <v>1376.9732666</v>
      </c>
      <c r="I1910">
        <v>1280.2285156</v>
      </c>
      <c r="J1910">
        <v>1257.2427978999999</v>
      </c>
      <c r="K1910">
        <v>2875</v>
      </c>
      <c r="L1910">
        <v>0</v>
      </c>
      <c r="M1910">
        <v>0</v>
      </c>
      <c r="N1910">
        <v>2875</v>
      </c>
    </row>
    <row r="1911" spans="1:14" x14ac:dyDescent="0.25">
      <c r="A1911">
        <v>1477.928457</v>
      </c>
      <c r="B1911" s="1">
        <f>DATE(2014,5,17) + TIME(22,16,58)</f>
        <v>41776.928449074076</v>
      </c>
      <c r="C1911">
        <v>80</v>
      </c>
      <c r="D1911">
        <v>79.967460631999998</v>
      </c>
      <c r="E1911">
        <v>50</v>
      </c>
      <c r="F1911">
        <v>48.731197356999999</v>
      </c>
      <c r="G1911">
        <v>1393.9364014</v>
      </c>
      <c r="H1911">
        <v>1376.9228516000001</v>
      </c>
      <c r="I1911">
        <v>1280.2176514</v>
      </c>
      <c r="J1911">
        <v>1257.2283935999999</v>
      </c>
      <c r="K1911">
        <v>2875</v>
      </c>
      <c r="L1911">
        <v>0</v>
      </c>
      <c r="M1911">
        <v>0</v>
      </c>
      <c r="N1911">
        <v>2875</v>
      </c>
    </row>
    <row r="1912" spans="1:14" x14ac:dyDescent="0.25">
      <c r="A1912">
        <v>1478.3787910000001</v>
      </c>
      <c r="B1912" s="1">
        <f>DATE(2014,5,18) + TIME(9,5,27)</f>
        <v>41777.378784722219</v>
      </c>
      <c r="C1912">
        <v>80</v>
      </c>
      <c r="D1912">
        <v>79.967445373999993</v>
      </c>
      <c r="E1912">
        <v>50</v>
      </c>
      <c r="F1912">
        <v>48.703201294000003</v>
      </c>
      <c r="G1912">
        <v>1393.8730469</v>
      </c>
      <c r="H1912">
        <v>1376.8725586</v>
      </c>
      <c r="I1912">
        <v>1280.2066649999999</v>
      </c>
      <c r="J1912">
        <v>1257.2137451000001</v>
      </c>
      <c r="K1912">
        <v>2875</v>
      </c>
      <c r="L1912">
        <v>0</v>
      </c>
      <c r="M1912">
        <v>0</v>
      </c>
      <c r="N1912">
        <v>2875</v>
      </c>
    </row>
    <row r="1913" spans="1:14" x14ac:dyDescent="0.25">
      <c r="A1913">
        <v>1478.8386889999999</v>
      </c>
      <c r="B1913" s="1">
        <f>DATE(2014,5,18) + TIME(20,7,42)</f>
        <v>41777.838680555556</v>
      </c>
      <c r="C1913">
        <v>80</v>
      </c>
      <c r="D1913">
        <v>79.967437743999994</v>
      </c>
      <c r="E1913">
        <v>50</v>
      </c>
      <c r="F1913">
        <v>48.674797058000003</v>
      </c>
      <c r="G1913">
        <v>1393.8099365</v>
      </c>
      <c r="H1913">
        <v>1376.8225098</v>
      </c>
      <c r="I1913">
        <v>1280.1953125</v>
      </c>
      <c r="J1913">
        <v>1257.1987305</v>
      </c>
      <c r="K1913">
        <v>2875</v>
      </c>
      <c r="L1913">
        <v>0</v>
      </c>
      <c r="M1913">
        <v>0</v>
      </c>
      <c r="N1913">
        <v>2875</v>
      </c>
    </row>
    <row r="1914" spans="1:14" x14ac:dyDescent="0.25">
      <c r="A1914">
        <v>1479.3097210000001</v>
      </c>
      <c r="B1914" s="1">
        <f>DATE(2014,5,19) + TIME(7,25,59)</f>
        <v>41778.309710648151</v>
      </c>
      <c r="C1914">
        <v>80</v>
      </c>
      <c r="D1914">
        <v>79.967422485</v>
      </c>
      <c r="E1914">
        <v>50</v>
      </c>
      <c r="F1914">
        <v>48.645908356</v>
      </c>
      <c r="G1914">
        <v>1393.746582</v>
      </c>
      <c r="H1914">
        <v>1376.7723389</v>
      </c>
      <c r="I1914">
        <v>1280.1838379000001</v>
      </c>
      <c r="J1914">
        <v>1257.1833495999999</v>
      </c>
      <c r="K1914">
        <v>2875</v>
      </c>
      <c r="L1914">
        <v>0</v>
      </c>
      <c r="M1914">
        <v>0</v>
      </c>
      <c r="N1914">
        <v>2875</v>
      </c>
    </row>
    <row r="1915" spans="1:14" x14ac:dyDescent="0.25">
      <c r="A1915">
        <v>1479.79394</v>
      </c>
      <c r="B1915" s="1">
        <f>DATE(2014,5,19) + TIME(19,3,16)</f>
        <v>41778.793935185182</v>
      </c>
      <c r="C1915">
        <v>80</v>
      </c>
      <c r="D1915">
        <v>79.967407226999995</v>
      </c>
      <c r="E1915">
        <v>50</v>
      </c>
      <c r="F1915">
        <v>48.616436004999997</v>
      </c>
      <c r="G1915">
        <v>1393.6831055</v>
      </c>
      <c r="H1915">
        <v>1376.7219238</v>
      </c>
      <c r="I1915">
        <v>1280.171875</v>
      </c>
      <c r="J1915">
        <v>1257.1674805</v>
      </c>
      <c r="K1915">
        <v>2875</v>
      </c>
      <c r="L1915">
        <v>0</v>
      </c>
      <c r="M1915">
        <v>0</v>
      </c>
      <c r="N1915">
        <v>2875</v>
      </c>
    </row>
    <row r="1916" spans="1:14" x14ac:dyDescent="0.25">
      <c r="A1916">
        <v>1480.2930180000001</v>
      </c>
      <c r="B1916" s="1">
        <f>DATE(2014,5,20) + TIME(7,1,56)</f>
        <v>41779.293009259258</v>
      </c>
      <c r="C1916">
        <v>80</v>
      </c>
      <c r="D1916">
        <v>79.967391968000001</v>
      </c>
      <c r="E1916">
        <v>50</v>
      </c>
      <c r="F1916">
        <v>48.586292266999997</v>
      </c>
      <c r="G1916">
        <v>1393.6191406</v>
      </c>
      <c r="H1916">
        <v>1376.6710204999999</v>
      </c>
      <c r="I1916">
        <v>1280.159668</v>
      </c>
      <c r="J1916">
        <v>1257.1511230000001</v>
      </c>
      <c r="K1916">
        <v>2875</v>
      </c>
      <c r="L1916">
        <v>0</v>
      </c>
      <c r="M1916">
        <v>0</v>
      </c>
      <c r="N1916">
        <v>2875</v>
      </c>
    </row>
    <row r="1917" spans="1:14" x14ac:dyDescent="0.25">
      <c r="A1917">
        <v>1480.805106</v>
      </c>
      <c r="B1917" s="1">
        <f>DATE(2014,5,20) + TIME(19,19,21)</f>
        <v>41779.805104166669</v>
      </c>
      <c r="C1917">
        <v>80</v>
      </c>
      <c r="D1917">
        <v>79.967384338000002</v>
      </c>
      <c r="E1917">
        <v>50</v>
      </c>
      <c r="F1917">
        <v>48.555503844999997</v>
      </c>
      <c r="G1917">
        <v>1393.5544434000001</v>
      </c>
      <c r="H1917">
        <v>1376.619751</v>
      </c>
      <c r="I1917">
        <v>1280.1468506000001</v>
      </c>
      <c r="J1917">
        <v>1257.1342772999999</v>
      </c>
      <c r="K1917">
        <v>2875</v>
      </c>
      <c r="L1917">
        <v>0</v>
      </c>
      <c r="M1917">
        <v>0</v>
      </c>
      <c r="N1917">
        <v>2875</v>
      </c>
    </row>
    <row r="1918" spans="1:14" x14ac:dyDescent="0.25">
      <c r="A1918">
        <v>1481.3240719999999</v>
      </c>
      <c r="B1918" s="1">
        <f>DATE(2014,5,21) + TIME(7,46,39)</f>
        <v>41780.324062500003</v>
      </c>
      <c r="C1918">
        <v>80</v>
      </c>
      <c r="D1918">
        <v>79.967369079999997</v>
      </c>
      <c r="E1918">
        <v>50</v>
      </c>
      <c r="F1918">
        <v>48.524291992000002</v>
      </c>
      <c r="G1918">
        <v>1393.4892577999999</v>
      </c>
      <c r="H1918">
        <v>1376.5679932</v>
      </c>
      <c r="I1918">
        <v>1280.1336670000001</v>
      </c>
      <c r="J1918">
        <v>1257.1168213000001</v>
      </c>
      <c r="K1918">
        <v>2875</v>
      </c>
      <c r="L1918">
        <v>0</v>
      </c>
      <c r="M1918">
        <v>0</v>
      </c>
      <c r="N1918">
        <v>2875</v>
      </c>
    </row>
    <row r="1919" spans="1:14" x14ac:dyDescent="0.25">
      <c r="A1919">
        <v>1481.8513849999999</v>
      </c>
      <c r="B1919" s="1">
        <f>DATE(2014,5,21) + TIME(20,25,59)</f>
        <v>41780.851377314815</v>
      </c>
      <c r="C1919">
        <v>80</v>
      </c>
      <c r="D1919">
        <v>79.967353821000003</v>
      </c>
      <c r="E1919">
        <v>50</v>
      </c>
      <c r="F1919">
        <v>48.492668152</v>
      </c>
      <c r="G1919">
        <v>1393.4246826000001</v>
      </c>
      <c r="H1919">
        <v>1376.5166016000001</v>
      </c>
      <c r="I1919">
        <v>1280.1203613</v>
      </c>
      <c r="J1919">
        <v>1257.0988769999999</v>
      </c>
      <c r="K1919">
        <v>2875</v>
      </c>
      <c r="L1919">
        <v>0</v>
      </c>
      <c r="M1919">
        <v>0</v>
      </c>
      <c r="N1919">
        <v>2875</v>
      </c>
    </row>
    <row r="1920" spans="1:14" x14ac:dyDescent="0.25">
      <c r="A1920">
        <v>1482.388514</v>
      </c>
      <c r="B1920" s="1">
        <f>DATE(2014,5,22) + TIME(9,19,27)</f>
        <v>41781.388506944444</v>
      </c>
      <c r="C1920">
        <v>80</v>
      </c>
      <c r="D1920">
        <v>79.967338561999995</v>
      </c>
      <c r="E1920">
        <v>50</v>
      </c>
      <c r="F1920">
        <v>48.460609435999999</v>
      </c>
      <c r="G1920">
        <v>1393.3602295000001</v>
      </c>
      <c r="H1920">
        <v>1376.465332</v>
      </c>
      <c r="I1920">
        <v>1280.1065673999999</v>
      </c>
      <c r="J1920">
        <v>1257.0806885</v>
      </c>
      <c r="K1920">
        <v>2875</v>
      </c>
      <c r="L1920">
        <v>0</v>
      </c>
      <c r="M1920">
        <v>0</v>
      </c>
      <c r="N1920">
        <v>2875</v>
      </c>
    </row>
    <row r="1921" spans="1:14" x14ac:dyDescent="0.25">
      <c r="A1921">
        <v>1482.9370280000001</v>
      </c>
      <c r="B1921" s="1">
        <f>DATE(2014,5,22) + TIME(22,29,19)</f>
        <v>41781.937025462961</v>
      </c>
      <c r="C1921">
        <v>80</v>
      </c>
      <c r="D1921">
        <v>79.967330933</v>
      </c>
      <c r="E1921">
        <v>50</v>
      </c>
      <c r="F1921">
        <v>48.428062439000001</v>
      </c>
      <c r="G1921">
        <v>1393.2957764</v>
      </c>
      <c r="H1921">
        <v>1376.4141846</v>
      </c>
      <c r="I1921">
        <v>1280.0926514</v>
      </c>
      <c r="J1921">
        <v>1257.0620117000001</v>
      </c>
      <c r="K1921">
        <v>2875</v>
      </c>
      <c r="L1921">
        <v>0</v>
      </c>
      <c r="M1921">
        <v>0</v>
      </c>
      <c r="N1921">
        <v>2875</v>
      </c>
    </row>
    <row r="1922" spans="1:14" x14ac:dyDescent="0.25">
      <c r="A1922">
        <v>1483.49468</v>
      </c>
      <c r="B1922" s="1">
        <f>DATE(2014,5,23) + TIME(11,52,20)</f>
        <v>41782.494675925926</v>
      </c>
      <c r="C1922">
        <v>80</v>
      </c>
      <c r="D1922">
        <v>79.967315674000005</v>
      </c>
      <c r="E1922">
        <v>50</v>
      </c>
      <c r="F1922">
        <v>48.395092009999999</v>
      </c>
      <c r="G1922">
        <v>1393.2313231999999</v>
      </c>
      <c r="H1922">
        <v>1376.362793</v>
      </c>
      <c r="I1922">
        <v>1280.0782471</v>
      </c>
      <c r="J1922">
        <v>1257.0427245999999</v>
      </c>
      <c r="K1922">
        <v>2875</v>
      </c>
      <c r="L1922">
        <v>0</v>
      </c>
      <c r="M1922">
        <v>0</v>
      </c>
      <c r="N1922">
        <v>2875</v>
      </c>
    </row>
    <row r="1923" spans="1:14" x14ac:dyDescent="0.25">
      <c r="A1923">
        <v>1484.0580279999999</v>
      </c>
      <c r="B1923" s="1">
        <f>DATE(2014,5,24) + TIME(1,23,33)</f>
        <v>41783.058020833334</v>
      </c>
      <c r="C1923">
        <v>80</v>
      </c>
      <c r="D1923">
        <v>79.967308044000006</v>
      </c>
      <c r="E1923">
        <v>50</v>
      </c>
      <c r="F1923">
        <v>48.361824036000002</v>
      </c>
      <c r="G1923">
        <v>1393.1669922000001</v>
      </c>
      <c r="H1923">
        <v>1376.3115233999999</v>
      </c>
      <c r="I1923">
        <v>1280.0634766000001</v>
      </c>
      <c r="J1923">
        <v>1257.0229492000001</v>
      </c>
      <c r="K1923">
        <v>2875</v>
      </c>
      <c r="L1923">
        <v>0</v>
      </c>
      <c r="M1923">
        <v>0</v>
      </c>
      <c r="N1923">
        <v>2875</v>
      </c>
    </row>
    <row r="1924" spans="1:14" x14ac:dyDescent="0.25">
      <c r="A1924">
        <v>1484.6288509999999</v>
      </c>
      <c r="B1924" s="1">
        <f>DATE(2014,5,24) + TIME(15,5,32)</f>
        <v>41783.628842592596</v>
      </c>
      <c r="C1924">
        <v>80</v>
      </c>
      <c r="D1924">
        <v>79.967292786000002</v>
      </c>
      <c r="E1924">
        <v>50</v>
      </c>
      <c r="F1924">
        <v>48.328254700000002</v>
      </c>
      <c r="G1924">
        <v>1393.1031493999999</v>
      </c>
      <c r="H1924">
        <v>1376.2606201000001</v>
      </c>
      <c r="I1924">
        <v>1280.0484618999999</v>
      </c>
      <c r="J1924">
        <v>1257.0029297000001</v>
      </c>
      <c r="K1924">
        <v>2875</v>
      </c>
      <c r="L1924">
        <v>0</v>
      </c>
      <c r="M1924">
        <v>0</v>
      </c>
      <c r="N1924">
        <v>2875</v>
      </c>
    </row>
    <row r="1925" spans="1:14" x14ac:dyDescent="0.25">
      <c r="A1925">
        <v>1485.208961</v>
      </c>
      <c r="B1925" s="1">
        <f>DATE(2014,5,25) + TIME(5,0,54)</f>
        <v>41784.208958333336</v>
      </c>
      <c r="C1925">
        <v>80</v>
      </c>
      <c r="D1925">
        <v>79.967285156000003</v>
      </c>
      <c r="E1925">
        <v>50</v>
      </c>
      <c r="F1925">
        <v>48.294334411999998</v>
      </c>
      <c r="G1925">
        <v>1393.0396728999999</v>
      </c>
      <c r="H1925">
        <v>1376.2100829999999</v>
      </c>
      <c r="I1925">
        <v>1280.0330810999999</v>
      </c>
      <c r="J1925">
        <v>1256.9824219</v>
      </c>
      <c r="K1925">
        <v>2875</v>
      </c>
      <c r="L1925">
        <v>0</v>
      </c>
      <c r="M1925">
        <v>0</v>
      </c>
      <c r="N1925">
        <v>2875</v>
      </c>
    </row>
    <row r="1926" spans="1:14" x14ac:dyDescent="0.25">
      <c r="A1926">
        <v>1485.800266</v>
      </c>
      <c r="B1926" s="1">
        <f>DATE(2014,5,25) + TIME(19,12,23)</f>
        <v>41784.800266203703</v>
      </c>
      <c r="C1926">
        <v>80</v>
      </c>
      <c r="D1926">
        <v>79.967269896999994</v>
      </c>
      <c r="E1926">
        <v>50</v>
      </c>
      <c r="F1926">
        <v>48.259983063</v>
      </c>
      <c r="G1926">
        <v>1392.9763184000001</v>
      </c>
      <c r="H1926">
        <v>1376.1595459</v>
      </c>
      <c r="I1926">
        <v>1280.0174560999999</v>
      </c>
      <c r="J1926">
        <v>1256.9613036999999</v>
      </c>
      <c r="K1926">
        <v>2875</v>
      </c>
      <c r="L1926">
        <v>0</v>
      </c>
      <c r="M1926">
        <v>0</v>
      </c>
      <c r="N1926">
        <v>2875</v>
      </c>
    </row>
    <row r="1927" spans="1:14" x14ac:dyDescent="0.25">
      <c r="A1927">
        <v>1486.403425</v>
      </c>
      <c r="B1927" s="1">
        <f>DATE(2014,5,26) + TIME(9,40,55)</f>
        <v>41785.403414351851</v>
      </c>
      <c r="C1927">
        <v>80</v>
      </c>
      <c r="D1927">
        <v>79.967262267999999</v>
      </c>
      <c r="E1927">
        <v>50</v>
      </c>
      <c r="F1927">
        <v>48.225158690999997</v>
      </c>
      <c r="G1927">
        <v>1392.9129639</v>
      </c>
      <c r="H1927">
        <v>1376.1088867000001</v>
      </c>
      <c r="I1927">
        <v>1280.0013428</v>
      </c>
      <c r="J1927">
        <v>1256.9396973</v>
      </c>
      <c r="K1927">
        <v>2875</v>
      </c>
      <c r="L1927">
        <v>0</v>
      </c>
      <c r="M1927">
        <v>0</v>
      </c>
      <c r="N1927">
        <v>2875</v>
      </c>
    </row>
    <row r="1928" spans="1:14" x14ac:dyDescent="0.25">
      <c r="A1928">
        <v>1487.0176879999999</v>
      </c>
      <c r="B1928" s="1">
        <f>DATE(2014,5,27) + TIME(0,25,28)</f>
        <v>41786.017685185187</v>
      </c>
      <c r="C1928">
        <v>80</v>
      </c>
      <c r="D1928">
        <v>79.967247009000005</v>
      </c>
      <c r="E1928">
        <v>50</v>
      </c>
      <c r="F1928">
        <v>48.189857482999997</v>
      </c>
      <c r="G1928">
        <v>1392.8494873</v>
      </c>
      <c r="H1928">
        <v>1376.0581055</v>
      </c>
      <c r="I1928">
        <v>1279.9848632999999</v>
      </c>
      <c r="J1928">
        <v>1256.9174805</v>
      </c>
      <c r="K1928">
        <v>2875</v>
      </c>
      <c r="L1928">
        <v>0</v>
      </c>
      <c r="M1928">
        <v>0</v>
      </c>
      <c r="N1928">
        <v>2875</v>
      </c>
    </row>
    <row r="1929" spans="1:14" x14ac:dyDescent="0.25">
      <c r="A1929">
        <v>1487.645055</v>
      </c>
      <c r="B1929" s="1">
        <f>DATE(2014,5,27) + TIME(15,28,52)</f>
        <v>41786.645046296297</v>
      </c>
      <c r="C1929">
        <v>80</v>
      </c>
      <c r="D1929">
        <v>79.967239379999995</v>
      </c>
      <c r="E1929">
        <v>50</v>
      </c>
      <c r="F1929">
        <v>48.154018401999998</v>
      </c>
      <c r="G1929">
        <v>1392.7858887</v>
      </c>
      <c r="H1929">
        <v>1376.0073242000001</v>
      </c>
      <c r="I1929">
        <v>1279.9678954999999</v>
      </c>
      <c r="J1929">
        <v>1256.8945312000001</v>
      </c>
      <c r="K1929">
        <v>2875</v>
      </c>
      <c r="L1929">
        <v>0</v>
      </c>
      <c r="M1929">
        <v>0</v>
      </c>
      <c r="N1929">
        <v>2875</v>
      </c>
    </row>
    <row r="1930" spans="1:14" x14ac:dyDescent="0.25">
      <c r="A1930">
        <v>1488.2876590000001</v>
      </c>
      <c r="B1930" s="1">
        <f>DATE(2014,5,28) + TIME(6,54,13)</f>
        <v>41787.28765046296</v>
      </c>
      <c r="C1930">
        <v>80</v>
      </c>
      <c r="D1930">
        <v>79.967231749999996</v>
      </c>
      <c r="E1930">
        <v>50</v>
      </c>
      <c r="F1930">
        <v>48.117553710999999</v>
      </c>
      <c r="G1930">
        <v>1392.722168</v>
      </c>
      <c r="H1930">
        <v>1375.9562988</v>
      </c>
      <c r="I1930">
        <v>1279.9503173999999</v>
      </c>
      <c r="J1930">
        <v>1256.8708495999999</v>
      </c>
      <c r="K1930">
        <v>2875</v>
      </c>
      <c r="L1930">
        <v>0</v>
      </c>
      <c r="M1930">
        <v>0</v>
      </c>
      <c r="N1930">
        <v>2875</v>
      </c>
    </row>
    <row r="1931" spans="1:14" x14ac:dyDescent="0.25">
      <c r="A1931">
        <v>1488.9440010000001</v>
      </c>
      <c r="B1931" s="1">
        <f>DATE(2014,5,28) + TIME(22,39,21)</f>
        <v>41787.943993055553</v>
      </c>
      <c r="C1931">
        <v>80</v>
      </c>
      <c r="D1931">
        <v>79.967224121000001</v>
      </c>
      <c r="E1931">
        <v>50</v>
      </c>
      <c r="F1931">
        <v>48.080474854000002</v>
      </c>
      <c r="G1931">
        <v>1392.6579589999999</v>
      </c>
      <c r="H1931">
        <v>1375.9049072</v>
      </c>
      <c r="I1931">
        <v>1279.932251</v>
      </c>
      <c r="J1931">
        <v>1256.8464355000001</v>
      </c>
      <c r="K1931">
        <v>2875</v>
      </c>
      <c r="L1931">
        <v>0</v>
      </c>
      <c r="M1931">
        <v>0</v>
      </c>
      <c r="N1931">
        <v>2875</v>
      </c>
    </row>
    <row r="1932" spans="1:14" x14ac:dyDescent="0.25">
      <c r="A1932">
        <v>1489.6039599999999</v>
      </c>
      <c r="B1932" s="1">
        <f>DATE(2014,5,29) + TIME(14,29,42)</f>
        <v>41788.603958333333</v>
      </c>
      <c r="C1932">
        <v>80</v>
      </c>
      <c r="D1932">
        <v>79.967208862000007</v>
      </c>
      <c r="E1932">
        <v>50</v>
      </c>
      <c r="F1932">
        <v>48.043075561999999</v>
      </c>
      <c r="G1932">
        <v>1392.5936279</v>
      </c>
      <c r="H1932">
        <v>1375.8532714999999</v>
      </c>
      <c r="I1932">
        <v>1279.9135742000001</v>
      </c>
      <c r="J1932">
        <v>1256.8211670000001</v>
      </c>
      <c r="K1932">
        <v>2875</v>
      </c>
      <c r="L1932">
        <v>0</v>
      </c>
      <c r="M1932">
        <v>0</v>
      </c>
      <c r="N1932">
        <v>2875</v>
      </c>
    </row>
    <row r="1933" spans="1:14" x14ac:dyDescent="0.25">
      <c r="A1933">
        <v>1490.2696309999999</v>
      </c>
      <c r="B1933" s="1">
        <f>DATE(2014,5,30) + TIME(6,28,16)</f>
        <v>41789.269629629627</v>
      </c>
      <c r="C1933">
        <v>80</v>
      </c>
      <c r="D1933">
        <v>79.967201232999997</v>
      </c>
      <c r="E1933">
        <v>50</v>
      </c>
      <c r="F1933">
        <v>48.005424499999997</v>
      </c>
      <c r="G1933">
        <v>1392.5300293</v>
      </c>
      <c r="H1933">
        <v>1375.8022461</v>
      </c>
      <c r="I1933">
        <v>1279.8946533000001</v>
      </c>
      <c r="J1933">
        <v>1256.7955322</v>
      </c>
      <c r="K1933">
        <v>2875</v>
      </c>
      <c r="L1933">
        <v>0</v>
      </c>
      <c r="M1933">
        <v>0</v>
      </c>
      <c r="N1933">
        <v>2875</v>
      </c>
    </row>
    <row r="1934" spans="1:14" x14ac:dyDescent="0.25">
      <c r="A1934">
        <v>1490.9430829999999</v>
      </c>
      <c r="B1934" s="1">
        <f>DATE(2014,5,30) + TIME(22,38,2)</f>
        <v>41789.943078703705</v>
      </c>
      <c r="C1934">
        <v>80</v>
      </c>
      <c r="D1934">
        <v>79.967193604000002</v>
      </c>
      <c r="E1934">
        <v>50</v>
      </c>
      <c r="F1934">
        <v>47.967506409000002</v>
      </c>
      <c r="G1934">
        <v>1392.4669189000001</v>
      </c>
      <c r="H1934">
        <v>1375.7515868999999</v>
      </c>
      <c r="I1934">
        <v>1279.8753661999999</v>
      </c>
      <c r="J1934">
        <v>1256.7692870999999</v>
      </c>
      <c r="K1934">
        <v>2875</v>
      </c>
      <c r="L1934">
        <v>0</v>
      </c>
      <c r="M1934">
        <v>0</v>
      </c>
      <c r="N1934">
        <v>2875</v>
      </c>
    </row>
    <row r="1935" spans="1:14" x14ac:dyDescent="0.25">
      <c r="A1935">
        <v>1491.6264349999999</v>
      </c>
      <c r="B1935" s="1">
        <f>DATE(2014,5,31) + TIME(15,2,3)</f>
        <v>41790.626423611109</v>
      </c>
      <c r="C1935">
        <v>80</v>
      </c>
      <c r="D1935">
        <v>79.967185974000003</v>
      </c>
      <c r="E1935">
        <v>50</v>
      </c>
      <c r="F1935">
        <v>47.929256439</v>
      </c>
      <c r="G1935">
        <v>1392.4041748</v>
      </c>
      <c r="H1935">
        <v>1375.7010498</v>
      </c>
      <c r="I1935">
        <v>1279.8557129000001</v>
      </c>
      <c r="J1935">
        <v>1256.7424315999999</v>
      </c>
      <c r="K1935">
        <v>2875</v>
      </c>
      <c r="L1935">
        <v>0</v>
      </c>
      <c r="M1935">
        <v>0</v>
      </c>
      <c r="N1935">
        <v>2875</v>
      </c>
    </row>
    <row r="1936" spans="1:14" x14ac:dyDescent="0.25">
      <c r="A1936">
        <v>1492</v>
      </c>
      <c r="B1936" s="1">
        <f>DATE(2014,6,1) + TIME(0,0,0)</f>
        <v>41791</v>
      </c>
      <c r="C1936">
        <v>80</v>
      </c>
      <c r="D1936">
        <v>79.967178344999994</v>
      </c>
      <c r="E1936">
        <v>50</v>
      </c>
      <c r="F1936">
        <v>47.902359009000001</v>
      </c>
      <c r="G1936">
        <v>1392.3415527</v>
      </c>
      <c r="H1936">
        <v>1375.6507568</v>
      </c>
      <c r="I1936">
        <v>1279.8342285000001</v>
      </c>
      <c r="J1936">
        <v>1256.7165527</v>
      </c>
      <c r="K1936">
        <v>2875</v>
      </c>
      <c r="L1936">
        <v>0</v>
      </c>
      <c r="M1936">
        <v>0</v>
      </c>
      <c r="N1936">
        <v>2875</v>
      </c>
    </row>
    <row r="1937" spans="1:14" x14ac:dyDescent="0.25">
      <c r="A1937">
        <v>1492.6954639999999</v>
      </c>
      <c r="B1937" s="1">
        <f>DATE(2014,6,1) + TIME(16,41,28)</f>
        <v>41791.695462962962</v>
      </c>
      <c r="C1937">
        <v>80</v>
      </c>
      <c r="D1937">
        <v>79.967170714999995</v>
      </c>
      <c r="E1937">
        <v>50</v>
      </c>
      <c r="F1937">
        <v>47.866611481</v>
      </c>
      <c r="G1937">
        <v>1392.3074951000001</v>
      </c>
      <c r="H1937">
        <v>1375.6232910000001</v>
      </c>
      <c r="I1937">
        <v>1279.8244629000001</v>
      </c>
      <c r="J1937">
        <v>1256.6988524999999</v>
      </c>
      <c r="K1937">
        <v>2875</v>
      </c>
      <c r="L1937">
        <v>0</v>
      </c>
      <c r="M1937">
        <v>0</v>
      </c>
      <c r="N1937">
        <v>2875</v>
      </c>
    </row>
    <row r="1938" spans="1:14" x14ac:dyDescent="0.25">
      <c r="A1938">
        <v>1493.413757</v>
      </c>
      <c r="B1938" s="1">
        <f>DATE(2014,6,2) + TIME(9,55,48)</f>
        <v>41792.41375</v>
      </c>
      <c r="C1938">
        <v>80</v>
      </c>
      <c r="D1938">
        <v>79.967170714999995</v>
      </c>
      <c r="E1938">
        <v>50</v>
      </c>
      <c r="F1938">
        <v>47.828716278000002</v>
      </c>
      <c r="G1938">
        <v>1392.2456055</v>
      </c>
      <c r="H1938">
        <v>1375.5734863</v>
      </c>
      <c r="I1938">
        <v>1279.8035889</v>
      </c>
      <c r="J1938">
        <v>1256.6705322</v>
      </c>
      <c r="K1938">
        <v>2875</v>
      </c>
      <c r="L1938">
        <v>0</v>
      </c>
      <c r="M1938">
        <v>0</v>
      </c>
      <c r="N1938">
        <v>2875</v>
      </c>
    </row>
    <row r="1939" spans="1:14" x14ac:dyDescent="0.25">
      <c r="A1939">
        <v>1494.141568</v>
      </c>
      <c r="B1939" s="1">
        <f>DATE(2014,6,3) + TIME(3,23,51)</f>
        <v>41793.141562500001</v>
      </c>
      <c r="C1939">
        <v>80</v>
      </c>
      <c r="D1939">
        <v>79.967163085999999</v>
      </c>
      <c r="E1939">
        <v>50</v>
      </c>
      <c r="F1939">
        <v>47.789520263999997</v>
      </c>
      <c r="G1939">
        <v>1392.1824951000001</v>
      </c>
      <c r="H1939">
        <v>1375.5225829999999</v>
      </c>
      <c r="I1939">
        <v>1279.7817382999999</v>
      </c>
      <c r="J1939">
        <v>1256.6407471</v>
      </c>
      <c r="K1939">
        <v>2875</v>
      </c>
      <c r="L1939">
        <v>0</v>
      </c>
      <c r="M1939">
        <v>0</v>
      </c>
      <c r="N1939">
        <v>2875</v>
      </c>
    </row>
    <row r="1940" spans="1:14" x14ac:dyDescent="0.25">
      <c r="A1940">
        <v>1494.8812499999999</v>
      </c>
      <c r="B1940" s="1">
        <f>DATE(2014,6,3) + TIME(21,9,0)</f>
        <v>41793.881249999999</v>
      </c>
      <c r="C1940">
        <v>80</v>
      </c>
      <c r="D1940">
        <v>79.967155457000004</v>
      </c>
      <c r="E1940">
        <v>50</v>
      </c>
      <c r="F1940">
        <v>47.749420166</v>
      </c>
      <c r="G1940">
        <v>1392.1195068</v>
      </c>
      <c r="H1940">
        <v>1375.4716797000001</v>
      </c>
      <c r="I1940">
        <v>1279.7592772999999</v>
      </c>
      <c r="J1940">
        <v>1256.6099853999999</v>
      </c>
      <c r="K1940">
        <v>2875</v>
      </c>
      <c r="L1940">
        <v>0</v>
      </c>
      <c r="M1940">
        <v>0</v>
      </c>
      <c r="N1940">
        <v>2875</v>
      </c>
    </row>
    <row r="1941" spans="1:14" x14ac:dyDescent="0.25">
      <c r="A1941">
        <v>1495.635145</v>
      </c>
      <c r="B1941" s="1">
        <f>DATE(2014,6,4) + TIME(15,14,36)</f>
        <v>41794.635138888887</v>
      </c>
      <c r="C1941">
        <v>80</v>
      </c>
      <c r="D1941">
        <v>79.967147827000005</v>
      </c>
      <c r="E1941">
        <v>50</v>
      </c>
      <c r="F1941">
        <v>47.708549499999997</v>
      </c>
      <c r="G1941">
        <v>1392.0566406</v>
      </c>
      <c r="H1941">
        <v>1375.4208983999999</v>
      </c>
      <c r="I1941">
        <v>1279.7363281</v>
      </c>
      <c r="J1941">
        <v>1256.5782471</v>
      </c>
      <c r="K1941">
        <v>2875</v>
      </c>
      <c r="L1941">
        <v>0</v>
      </c>
      <c r="M1941">
        <v>0</v>
      </c>
      <c r="N1941">
        <v>2875</v>
      </c>
    </row>
    <row r="1942" spans="1:14" x14ac:dyDescent="0.25">
      <c r="A1942">
        <v>1496.405794</v>
      </c>
      <c r="B1942" s="1">
        <f>DATE(2014,6,5) + TIME(9,44,20)</f>
        <v>41795.405787037038</v>
      </c>
      <c r="C1942">
        <v>80</v>
      </c>
      <c r="D1942">
        <v>79.967140197999996</v>
      </c>
      <c r="E1942">
        <v>50</v>
      </c>
      <c r="F1942">
        <v>47.666915893999999</v>
      </c>
      <c r="G1942">
        <v>1391.9935303</v>
      </c>
      <c r="H1942">
        <v>1375.369751</v>
      </c>
      <c r="I1942">
        <v>1279.7125243999999</v>
      </c>
      <c r="J1942">
        <v>1256.5454102000001</v>
      </c>
      <c r="K1942">
        <v>2875</v>
      </c>
      <c r="L1942">
        <v>0</v>
      </c>
      <c r="M1942">
        <v>0</v>
      </c>
      <c r="N1942">
        <v>2875</v>
      </c>
    </row>
    <row r="1943" spans="1:14" x14ac:dyDescent="0.25">
      <c r="A1943">
        <v>1497.188408</v>
      </c>
      <c r="B1943" s="1">
        <f>DATE(2014,6,6) + TIME(4,31,18)</f>
        <v>41796.188402777778</v>
      </c>
      <c r="C1943">
        <v>80</v>
      </c>
      <c r="D1943">
        <v>79.967140197999996</v>
      </c>
      <c r="E1943">
        <v>50</v>
      </c>
      <c r="F1943">
        <v>47.624641418000003</v>
      </c>
      <c r="G1943">
        <v>1391.9299315999999</v>
      </c>
      <c r="H1943">
        <v>1375.3183594</v>
      </c>
      <c r="I1943">
        <v>1279.6879882999999</v>
      </c>
      <c r="J1943">
        <v>1256.5113524999999</v>
      </c>
      <c r="K1943">
        <v>2875</v>
      </c>
      <c r="L1943">
        <v>0</v>
      </c>
      <c r="M1943">
        <v>0</v>
      </c>
      <c r="N1943">
        <v>2875</v>
      </c>
    </row>
    <row r="1944" spans="1:14" x14ac:dyDescent="0.25">
      <c r="A1944">
        <v>1497.9760819999999</v>
      </c>
      <c r="B1944" s="1">
        <f>DATE(2014,6,6) + TIME(23,25,33)</f>
        <v>41796.976076388892</v>
      </c>
      <c r="C1944">
        <v>80</v>
      </c>
      <c r="D1944">
        <v>79.967132567999997</v>
      </c>
      <c r="E1944">
        <v>50</v>
      </c>
      <c r="F1944">
        <v>47.581970214999998</v>
      </c>
      <c r="G1944">
        <v>1391.8664550999999</v>
      </c>
      <c r="H1944">
        <v>1375.2668457</v>
      </c>
      <c r="I1944">
        <v>1279.6625977000001</v>
      </c>
      <c r="J1944">
        <v>1256.4761963000001</v>
      </c>
      <c r="K1944">
        <v>2875</v>
      </c>
      <c r="L1944">
        <v>0</v>
      </c>
      <c r="M1944">
        <v>0</v>
      </c>
      <c r="N1944">
        <v>2875</v>
      </c>
    </row>
    <row r="1945" spans="1:14" x14ac:dyDescent="0.25">
      <c r="A1945">
        <v>1498.7713349999999</v>
      </c>
      <c r="B1945" s="1">
        <f>DATE(2014,6,7) + TIME(18,30,43)</f>
        <v>41797.771331018521</v>
      </c>
      <c r="C1945">
        <v>80</v>
      </c>
      <c r="D1945">
        <v>79.967124939000001</v>
      </c>
      <c r="E1945">
        <v>50</v>
      </c>
      <c r="F1945">
        <v>47.538978577000002</v>
      </c>
      <c r="G1945">
        <v>1391.8035889</v>
      </c>
      <c r="H1945">
        <v>1375.2158202999999</v>
      </c>
      <c r="I1945">
        <v>1279.6368408000001</v>
      </c>
      <c r="J1945">
        <v>1256.4401855000001</v>
      </c>
      <c r="K1945">
        <v>2875</v>
      </c>
      <c r="L1945">
        <v>0</v>
      </c>
      <c r="M1945">
        <v>0</v>
      </c>
      <c r="N1945">
        <v>2875</v>
      </c>
    </row>
    <row r="1946" spans="1:14" x14ac:dyDescent="0.25">
      <c r="A1946">
        <v>1499.5766860000001</v>
      </c>
      <c r="B1946" s="1">
        <f>DATE(2014,6,8) + TIME(13,50,25)</f>
        <v>41798.576678240737</v>
      </c>
      <c r="C1946">
        <v>80</v>
      </c>
      <c r="D1946">
        <v>79.967124939000001</v>
      </c>
      <c r="E1946">
        <v>50</v>
      </c>
      <c r="F1946">
        <v>47.495624542000002</v>
      </c>
      <c r="G1946">
        <v>1391.7410889</v>
      </c>
      <c r="H1946">
        <v>1375.1650391000001</v>
      </c>
      <c r="I1946">
        <v>1279.6104736</v>
      </c>
      <c r="J1946">
        <v>1256.4031981999999</v>
      </c>
      <c r="K1946">
        <v>2875</v>
      </c>
      <c r="L1946">
        <v>0</v>
      </c>
      <c r="M1946">
        <v>0</v>
      </c>
      <c r="N1946">
        <v>2875</v>
      </c>
    </row>
    <row r="1947" spans="1:14" x14ac:dyDescent="0.25">
      <c r="A1947">
        <v>1500.3947470000001</v>
      </c>
      <c r="B1947" s="1">
        <f>DATE(2014,6,9) + TIME(9,28,26)</f>
        <v>41799.394745370373</v>
      </c>
      <c r="C1947">
        <v>80</v>
      </c>
      <c r="D1947">
        <v>79.967117310000006</v>
      </c>
      <c r="E1947">
        <v>50</v>
      </c>
      <c r="F1947">
        <v>47.451812744000001</v>
      </c>
      <c r="G1947">
        <v>1391.6787108999999</v>
      </c>
      <c r="H1947">
        <v>1375.1142577999999</v>
      </c>
      <c r="I1947">
        <v>1279.583374</v>
      </c>
      <c r="J1947">
        <v>1256.3652344</v>
      </c>
      <c r="K1947">
        <v>2875</v>
      </c>
      <c r="L1947">
        <v>0</v>
      </c>
      <c r="M1947">
        <v>0</v>
      </c>
      <c r="N1947">
        <v>2875</v>
      </c>
    </row>
    <row r="1948" spans="1:14" x14ac:dyDescent="0.25">
      <c r="A1948">
        <v>1501.2282709999999</v>
      </c>
      <c r="B1948" s="1">
        <f>DATE(2014,6,10) + TIME(5,28,42)</f>
        <v>41800.228263888886</v>
      </c>
      <c r="C1948">
        <v>80</v>
      </c>
      <c r="D1948">
        <v>79.967117310000006</v>
      </c>
      <c r="E1948">
        <v>50</v>
      </c>
      <c r="F1948">
        <v>47.407428740999997</v>
      </c>
      <c r="G1948">
        <v>1391.6163329999999</v>
      </c>
      <c r="H1948">
        <v>1375.0634766000001</v>
      </c>
      <c r="I1948">
        <v>1279.5555420000001</v>
      </c>
      <c r="J1948">
        <v>1256.3259277</v>
      </c>
      <c r="K1948">
        <v>2875</v>
      </c>
      <c r="L1948">
        <v>0</v>
      </c>
      <c r="M1948">
        <v>0</v>
      </c>
      <c r="N1948">
        <v>2875</v>
      </c>
    </row>
    <row r="1949" spans="1:14" x14ac:dyDescent="0.25">
      <c r="A1949">
        <v>1502.0768579999999</v>
      </c>
      <c r="B1949" s="1">
        <f>DATE(2014,6,11) + TIME(1,50,40)</f>
        <v>41801.076851851853</v>
      </c>
      <c r="C1949">
        <v>80</v>
      </c>
      <c r="D1949">
        <v>79.967109679999993</v>
      </c>
      <c r="E1949">
        <v>50</v>
      </c>
      <c r="F1949">
        <v>47.362411498999997</v>
      </c>
      <c r="G1949">
        <v>1391.5537108999999</v>
      </c>
      <c r="H1949">
        <v>1375.0124512</v>
      </c>
      <c r="I1949">
        <v>1279.5267334</v>
      </c>
      <c r="J1949">
        <v>1256.2851562000001</v>
      </c>
      <c r="K1949">
        <v>2875</v>
      </c>
      <c r="L1949">
        <v>0</v>
      </c>
      <c r="M1949">
        <v>0</v>
      </c>
      <c r="N1949">
        <v>2875</v>
      </c>
    </row>
    <row r="1950" spans="1:14" x14ac:dyDescent="0.25">
      <c r="A1950">
        <v>1502.939398</v>
      </c>
      <c r="B1950" s="1">
        <f>DATE(2014,6,11) + TIME(22,32,43)</f>
        <v>41801.939386574071</v>
      </c>
      <c r="C1950">
        <v>80</v>
      </c>
      <c r="D1950">
        <v>79.967109679999993</v>
      </c>
      <c r="E1950">
        <v>50</v>
      </c>
      <c r="F1950">
        <v>47.316761016999997</v>
      </c>
      <c r="G1950">
        <v>1391.4909668</v>
      </c>
      <c r="H1950">
        <v>1374.9611815999999</v>
      </c>
      <c r="I1950">
        <v>1279.4969481999999</v>
      </c>
      <c r="J1950">
        <v>1256.2430420000001</v>
      </c>
      <c r="K1950">
        <v>2875</v>
      </c>
      <c r="L1950">
        <v>0</v>
      </c>
      <c r="M1950">
        <v>0</v>
      </c>
      <c r="N1950">
        <v>2875</v>
      </c>
    </row>
    <row r="1951" spans="1:14" x14ac:dyDescent="0.25">
      <c r="A1951">
        <v>1503.818677</v>
      </c>
      <c r="B1951" s="1">
        <f>DATE(2014,6,12) + TIME(19,38,53)</f>
        <v>41802.818668981483</v>
      </c>
      <c r="C1951">
        <v>80</v>
      </c>
      <c r="D1951">
        <v>79.967109679999993</v>
      </c>
      <c r="E1951">
        <v>50</v>
      </c>
      <c r="F1951">
        <v>47.270412444999998</v>
      </c>
      <c r="G1951">
        <v>1391.4279785000001</v>
      </c>
      <c r="H1951">
        <v>1374.9097899999999</v>
      </c>
      <c r="I1951">
        <v>1279.4661865</v>
      </c>
      <c r="J1951">
        <v>1256.1993408000001</v>
      </c>
      <c r="K1951">
        <v>2875</v>
      </c>
      <c r="L1951">
        <v>0</v>
      </c>
      <c r="M1951">
        <v>0</v>
      </c>
      <c r="N1951">
        <v>2875</v>
      </c>
    </row>
    <row r="1952" spans="1:14" x14ac:dyDescent="0.25">
      <c r="A1952">
        <v>1504.71749</v>
      </c>
      <c r="B1952" s="1">
        <f>DATE(2014,6,13) + TIME(17,13,11)</f>
        <v>41803.717488425929</v>
      </c>
      <c r="C1952">
        <v>80</v>
      </c>
      <c r="D1952">
        <v>79.967109679999993</v>
      </c>
      <c r="E1952">
        <v>50</v>
      </c>
      <c r="F1952">
        <v>47.223262787000003</v>
      </c>
      <c r="G1952">
        <v>1391.3648682</v>
      </c>
      <c r="H1952">
        <v>1374.8580322</v>
      </c>
      <c r="I1952">
        <v>1279.4344481999999</v>
      </c>
      <c r="J1952">
        <v>1256.1540527</v>
      </c>
      <c r="K1952">
        <v>2875</v>
      </c>
      <c r="L1952">
        <v>0</v>
      </c>
      <c r="M1952">
        <v>0</v>
      </c>
      <c r="N1952">
        <v>2875</v>
      </c>
    </row>
    <row r="1953" spans="1:14" x14ac:dyDescent="0.25">
      <c r="A1953">
        <v>1505.6340210000001</v>
      </c>
      <c r="B1953" s="1">
        <f>DATE(2014,6,14) + TIME(15,12,59)</f>
        <v>41804.634016203701</v>
      </c>
      <c r="C1953">
        <v>80</v>
      </c>
      <c r="D1953">
        <v>79.967102050999998</v>
      </c>
      <c r="E1953">
        <v>50</v>
      </c>
      <c r="F1953">
        <v>47.175281525000003</v>
      </c>
      <c r="G1953">
        <v>1391.3012695</v>
      </c>
      <c r="H1953">
        <v>1374.8059082</v>
      </c>
      <c r="I1953">
        <v>1279.4014893000001</v>
      </c>
      <c r="J1953">
        <v>1256.1069336</v>
      </c>
      <c r="K1953">
        <v>2875</v>
      </c>
      <c r="L1953">
        <v>0</v>
      </c>
      <c r="M1953">
        <v>0</v>
      </c>
      <c r="N1953">
        <v>2875</v>
      </c>
    </row>
    <row r="1954" spans="1:14" x14ac:dyDescent="0.25">
      <c r="A1954">
        <v>1506.5568940000001</v>
      </c>
      <c r="B1954" s="1">
        <f>DATE(2014,6,15) + TIME(13,21,55)</f>
        <v>41805.556886574072</v>
      </c>
      <c r="C1954">
        <v>80</v>
      </c>
      <c r="D1954">
        <v>79.967102050999998</v>
      </c>
      <c r="E1954">
        <v>50</v>
      </c>
      <c r="F1954">
        <v>47.126735687</v>
      </c>
      <c r="G1954">
        <v>1391.2373047000001</v>
      </c>
      <c r="H1954">
        <v>1374.7535399999999</v>
      </c>
      <c r="I1954">
        <v>1279.3674315999999</v>
      </c>
      <c r="J1954">
        <v>1256.0579834</v>
      </c>
      <c r="K1954">
        <v>2875</v>
      </c>
      <c r="L1954">
        <v>0</v>
      </c>
      <c r="M1954">
        <v>0</v>
      </c>
      <c r="N1954">
        <v>2875</v>
      </c>
    </row>
    <row r="1955" spans="1:14" x14ac:dyDescent="0.25">
      <c r="A1955">
        <v>1507.486623</v>
      </c>
      <c r="B1955" s="1">
        <f>DATE(2014,6,16) + TIME(11,40,44)</f>
        <v>41806.486620370371</v>
      </c>
      <c r="C1955">
        <v>80</v>
      </c>
      <c r="D1955">
        <v>79.967102050999998</v>
      </c>
      <c r="E1955">
        <v>50</v>
      </c>
      <c r="F1955">
        <v>47.077793120999999</v>
      </c>
      <c r="G1955">
        <v>1391.1739502</v>
      </c>
      <c r="H1955">
        <v>1374.7014160000001</v>
      </c>
      <c r="I1955">
        <v>1279.3325195</v>
      </c>
      <c r="J1955">
        <v>1256.0078125</v>
      </c>
      <c r="K1955">
        <v>2875</v>
      </c>
      <c r="L1955">
        <v>0</v>
      </c>
      <c r="M1955">
        <v>0</v>
      </c>
      <c r="N1955">
        <v>2875</v>
      </c>
    </row>
    <row r="1956" spans="1:14" x14ac:dyDescent="0.25">
      <c r="A1956">
        <v>1508.4240319999999</v>
      </c>
      <c r="B1956" s="1">
        <f>DATE(2014,6,17) + TIME(10,10,36)</f>
        <v>41807.424027777779</v>
      </c>
      <c r="C1956">
        <v>80</v>
      </c>
      <c r="D1956">
        <v>79.967102050999998</v>
      </c>
      <c r="E1956">
        <v>50</v>
      </c>
      <c r="F1956">
        <v>47.028514862000002</v>
      </c>
      <c r="G1956">
        <v>1391.1109618999999</v>
      </c>
      <c r="H1956">
        <v>1374.6496582</v>
      </c>
      <c r="I1956">
        <v>1279.2967529</v>
      </c>
      <c r="J1956">
        <v>1255.9561768000001</v>
      </c>
      <c r="K1956">
        <v>2875</v>
      </c>
      <c r="L1956">
        <v>0</v>
      </c>
      <c r="M1956">
        <v>0</v>
      </c>
      <c r="N1956">
        <v>2875</v>
      </c>
    </row>
    <row r="1957" spans="1:14" x14ac:dyDescent="0.25">
      <c r="A1957">
        <v>1509.3683590000001</v>
      </c>
      <c r="B1957" s="1">
        <f>DATE(2014,6,18) + TIME(8,50,26)</f>
        <v>41808.368356481478</v>
      </c>
      <c r="C1957">
        <v>80</v>
      </c>
      <c r="D1957">
        <v>79.967102050999998</v>
      </c>
      <c r="E1957">
        <v>50</v>
      </c>
      <c r="F1957">
        <v>46.978923797999997</v>
      </c>
      <c r="G1957">
        <v>1391.0483397999999</v>
      </c>
      <c r="H1957">
        <v>1374.5980225000001</v>
      </c>
      <c r="I1957">
        <v>1279.2601318</v>
      </c>
      <c r="J1957">
        <v>1255.9031981999999</v>
      </c>
      <c r="K1957">
        <v>2875</v>
      </c>
      <c r="L1957">
        <v>0</v>
      </c>
      <c r="M1957">
        <v>0</v>
      </c>
      <c r="N1957">
        <v>2875</v>
      </c>
    </row>
    <row r="1958" spans="1:14" x14ac:dyDescent="0.25">
      <c r="A1958">
        <v>1510.322381</v>
      </c>
      <c r="B1958" s="1">
        <f>DATE(2014,6,19) + TIME(7,44,13)</f>
        <v>41809.322372685187</v>
      </c>
      <c r="C1958">
        <v>80</v>
      </c>
      <c r="D1958">
        <v>79.967102050999998</v>
      </c>
      <c r="E1958">
        <v>50</v>
      </c>
      <c r="F1958">
        <v>46.928981780999997</v>
      </c>
      <c r="G1958">
        <v>1390.9862060999999</v>
      </c>
      <c r="H1958">
        <v>1374.5467529</v>
      </c>
      <c r="I1958">
        <v>1279.2227783000001</v>
      </c>
      <c r="J1958">
        <v>1255.8487548999999</v>
      </c>
      <c r="K1958">
        <v>2875</v>
      </c>
      <c r="L1958">
        <v>0</v>
      </c>
      <c r="M1958">
        <v>0</v>
      </c>
      <c r="N1958">
        <v>2875</v>
      </c>
    </row>
    <row r="1959" spans="1:14" x14ac:dyDescent="0.25">
      <c r="A1959">
        <v>1511.2889419999999</v>
      </c>
      <c r="B1959" s="1">
        <f>DATE(2014,6,20) + TIME(6,56,4)</f>
        <v>41810.288935185185</v>
      </c>
      <c r="C1959">
        <v>80</v>
      </c>
      <c r="D1959">
        <v>79.967102050999998</v>
      </c>
      <c r="E1959">
        <v>50</v>
      </c>
      <c r="F1959">
        <v>46.878582000999998</v>
      </c>
      <c r="G1959">
        <v>1390.9241943</v>
      </c>
      <c r="H1959">
        <v>1374.4956055</v>
      </c>
      <c r="I1959">
        <v>1279.1843262</v>
      </c>
      <c r="J1959">
        <v>1255.7926024999999</v>
      </c>
      <c r="K1959">
        <v>2875</v>
      </c>
      <c r="L1959">
        <v>0</v>
      </c>
      <c r="M1959">
        <v>0</v>
      </c>
      <c r="N1959">
        <v>2875</v>
      </c>
    </row>
    <row r="1960" spans="1:14" x14ac:dyDescent="0.25">
      <c r="A1960">
        <v>1512.2710030000001</v>
      </c>
      <c r="B1960" s="1">
        <f>DATE(2014,6,21) + TIME(6,30,14)</f>
        <v>41811.270995370367</v>
      </c>
      <c r="C1960">
        <v>80</v>
      </c>
      <c r="D1960">
        <v>79.967102050999998</v>
      </c>
      <c r="E1960">
        <v>50</v>
      </c>
      <c r="F1960">
        <v>46.827590942</v>
      </c>
      <c r="G1960">
        <v>1390.8623047000001</v>
      </c>
      <c r="H1960">
        <v>1374.4444579999999</v>
      </c>
      <c r="I1960">
        <v>1279.1448975000001</v>
      </c>
      <c r="J1960">
        <v>1255.7347411999999</v>
      </c>
      <c r="K1960">
        <v>2875</v>
      </c>
      <c r="L1960">
        <v>0</v>
      </c>
      <c r="M1960">
        <v>0</v>
      </c>
      <c r="N1960">
        <v>2875</v>
      </c>
    </row>
    <row r="1961" spans="1:14" x14ac:dyDescent="0.25">
      <c r="A1961">
        <v>1513.27169</v>
      </c>
      <c r="B1961" s="1">
        <f>DATE(2014,6,22) + TIME(6,31,13)</f>
        <v>41812.271678240744</v>
      </c>
      <c r="C1961">
        <v>80</v>
      </c>
      <c r="D1961">
        <v>79.967102050999998</v>
      </c>
      <c r="E1961">
        <v>50</v>
      </c>
      <c r="F1961">
        <v>46.775856017999999</v>
      </c>
      <c r="G1961">
        <v>1390.8001709</v>
      </c>
      <c r="H1961">
        <v>1374.3930664</v>
      </c>
      <c r="I1961">
        <v>1279.104126</v>
      </c>
      <c r="J1961">
        <v>1255.6749268000001</v>
      </c>
      <c r="K1961">
        <v>2875</v>
      </c>
      <c r="L1961">
        <v>0</v>
      </c>
      <c r="M1961">
        <v>0</v>
      </c>
      <c r="N1961">
        <v>2875</v>
      </c>
    </row>
    <row r="1962" spans="1:14" x14ac:dyDescent="0.25">
      <c r="A1962">
        <v>1514.294431</v>
      </c>
      <c r="B1962" s="1">
        <f>DATE(2014,6,23) + TIME(7,3,58)</f>
        <v>41813.294421296298</v>
      </c>
      <c r="C1962">
        <v>80</v>
      </c>
      <c r="D1962">
        <v>79.967109679999993</v>
      </c>
      <c r="E1962">
        <v>50</v>
      </c>
      <c r="F1962">
        <v>46.723217009999999</v>
      </c>
      <c r="G1962">
        <v>1390.7379149999999</v>
      </c>
      <c r="H1962">
        <v>1374.3413086</v>
      </c>
      <c r="I1962">
        <v>1279.0620117000001</v>
      </c>
      <c r="J1962">
        <v>1255.6126709</v>
      </c>
      <c r="K1962">
        <v>2875</v>
      </c>
      <c r="L1962">
        <v>0</v>
      </c>
      <c r="M1962">
        <v>0</v>
      </c>
      <c r="N1962">
        <v>2875</v>
      </c>
    </row>
    <row r="1963" spans="1:14" x14ac:dyDescent="0.25">
      <c r="A1963">
        <v>1515.34356</v>
      </c>
      <c r="B1963" s="1">
        <f>DATE(2014,6,24) + TIME(8,14,43)</f>
        <v>41814.343553240738</v>
      </c>
      <c r="C1963">
        <v>80</v>
      </c>
      <c r="D1963">
        <v>79.967109679999993</v>
      </c>
      <c r="E1963">
        <v>50</v>
      </c>
      <c r="F1963">
        <v>46.669479369999998</v>
      </c>
      <c r="G1963">
        <v>1390.6749268000001</v>
      </c>
      <c r="H1963">
        <v>1374.2891846</v>
      </c>
      <c r="I1963">
        <v>1279.0183105000001</v>
      </c>
      <c r="J1963">
        <v>1255.5478516000001</v>
      </c>
      <c r="K1963">
        <v>2875</v>
      </c>
      <c r="L1963">
        <v>0</v>
      </c>
      <c r="M1963">
        <v>0</v>
      </c>
      <c r="N1963">
        <v>2875</v>
      </c>
    </row>
    <row r="1964" spans="1:14" x14ac:dyDescent="0.25">
      <c r="A1964">
        <v>1516.4068789999999</v>
      </c>
      <c r="B1964" s="1">
        <f>DATE(2014,6,25) + TIME(9,45,54)</f>
        <v>41815.406875000001</v>
      </c>
      <c r="C1964">
        <v>80</v>
      </c>
      <c r="D1964">
        <v>79.967109679999993</v>
      </c>
      <c r="E1964">
        <v>50</v>
      </c>
      <c r="F1964">
        <v>46.614784241000002</v>
      </c>
      <c r="G1964">
        <v>1390.6113281</v>
      </c>
      <c r="H1964">
        <v>1374.2362060999999</v>
      </c>
      <c r="I1964">
        <v>1278.9726562000001</v>
      </c>
      <c r="J1964">
        <v>1255.4802245999999</v>
      </c>
      <c r="K1964">
        <v>2875</v>
      </c>
      <c r="L1964">
        <v>0</v>
      </c>
      <c r="M1964">
        <v>0</v>
      </c>
      <c r="N1964">
        <v>2875</v>
      </c>
    </row>
    <row r="1965" spans="1:14" x14ac:dyDescent="0.25">
      <c r="A1965">
        <v>1517.471769</v>
      </c>
      <c r="B1965" s="1">
        <f>DATE(2014,6,26) + TIME(11,19,20)</f>
        <v>41816.471759259257</v>
      </c>
      <c r="C1965">
        <v>80</v>
      </c>
      <c r="D1965">
        <v>79.967117310000006</v>
      </c>
      <c r="E1965">
        <v>50</v>
      </c>
      <c r="F1965">
        <v>46.559562683000003</v>
      </c>
      <c r="G1965">
        <v>1390.5477295000001</v>
      </c>
      <c r="H1965">
        <v>1374.1832274999999</v>
      </c>
      <c r="I1965">
        <v>1278.9257812000001</v>
      </c>
      <c r="J1965">
        <v>1255.4104004000001</v>
      </c>
      <c r="K1965">
        <v>2875</v>
      </c>
      <c r="L1965">
        <v>0</v>
      </c>
      <c r="M1965">
        <v>0</v>
      </c>
      <c r="N1965">
        <v>2875</v>
      </c>
    </row>
    <row r="1966" spans="1:14" x14ac:dyDescent="0.25">
      <c r="A1966">
        <v>1518.541387</v>
      </c>
      <c r="B1966" s="1">
        <f>DATE(2014,6,27) + TIME(12,59,35)</f>
        <v>41817.541377314818</v>
      </c>
      <c r="C1966">
        <v>80</v>
      </c>
      <c r="D1966">
        <v>79.967117310000006</v>
      </c>
      <c r="E1966">
        <v>50</v>
      </c>
      <c r="F1966">
        <v>46.504058837999999</v>
      </c>
      <c r="G1966">
        <v>1390.4847411999999</v>
      </c>
      <c r="H1966">
        <v>1374.1308594</v>
      </c>
      <c r="I1966">
        <v>1278.8780518000001</v>
      </c>
      <c r="J1966">
        <v>1255.3389893000001</v>
      </c>
      <c r="K1966">
        <v>2875</v>
      </c>
      <c r="L1966">
        <v>0</v>
      </c>
      <c r="M1966">
        <v>0</v>
      </c>
      <c r="N1966">
        <v>2875</v>
      </c>
    </row>
    <row r="1967" spans="1:14" x14ac:dyDescent="0.25">
      <c r="A1967">
        <v>1519.61888</v>
      </c>
      <c r="B1967" s="1">
        <f>DATE(2014,6,28) + TIME(14,51,11)</f>
        <v>41818.618877314817</v>
      </c>
      <c r="C1967">
        <v>80</v>
      </c>
      <c r="D1967">
        <v>79.967124939000001</v>
      </c>
      <c r="E1967">
        <v>50</v>
      </c>
      <c r="F1967">
        <v>46.448268890000001</v>
      </c>
      <c r="G1967">
        <v>1390.4223632999999</v>
      </c>
      <c r="H1967">
        <v>1374.0787353999999</v>
      </c>
      <c r="I1967">
        <v>1278.8293457</v>
      </c>
      <c r="J1967">
        <v>1255.2659911999999</v>
      </c>
      <c r="K1967">
        <v>2875</v>
      </c>
      <c r="L1967">
        <v>0</v>
      </c>
      <c r="M1967">
        <v>0</v>
      </c>
      <c r="N1967">
        <v>2875</v>
      </c>
    </row>
    <row r="1968" spans="1:14" x14ac:dyDescent="0.25">
      <c r="A1968">
        <v>1520.7074270000001</v>
      </c>
      <c r="B1968" s="1">
        <f>DATE(2014,6,29) + TIME(16,58,41)</f>
        <v>41819.707418981481</v>
      </c>
      <c r="C1968">
        <v>80</v>
      </c>
      <c r="D1968">
        <v>79.967124939000001</v>
      </c>
      <c r="E1968">
        <v>50</v>
      </c>
      <c r="F1968">
        <v>46.392105102999999</v>
      </c>
      <c r="G1968">
        <v>1390.3604736</v>
      </c>
      <c r="H1968">
        <v>1374.0269774999999</v>
      </c>
      <c r="I1968">
        <v>1278.7795410000001</v>
      </c>
      <c r="J1968">
        <v>1255.190918</v>
      </c>
      <c r="K1968">
        <v>2875</v>
      </c>
      <c r="L1968">
        <v>0</v>
      </c>
      <c r="M1968">
        <v>0</v>
      </c>
      <c r="N1968">
        <v>2875</v>
      </c>
    </row>
    <row r="1969" spans="1:14" x14ac:dyDescent="0.25">
      <c r="A1969">
        <v>1521.810295</v>
      </c>
      <c r="B1969" s="1">
        <f>DATE(2014,6,30) + TIME(19,26,49)</f>
        <v>41820.810289351852</v>
      </c>
      <c r="C1969">
        <v>80</v>
      </c>
      <c r="D1969">
        <v>79.967132567999997</v>
      </c>
      <c r="E1969">
        <v>50</v>
      </c>
      <c r="F1969">
        <v>46.335426331000001</v>
      </c>
      <c r="G1969">
        <v>1390.2985839999999</v>
      </c>
      <c r="H1969">
        <v>1373.9750977000001</v>
      </c>
      <c r="I1969">
        <v>1278.7285156</v>
      </c>
      <c r="J1969">
        <v>1255.1137695</v>
      </c>
      <c r="K1969">
        <v>2875</v>
      </c>
      <c r="L1969">
        <v>0</v>
      </c>
      <c r="M1969">
        <v>0</v>
      </c>
      <c r="N1969">
        <v>2875</v>
      </c>
    </row>
    <row r="1970" spans="1:14" x14ac:dyDescent="0.25">
      <c r="A1970">
        <v>1522</v>
      </c>
      <c r="B1970" s="1">
        <f>DATE(2014,7,1) + TIME(0,0,0)</f>
        <v>41821</v>
      </c>
      <c r="C1970">
        <v>80</v>
      </c>
      <c r="D1970">
        <v>79.967124939000001</v>
      </c>
      <c r="E1970">
        <v>50</v>
      </c>
      <c r="F1970">
        <v>46.315826416</v>
      </c>
      <c r="G1970">
        <v>1390.2384033000001</v>
      </c>
      <c r="H1970">
        <v>1373.9249268000001</v>
      </c>
      <c r="I1970">
        <v>1278.6777344</v>
      </c>
      <c r="J1970">
        <v>1255.0501709</v>
      </c>
      <c r="K1970">
        <v>2875</v>
      </c>
      <c r="L1970">
        <v>0</v>
      </c>
      <c r="M1970">
        <v>0</v>
      </c>
      <c r="N1970">
        <v>2875</v>
      </c>
    </row>
    <row r="1971" spans="1:14" x14ac:dyDescent="0.25">
      <c r="A1971">
        <v>1523.1206079999999</v>
      </c>
      <c r="B1971" s="1">
        <f>DATE(2014,7,2) + TIME(2,53,40)</f>
        <v>41822.12060185185</v>
      </c>
      <c r="C1971">
        <v>80</v>
      </c>
      <c r="D1971">
        <v>79.967140197999996</v>
      </c>
      <c r="E1971">
        <v>50</v>
      </c>
      <c r="F1971">
        <v>46.264411926000001</v>
      </c>
      <c r="G1971">
        <v>1390.2258300999999</v>
      </c>
      <c r="H1971">
        <v>1373.9140625</v>
      </c>
      <c r="I1971">
        <v>1278.6662598</v>
      </c>
      <c r="J1971">
        <v>1255.0177002</v>
      </c>
      <c r="K1971">
        <v>2875</v>
      </c>
      <c r="L1971">
        <v>0</v>
      </c>
      <c r="M1971">
        <v>0</v>
      </c>
      <c r="N1971">
        <v>2875</v>
      </c>
    </row>
    <row r="1972" spans="1:14" x14ac:dyDescent="0.25">
      <c r="A1972">
        <v>1524.266781</v>
      </c>
      <c r="B1972" s="1">
        <f>DATE(2014,7,3) + TIME(6,24,9)</f>
        <v>41823.266770833332</v>
      </c>
      <c r="C1972">
        <v>80</v>
      </c>
      <c r="D1972">
        <v>79.967140197999996</v>
      </c>
      <c r="E1972">
        <v>50</v>
      </c>
      <c r="F1972">
        <v>46.208507537999999</v>
      </c>
      <c r="G1972">
        <v>1390.1641846</v>
      </c>
      <c r="H1972">
        <v>1373.8624268000001</v>
      </c>
      <c r="I1972">
        <v>1278.6126709</v>
      </c>
      <c r="J1972">
        <v>1254.9367675999999</v>
      </c>
      <c r="K1972">
        <v>2875</v>
      </c>
      <c r="L1972">
        <v>0</v>
      </c>
      <c r="M1972">
        <v>0</v>
      </c>
      <c r="N1972">
        <v>2875</v>
      </c>
    </row>
    <row r="1973" spans="1:14" x14ac:dyDescent="0.25">
      <c r="A1973">
        <v>1525.4390960000001</v>
      </c>
      <c r="B1973" s="1">
        <f>DATE(2014,7,4) + TIME(10,32,17)</f>
        <v>41824.439085648148</v>
      </c>
      <c r="C1973">
        <v>80</v>
      </c>
      <c r="D1973">
        <v>79.967147827000005</v>
      </c>
      <c r="E1973">
        <v>50</v>
      </c>
      <c r="F1973">
        <v>46.150074005</v>
      </c>
      <c r="G1973">
        <v>1390.1016846</v>
      </c>
      <c r="H1973">
        <v>1373.8098144999999</v>
      </c>
      <c r="I1973">
        <v>1278.5566406</v>
      </c>
      <c r="J1973">
        <v>1254.8514404</v>
      </c>
      <c r="K1973">
        <v>2875</v>
      </c>
      <c r="L1973">
        <v>0</v>
      </c>
      <c r="M1973">
        <v>0</v>
      </c>
      <c r="N1973">
        <v>2875</v>
      </c>
    </row>
    <row r="1974" spans="1:14" x14ac:dyDescent="0.25">
      <c r="A1974">
        <v>1526.632613</v>
      </c>
      <c r="B1974" s="1">
        <f>DATE(2014,7,5) + TIME(15,10,57)</f>
        <v>41825.632604166669</v>
      </c>
      <c r="C1974">
        <v>80</v>
      </c>
      <c r="D1974">
        <v>79.967155457000004</v>
      </c>
      <c r="E1974">
        <v>50</v>
      </c>
      <c r="F1974">
        <v>46.089996337999999</v>
      </c>
      <c r="G1974">
        <v>1390.0384521000001</v>
      </c>
      <c r="H1974">
        <v>1373.7565918</v>
      </c>
      <c r="I1974">
        <v>1278.4985352000001</v>
      </c>
      <c r="J1974">
        <v>1254.7624512</v>
      </c>
      <c r="K1974">
        <v>2875</v>
      </c>
      <c r="L1974">
        <v>0</v>
      </c>
      <c r="M1974">
        <v>0</v>
      </c>
      <c r="N1974">
        <v>2875</v>
      </c>
    </row>
    <row r="1975" spans="1:14" x14ac:dyDescent="0.25">
      <c r="A1975">
        <v>1527.842541</v>
      </c>
      <c r="B1975" s="1">
        <f>DATE(2014,7,6) + TIME(20,13,15)</f>
        <v>41826.842534722222</v>
      </c>
      <c r="C1975">
        <v>80</v>
      </c>
      <c r="D1975">
        <v>79.967163085999999</v>
      </c>
      <c r="E1975">
        <v>50</v>
      </c>
      <c r="F1975">
        <v>46.028797150000003</v>
      </c>
      <c r="G1975">
        <v>1389.9748535000001</v>
      </c>
      <c r="H1975">
        <v>1373.7030029</v>
      </c>
      <c r="I1975">
        <v>1278.4384766000001</v>
      </c>
      <c r="J1975">
        <v>1254.6701660000001</v>
      </c>
      <c r="K1975">
        <v>2875</v>
      </c>
      <c r="L1975">
        <v>0</v>
      </c>
      <c r="M1975">
        <v>0</v>
      </c>
      <c r="N1975">
        <v>2875</v>
      </c>
    </row>
    <row r="1976" spans="1:14" x14ac:dyDescent="0.25">
      <c r="A1976">
        <v>1529.0556670000001</v>
      </c>
      <c r="B1976" s="1">
        <f>DATE(2014,7,8) + TIME(1,20,9)</f>
        <v>41828.055659722224</v>
      </c>
      <c r="C1976">
        <v>80</v>
      </c>
      <c r="D1976">
        <v>79.967170714999995</v>
      </c>
      <c r="E1976">
        <v>50</v>
      </c>
      <c r="F1976">
        <v>45.966995238999999</v>
      </c>
      <c r="G1976">
        <v>1389.9112548999999</v>
      </c>
      <c r="H1976">
        <v>1373.6491699000001</v>
      </c>
      <c r="I1976">
        <v>1278.3768310999999</v>
      </c>
      <c r="J1976">
        <v>1254.5750731999999</v>
      </c>
      <c r="K1976">
        <v>2875</v>
      </c>
      <c r="L1976">
        <v>0</v>
      </c>
      <c r="M1976">
        <v>0</v>
      </c>
      <c r="N1976">
        <v>2875</v>
      </c>
    </row>
    <row r="1977" spans="1:14" x14ac:dyDescent="0.25">
      <c r="A1977">
        <v>1530.275605</v>
      </c>
      <c r="B1977" s="1">
        <f>DATE(2014,7,9) + TIME(6,36,52)</f>
        <v>41829.275601851848</v>
      </c>
      <c r="C1977">
        <v>80</v>
      </c>
      <c r="D1977">
        <v>79.967178344999994</v>
      </c>
      <c r="E1977">
        <v>50</v>
      </c>
      <c r="F1977">
        <v>45.904911040999998</v>
      </c>
      <c r="G1977">
        <v>1389.8482666</v>
      </c>
      <c r="H1977">
        <v>1373.5959473</v>
      </c>
      <c r="I1977">
        <v>1278.3142089999999</v>
      </c>
      <c r="J1977">
        <v>1254.4779053</v>
      </c>
      <c r="K1977">
        <v>2875</v>
      </c>
      <c r="L1977">
        <v>0</v>
      </c>
      <c r="M1977">
        <v>0</v>
      </c>
      <c r="N1977">
        <v>2875</v>
      </c>
    </row>
    <row r="1978" spans="1:14" x14ac:dyDescent="0.25">
      <c r="A1978">
        <v>1531.5059690000001</v>
      </c>
      <c r="B1978" s="1">
        <f>DATE(2014,7,10) + TIME(12,8,35)</f>
        <v>41830.505960648145</v>
      </c>
      <c r="C1978">
        <v>80</v>
      </c>
      <c r="D1978">
        <v>79.967185974000003</v>
      </c>
      <c r="E1978">
        <v>50</v>
      </c>
      <c r="F1978">
        <v>45.842556000000002</v>
      </c>
      <c r="G1978">
        <v>1389.7856445</v>
      </c>
      <c r="H1978">
        <v>1373.5428466999999</v>
      </c>
      <c r="I1978">
        <v>1278.2503661999999</v>
      </c>
      <c r="J1978">
        <v>1254.3786620999999</v>
      </c>
      <c r="K1978">
        <v>2875</v>
      </c>
      <c r="L1978">
        <v>0</v>
      </c>
      <c r="M1978">
        <v>0</v>
      </c>
      <c r="N1978">
        <v>2875</v>
      </c>
    </row>
    <row r="1979" spans="1:14" x14ac:dyDescent="0.25">
      <c r="A1979">
        <v>1532.7504489999999</v>
      </c>
      <c r="B1979" s="1">
        <f>DATE(2014,7,11) + TIME(18,0,38)</f>
        <v>41831.750439814816</v>
      </c>
      <c r="C1979">
        <v>80</v>
      </c>
      <c r="D1979">
        <v>79.967193604000002</v>
      </c>
      <c r="E1979">
        <v>50</v>
      </c>
      <c r="F1979">
        <v>45.779850005999997</v>
      </c>
      <c r="G1979">
        <v>1389.7231445</v>
      </c>
      <c r="H1979">
        <v>1373.4898682</v>
      </c>
      <c r="I1979">
        <v>1278.1853027</v>
      </c>
      <c r="J1979">
        <v>1254.2769774999999</v>
      </c>
      <c r="K1979">
        <v>2875</v>
      </c>
      <c r="L1979">
        <v>0</v>
      </c>
      <c r="M1979">
        <v>0</v>
      </c>
      <c r="N1979">
        <v>2875</v>
      </c>
    </row>
    <row r="1980" spans="1:14" x14ac:dyDescent="0.25">
      <c r="A1980">
        <v>1534.012892</v>
      </c>
      <c r="B1980" s="1">
        <f>DATE(2014,7,13) + TIME(0,18,33)</f>
        <v>41833.012881944444</v>
      </c>
      <c r="C1980">
        <v>80</v>
      </c>
      <c r="D1980">
        <v>79.967201232999997</v>
      </c>
      <c r="E1980">
        <v>50</v>
      </c>
      <c r="F1980">
        <v>45.716648102000001</v>
      </c>
      <c r="G1980">
        <v>1389.6607666</v>
      </c>
      <c r="H1980">
        <v>1373.4368896000001</v>
      </c>
      <c r="I1980">
        <v>1278.1187743999999</v>
      </c>
      <c r="J1980">
        <v>1254.1727295000001</v>
      </c>
      <c r="K1980">
        <v>2875</v>
      </c>
      <c r="L1980">
        <v>0</v>
      </c>
      <c r="M1980">
        <v>0</v>
      </c>
      <c r="N1980">
        <v>2875</v>
      </c>
    </row>
    <row r="1981" spans="1:14" x14ac:dyDescent="0.25">
      <c r="A1981">
        <v>1535.297331</v>
      </c>
      <c r="B1981" s="1">
        <f>DATE(2014,7,14) + TIME(7,8,9)</f>
        <v>41834.297326388885</v>
      </c>
      <c r="C1981">
        <v>80</v>
      </c>
      <c r="D1981">
        <v>79.967208862000007</v>
      </c>
      <c r="E1981">
        <v>50</v>
      </c>
      <c r="F1981">
        <v>45.652812957999998</v>
      </c>
      <c r="G1981">
        <v>1389.5981445</v>
      </c>
      <c r="H1981">
        <v>1373.3836670000001</v>
      </c>
      <c r="I1981">
        <v>1278.0505370999999</v>
      </c>
      <c r="J1981">
        <v>1254.0654297000001</v>
      </c>
      <c r="K1981">
        <v>2875</v>
      </c>
      <c r="L1981">
        <v>0</v>
      </c>
      <c r="M1981">
        <v>0</v>
      </c>
      <c r="N1981">
        <v>2875</v>
      </c>
    </row>
    <row r="1982" spans="1:14" x14ac:dyDescent="0.25">
      <c r="A1982">
        <v>1536.598178</v>
      </c>
      <c r="B1982" s="1">
        <f>DATE(2014,7,15) + TIME(14,21,22)</f>
        <v>41835.598171296297</v>
      </c>
      <c r="C1982">
        <v>80</v>
      </c>
      <c r="D1982">
        <v>79.967224121000001</v>
      </c>
      <c r="E1982">
        <v>50</v>
      </c>
      <c r="F1982">
        <v>45.588356017999999</v>
      </c>
      <c r="G1982">
        <v>1389.5352783000001</v>
      </c>
      <c r="H1982">
        <v>1373.3299560999999</v>
      </c>
      <c r="I1982">
        <v>1277.9804687999999</v>
      </c>
      <c r="J1982">
        <v>1253.9548339999999</v>
      </c>
      <c r="K1982">
        <v>2875</v>
      </c>
      <c r="L1982">
        <v>0</v>
      </c>
      <c r="M1982">
        <v>0</v>
      </c>
      <c r="N1982">
        <v>2875</v>
      </c>
    </row>
    <row r="1983" spans="1:14" x14ac:dyDescent="0.25">
      <c r="A1983">
        <v>1537.9176689999999</v>
      </c>
      <c r="B1983" s="1">
        <f>DATE(2014,7,16) + TIME(22,1,26)</f>
        <v>41836.917662037034</v>
      </c>
      <c r="C1983">
        <v>80</v>
      </c>
      <c r="D1983">
        <v>79.967231749999996</v>
      </c>
      <c r="E1983">
        <v>50</v>
      </c>
      <c r="F1983">
        <v>45.523353577000002</v>
      </c>
      <c r="G1983">
        <v>1389.4722899999999</v>
      </c>
      <c r="H1983">
        <v>1373.2762451000001</v>
      </c>
      <c r="I1983">
        <v>1277.9088135</v>
      </c>
      <c r="J1983">
        <v>1253.8413086</v>
      </c>
      <c r="K1983">
        <v>2875</v>
      </c>
      <c r="L1983">
        <v>0</v>
      </c>
      <c r="M1983">
        <v>0</v>
      </c>
      <c r="N1983">
        <v>2875</v>
      </c>
    </row>
    <row r="1984" spans="1:14" x14ac:dyDescent="0.25">
      <c r="A1984">
        <v>1539.2597940000001</v>
      </c>
      <c r="B1984" s="1">
        <f>DATE(2014,7,18) + TIME(6,14,6)</f>
        <v>41838.259791666664</v>
      </c>
      <c r="C1984">
        <v>80</v>
      </c>
      <c r="D1984">
        <v>79.967239379999995</v>
      </c>
      <c r="E1984">
        <v>50</v>
      </c>
      <c r="F1984">
        <v>45.457778931</v>
      </c>
      <c r="G1984">
        <v>1389.4090576000001</v>
      </c>
      <c r="H1984">
        <v>1373.222168</v>
      </c>
      <c r="I1984">
        <v>1277.8355713000001</v>
      </c>
      <c r="J1984">
        <v>1253.7248535000001</v>
      </c>
      <c r="K1984">
        <v>2875</v>
      </c>
      <c r="L1984">
        <v>0</v>
      </c>
      <c r="M1984">
        <v>0</v>
      </c>
      <c r="N1984">
        <v>2875</v>
      </c>
    </row>
    <row r="1985" spans="1:14" x14ac:dyDescent="0.25">
      <c r="A1985">
        <v>1540.6288280000001</v>
      </c>
      <c r="B1985" s="1">
        <f>DATE(2014,7,19) + TIME(15,5,30)</f>
        <v>41839.628819444442</v>
      </c>
      <c r="C1985">
        <v>80</v>
      </c>
      <c r="D1985">
        <v>79.967254639000004</v>
      </c>
      <c r="E1985">
        <v>50</v>
      </c>
      <c r="F1985">
        <v>45.391525268999999</v>
      </c>
      <c r="G1985">
        <v>1389.3454589999999</v>
      </c>
      <c r="H1985">
        <v>1373.1678466999999</v>
      </c>
      <c r="I1985">
        <v>1277.7602539</v>
      </c>
      <c r="J1985">
        <v>1253.6048584</v>
      </c>
      <c r="K1985">
        <v>2875</v>
      </c>
      <c r="L1985">
        <v>0</v>
      </c>
      <c r="M1985">
        <v>0</v>
      </c>
      <c r="N1985">
        <v>2875</v>
      </c>
    </row>
    <row r="1986" spans="1:14" x14ac:dyDescent="0.25">
      <c r="A1986">
        <v>1542.0064299999999</v>
      </c>
      <c r="B1986" s="1">
        <f>DATE(2014,7,21) + TIME(0,9,15)</f>
        <v>41841.006423611114</v>
      </c>
      <c r="C1986">
        <v>80</v>
      </c>
      <c r="D1986">
        <v>79.967262267999999</v>
      </c>
      <c r="E1986">
        <v>50</v>
      </c>
      <c r="F1986">
        <v>45.324859619000001</v>
      </c>
      <c r="G1986">
        <v>1389.2813721</v>
      </c>
      <c r="H1986">
        <v>1373.1129149999999</v>
      </c>
      <c r="I1986">
        <v>1277.6829834</v>
      </c>
      <c r="J1986">
        <v>1253.4813231999999</v>
      </c>
      <c r="K1986">
        <v>2875</v>
      </c>
      <c r="L1986">
        <v>0</v>
      </c>
      <c r="M1986">
        <v>0</v>
      </c>
      <c r="N1986">
        <v>2875</v>
      </c>
    </row>
    <row r="1987" spans="1:14" x14ac:dyDescent="0.25">
      <c r="A1987">
        <v>1543.3938740000001</v>
      </c>
      <c r="B1987" s="1">
        <f>DATE(2014,7,22) + TIME(9,27,10)</f>
        <v>41842.393865740742</v>
      </c>
      <c r="C1987">
        <v>80</v>
      </c>
      <c r="D1987">
        <v>79.967277526999993</v>
      </c>
      <c r="E1987">
        <v>50</v>
      </c>
      <c r="F1987">
        <v>45.258167266999997</v>
      </c>
      <c r="G1987">
        <v>1389.2176514</v>
      </c>
      <c r="H1987">
        <v>1373.0581055</v>
      </c>
      <c r="I1987">
        <v>1277.6047363</v>
      </c>
      <c r="J1987">
        <v>1253.3555908000001</v>
      </c>
      <c r="K1987">
        <v>2875</v>
      </c>
      <c r="L1987">
        <v>0</v>
      </c>
      <c r="M1987">
        <v>0</v>
      </c>
      <c r="N1987">
        <v>2875</v>
      </c>
    </row>
    <row r="1988" spans="1:14" x14ac:dyDescent="0.25">
      <c r="A1988">
        <v>1544.7953649999999</v>
      </c>
      <c r="B1988" s="1">
        <f>DATE(2014,7,23) + TIME(19,5,19)</f>
        <v>41843.795358796298</v>
      </c>
      <c r="C1988">
        <v>80</v>
      </c>
      <c r="D1988">
        <v>79.967285156000003</v>
      </c>
      <c r="E1988">
        <v>50</v>
      </c>
      <c r="F1988">
        <v>45.191555022999999</v>
      </c>
      <c r="G1988">
        <v>1389.1540527</v>
      </c>
      <c r="H1988">
        <v>1373.003418</v>
      </c>
      <c r="I1988">
        <v>1277.5252685999999</v>
      </c>
      <c r="J1988">
        <v>1253.2276611</v>
      </c>
      <c r="K1988">
        <v>2875</v>
      </c>
      <c r="L1988">
        <v>0</v>
      </c>
      <c r="M1988">
        <v>0</v>
      </c>
      <c r="N1988">
        <v>2875</v>
      </c>
    </row>
    <row r="1989" spans="1:14" x14ac:dyDescent="0.25">
      <c r="A1989">
        <v>1546.2144519999999</v>
      </c>
      <c r="B1989" s="1">
        <f>DATE(2014,7,25) + TIME(5,8,48)</f>
        <v>41845.214444444442</v>
      </c>
      <c r="C1989">
        <v>80</v>
      </c>
      <c r="D1989">
        <v>79.967300414999997</v>
      </c>
      <c r="E1989">
        <v>50</v>
      </c>
      <c r="F1989">
        <v>45.124992370999998</v>
      </c>
      <c r="G1989">
        <v>1389.0905762</v>
      </c>
      <c r="H1989">
        <v>1372.9487305</v>
      </c>
      <c r="I1989">
        <v>1277.4445800999999</v>
      </c>
      <c r="J1989">
        <v>1253.097168</v>
      </c>
      <c r="K1989">
        <v>2875</v>
      </c>
      <c r="L1989">
        <v>0</v>
      </c>
      <c r="M1989">
        <v>0</v>
      </c>
      <c r="N1989">
        <v>2875</v>
      </c>
    </row>
    <row r="1990" spans="1:14" x14ac:dyDescent="0.25">
      <c r="A1990">
        <v>1547.644967</v>
      </c>
      <c r="B1990" s="1">
        <f>DATE(2014,7,26) + TIME(15,28,45)</f>
        <v>41846.644965277781</v>
      </c>
      <c r="C1990">
        <v>80</v>
      </c>
      <c r="D1990">
        <v>79.967315674000005</v>
      </c>
      <c r="E1990">
        <v>50</v>
      </c>
      <c r="F1990">
        <v>45.058578490999999</v>
      </c>
      <c r="G1990">
        <v>1389.0268555</v>
      </c>
      <c r="H1990">
        <v>1372.8937988</v>
      </c>
      <c r="I1990">
        <v>1277.3625488</v>
      </c>
      <c r="J1990">
        <v>1252.9642334</v>
      </c>
      <c r="K1990">
        <v>2875</v>
      </c>
      <c r="L1990">
        <v>0</v>
      </c>
      <c r="M1990">
        <v>0</v>
      </c>
      <c r="N1990">
        <v>2875</v>
      </c>
    </row>
    <row r="1991" spans="1:14" x14ac:dyDescent="0.25">
      <c r="A1991">
        <v>1549.0909859999999</v>
      </c>
      <c r="B1991" s="1">
        <f>DATE(2014,7,28) + TIME(2,11,1)</f>
        <v>41848.090983796297</v>
      </c>
      <c r="C1991">
        <v>80</v>
      </c>
      <c r="D1991">
        <v>79.967330933</v>
      </c>
      <c r="E1991">
        <v>50</v>
      </c>
      <c r="F1991">
        <v>44.992446899000001</v>
      </c>
      <c r="G1991">
        <v>1388.9633789</v>
      </c>
      <c r="H1991">
        <v>1372.8389893000001</v>
      </c>
      <c r="I1991">
        <v>1277.2795410000001</v>
      </c>
      <c r="J1991">
        <v>1252.8291016000001</v>
      </c>
      <c r="K1991">
        <v>2875</v>
      </c>
      <c r="L1991">
        <v>0</v>
      </c>
      <c r="M1991">
        <v>0</v>
      </c>
      <c r="N1991">
        <v>2875</v>
      </c>
    </row>
    <row r="1992" spans="1:14" x14ac:dyDescent="0.25">
      <c r="A1992">
        <v>1550.556693</v>
      </c>
      <c r="B1992" s="1">
        <f>DATE(2014,7,29) + TIME(13,21,38)</f>
        <v>41849.556689814817</v>
      </c>
      <c r="C1992">
        <v>80</v>
      </c>
      <c r="D1992">
        <v>79.967338561999995</v>
      </c>
      <c r="E1992">
        <v>50</v>
      </c>
      <c r="F1992">
        <v>44.926612853999998</v>
      </c>
      <c r="G1992">
        <v>1388.8999022999999</v>
      </c>
      <c r="H1992">
        <v>1372.7840576000001</v>
      </c>
      <c r="I1992">
        <v>1277.1954346</v>
      </c>
      <c r="J1992">
        <v>1252.6916504000001</v>
      </c>
      <c r="K1992">
        <v>2875</v>
      </c>
      <c r="L1992">
        <v>0</v>
      </c>
      <c r="M1992">
        <v>0</v>
      </c>
      <c r="N1992">
        <v>2875</v>
      </c>
    </row>
    <row r="1993" spans="1:14" x14ac:dyDescent="0.25">
      <c r="A1993">
        <v>1552.0465079999999</v>
      </c>
      <c r="B1993" s="1">
        <f>DATE(2014,7,31) + TIME(1,6,58)</f>
        <v>41851.04650462963</v>
      </c>
      <c r="C1993">
        <v>80</v>
      </c>
      <c r="D1993">
        <v>79.967353821000003</v>
      </c>
      <c r="E1993">
        <v>50</v>
      </c>
      <c r="F1993">
        <v>44.861042023000003</v>
      </c>
      <c r="G1993">
        <v>1388.8361815999999</v>
      </c>
      <c r="H1993">
        <v>1372.7288818</v>
      </c>
      <c r="I1993">
        <v>1277.1099853999999</v>
      </c>
      <c r="J1993">
        <v>1252.5516356999999</v>
      </c>
      <c r="K1993">
        <v>2875</v>
      </c>
      <c r="L1993">
        <v>0</v>
      </c>
      <c r="M1993">
        <v>0</v>
      </c>
      <c r="N1993">
        <v>2875</v>
      </c>
    </row>
    <row r="1994" spans="1:14" x14ac:dyDescent="0.25">
      <c r="A1994">
        <v>1553</v>
      </c>
      <c r="B1994" s="1">
        <f>DATE(2014,8,1) + TIME(0,0,0)</f>
        <v>41852</v>
      </c>
      <c r="C1994">
        <v>80</v>
      </c>
      <c r="D1994">
        <v>79.967361449999999</v>
      </c>
      <c r="E1994">
        <v>50</v>
      </c>
      <c r="F1994">
        <v>44.806137085000003</v>
      </c>
      <c r="G1994">
        <v>1388.7720947</v>
      </c>
      <c r="H1994">
        <v>1372.6733397999999</v>
      </c>
      <c r="I1994">
        <v>1277.0253906</v>
      </c>
      <c r="J1994">
        <v>1252.4167480000001</v>
      </c>
      <c r="K1994">
        <v>2875</v>
      </c>
      <c r="L1994">
        <v>0</v>
      </c>
      <c r="M1994">
        <v>0</v>
      </c>
      <c r="N1994">
        <v>2875</v>
      </c>
    </row>
    <row r="1995" spans="1:14" x14ac:dyDescent="0.25">
      <c r="A1995">
        <v>1554.518675</v>
      </c>
      <c r="B1995" s="1">
        <f>DATE(2014,8,2) + TIME(12,26,53)</f>
        <v>41853.51866898148</v>
      </c>
      <c r="C1995">
        <v>80</v>
      </c>
      <c r="D1995">
        <v>79.967376709000007</v>
      </c>
      <c r="E1995">
        <v>50</v>
      </c>
      <c r="F1995">
        <v>44.750614165999998</v>
      </c>
      <c r="G1995">
        <v>1388.7313231999999</v>
      </c>
      <c r="H1995">
        <v>1372.6378173999999</v>
      </c>
      <c r="I1995">
        <v>1276.9654541</v>
      </c>
      <c r="J1995">
        <v>1252.3117675999999</v>
      </c>
      <c r="K1995">
        <v>2875</v>
      </c>
      <c r="L1995">
        <v>0</v>
      </c>
      <c r="M1995">
        <v>0</v>
      </c>
      <c r="N1995">
        <v>2875</v>
      </c>
    </row>
    <row r="1996" spans="1:14" x14ac:dyDescent="0.25">
      <c r="A1996">
        <v>1556.0781380000001</v>
      </c>
      <c r="B1996" s="1">
        <f>DATE(2014,8,4) + TIME(1,52,31)</f>
        <v>41855.078136574077</v>
      </c>
      <c r="C1996">
        <v>80</v>
      </c>
      <c r="D1996">
        <v>79.967391968000001</v>
      </c>
      <c r="E1996">
        <v>50</v>
      </c>
      <c r="F1996">
        <v>44.689250946000001</v>
      </c>
      <c r="G1996">
        <v>1388.6672363</v>
      </c>
      <c r="H1996">
        <v>1372.5820312000001</v>
      </c>
      <c r="I1996">
        <v>1276.878418</v>
      </c>
      <c r="J1996">
        <v>1252.1689452999999</v>
      </c>
      <c r="K1996">
        <v>2875</v>
      </c>
      <c r="L1996">
        <v>0</v>
      </c>
      <c r="M1996">
        <v>0</v>
      </c>
      <c r="N1996">
        <v>2875</v>
      </c>
    </row>
    <row r="1997" spans="1:14" x14ac:dyDescent="0.25">
      <c r="A1997">
        <v>1557.650768</v>
      </c>
      <c r="B1997" s="1">
        <f>DATE(2014,8,5) + TIME(15,37,6)</f>
        <v>41856.650763888887</v>
      </c>
      <c r="C1997">
        <v>80</v>
      </c>
      <c r="D1997">
        <v>79.967407226999995</v>
      </c>
      <c r="E1997">
        <v>50</v>
      </c>
      <c r="F1997">
        <v>44.626419067</v>
      </c>
      <c r="G1997">
        <v>1388.6018065999999</v>
      </c>
      <c r="H1997">
        <v>1372.5251464999999</v>
      </c>
      <c r="I1997">
        <v>1276.7883300999999</v>
      </c>
      <c r="J1997">
        <v>1252.0201416</v>
      </c>
      <c r="K1997">
        <v>2875</v>
      </c>
      <c r="L1997">
        <v>0</v>
      </c>
      <c r="M1997">
        <v>0</v>
      </c>
      <c r="N1997">
        <v>2875</v>
      </c>
    </row>
    <row r="1998" spans="1:14" x14ac:dyDescent="0.25">
      <c r="A1998">
        <v>1559.2314220000001</v>
      </c>
      <c r="B1998" s="1">
        <f>DATE(2014,8,7) + TIME(5,33,14)</f>
        <v>41858.231412037036</v>
      </c>
      <c r="C1998">
        <v>80</v>
      </c>
      <c r="D1998">
        <v>79.967430114999999</v>
      </c>
      <c r="E1998">
        <v>50</v>
      </c>
      <c r="F1998">
        <v>44.564182281000001</v>
      </c>
      <c r="G1998">
        <v>1388.5366211</v>
      </c>
      <c r="H1998">
        <v>1372.4681396000001</v>
      </c>
      <c r="I1998">
        <v>1276.6975098</v>
      </c>
      <c r="J1998">
        <v>1251.8690185999999</v>
      </c>
      <c r="K1998">
        <v>2875</v>
      </c>
      <c r="L1998">
        <v>0</v>
      </c>
      <c r="M1998">
        <v>0</v>
      </c>
      <c r="N1998">
        <v>2875</v>
      </c>
    </row>
    <row r="1999" spans="1:14" x14ac:dyDescent="0.25">
      <c r="A1999">
        <v>1560.8225640000001</v>
      </c>
      <c r="B1999" s="1">
        <f>DATE(2014,8,8) + TIME(19,44,29)</f>
        <v>41859.822557870371</v>
      </c>
      <c r="C1999">
        <v>80</v>
      </c>
      <c r="D1999">
        <v>79.967445373999993</v>
      </c>
      <c r="E1999">
        <v>50</v>
      </c>
      <c r="F1999">
        <v>44.503360747999999</v>
      </c>
      <c r="G1999">
        <v>1388.4716797000001</v>
      </c>
      <c r="H1999">
        <v>1372.4113769999999</v>
      </c>
      <c r="I1999">
        <v>1276.6064452999999</v>
      </c>
      <c r="J1999">
        <v>1251.7169189000001</v>
      </c>
      <c r="K1999">
        <v>2875</v>
      </c>
      <c r="L1999">
        <v>0</v>
      </c>
      <c r="M1999">
        <v>0</v>
      </c>
      <c r="N1999">
        <v>2875</v>
      </c>
    </row>
    <row r="2000" spans="1:14" x14ac:dyDescent="0.25">
      <c r="A2000">
        <v>1562.4286890000001</v>
      </c>
      <c r="B2000" s="1">
        <f>DATE(2014,8,10) + TIME(10,17,18)</f>
        <v>41861.428680555553</v>
      </c>
      <c r="C2000">
        <v>80</v>
      </c>
      <c r="D2000">
        <v>79.967460631999998</v>
      </c>
      <c r="E2000">
        <v>50</v>
      </c>
      <c r="F2000">
        <v>44.444271088000001</v>
      </c>
      <c r="G2000">
        <v>1388.4068603999999</v>
      </c>
      <c r="H2000">
        <v>1372.3546143000001</v>
      </c>
      <c r="I2000">
        <v>1276.5152588000001</v>
      </c>
      <c r="J2000">
        <v>1251.5640868999999</v>
      </c>
      <c r="K2000">
        <v>2875</v>
      </c>
      <c r="L2000">
        <v>0</v>
      </c>
      <c r="M2000">
        <v>0</v>
      </c>
      <c r="N2000">
        <v>2875</v>
      </c>
    </row>
    <row r="2001" spans="1:14" x14ac:dyDescent="0.25">
      <c r="A2001">
        <v>1564.054447</v>
      </c>
      <c r="B2001" s="1">
        <f>DATE(2014,8,12) + TIME(1,18,24)</f>
        <v>41863.054444444446</v>
      </c>
      <c r="C2001">
        <v>80</v>
      </c>
      <c r="D2001">
        <v>79.967475891000007</v>
      </c>
      <c r="E2001">
        <v>50</v>
      </c>
      <c r="F2001">
        <v>44.387054442999997</v>
      </c>
      <c r="G2001">
        <v>1388.3420410000001</v>
      </c>
      <c r="H2001">
        <v>1372.2978516000001</v>
      </c>
      <c r="I2001">
        <v>1276.4239502</v>
      </c>
      <c r="J2001">
        <v>1251.4105225000001</v>
      </c>
      <c r="K2001">
        <v>2875</v>
      </c>
      <c r="L2001">
        <v>0</v>
      </c>
      <c r="M2001">
        <v>0</v>
      </c>
      <c r="N2001">
        <v>2875</v>
      </c>
    </row>
    <row r="2002" spans="1:14" x14ac:dyDescent="0.25">
      <c r="A2002">
        <v>1565.7047219999999</v>
      </c>
      <c r="B2002" s="1">
        <f>DATE(2014,8,13) + TIME(16,54,47)</f>
        <v>41864.704710648148</v>
      </c>
      <c r="C2002">
        <v>80</v>
      </c>
      <c r="D2002">
        <v>79.967498778999996</v>
      </c>
      <c r="E2002">
        <v>50</v>
      </c>
      <c r="F2002">
        <v>44.331836699999997</v>
      </c>
      <c r="G2002">
        <v>1388.2770995999999</v>
      </c>
      <c r="H2002">
        <v>1372.2408447</v>
      </c>
      <c r="I2002">
        <v>1276.3323975000001</v>
      </c>
      <c r="J2002">
        <v>1251.2559814000001</v>
      </c>
      <c r="K2002">
        <v>2875</v>
      </c>
      <c r="L2002">
        <v>0</v>
      </c>
      <c r="M2002">
        <v>0</v>
      </c>
      <c r="N2002">
        <v>2875</v>
      </c>
    </row>
    <row r="2003" spans="1:14" x14ac:dyDescent="0.25">
      <c r="A2003">
        <v>1567.3846980000001</v>
      </c>
      <c r="B2003" s="1">
        <f>DATE(2014,8,15) + TIME(9,13,57)</f>
        <v>41866.384687500002</v>
      </c>
      <c r="C2003">
        <v>80</v>
      </c>
      <c r="D2003">
        <v>79.967514038000004</v>
      </c>
      <c r="E2003">
        <v>50</v>
      </c>
      <c r="F2003">
        <v>44.278759002999998</v>
      </c>
      <c r="G2003">
        <v>1388.2117920000001</v>
      </c>
      <c r="H2003">
        <v>1372.1833495999999</v>
      </c>
      <c r="I2003">
        <v>1276.2403564000001</v>
      </c>
      <c r="J2003">
        <v>1251.1004639</v>
      </c>
      <c r="K2003">
        <v>2875</v>
      </c>
      <c r="L2003">
        <v>0</v>
      </c>
      <c r="M2003">
        <v>0</v>
      </c>
      <c r="N2003">
        <v>2875</v>
      </c>
    </row>
    <row r="2004" spans="1:14" x14ac:dyDescent="0.25">
      <c r="A2004">
        <v>1569.1000260000001</v>
      </c>
      <c r="B2004" s="1">
        <f>DATE(2014,8,17) + TIME(2,24,2)</f>
        <v>41868.100023148145</v>
      </c>
      <c r="C2004">
        <v>80</v>
      </c>
      <c r="D2004">
        <v>79.967529296999999</v>
      </c>
      <c r="E2004">
        <v>50</v>
      </c>
      <c r="F2004">
        <v>44.228015900000003</v>
      </c>
      <c r="G2004">
        <v>1388.145874</v>
      </c>
      <c r="H2004">
        <v>1372.1253661999999</v>
      </c>
      <c r="I2004">
        <v>1276.1480713000001</v>
      </c>
      <c r="J2004">
        <v>1250.9436035000001</v>
      </c>
      <c r="K2004">
        <v>2875</v>
      </c>
      <c r="L2004">
        <v>0</v>
      </c>
      <c r="M2004">
        <v>0</v>
      </c>
      <c r="N2004">
        <v>2875</v>
      </c>
    </row>
    <row r="2005" spans="1:14" x14ac:dyDescent="0.25">
      <c r="A2005">
        <v>1570.8360170000001</v>
      </c>
      <c r="B2005" s="1">
        <f>DATE(2014,8,18) + TIME(20,3,51)</f>
        <v>41869.836006944446</v>
      </c>
      <c r="C2005">
        <v>80</v>
      </c>
      <c r="D2005">
        <v>79.967552185000002</v>
      </c>
      <c r="E2005">
        <v>50</v>
      </c>
      <c r="F2005">
        <v>44.180019379000001</v>
      </c>
      <c r="G2005">
        <v>1388.0792236</v>
      </c>
      <c r="H2005">
        <v>1372.0665283000001</v>
      </c>
      <c r="I2005">
        <v>1276.0551757999999</v>
      </c>
      <c r="J2005">
        <v>1250.7856445</v>
      </c>
      <c r="K2005">
        <v>2875</v>
      </c>
      <c r="L2005">
        <v>0</v>
      </c>
      <c r="M2005">
        <v>0</v>
      </c>
      <c r="N2005">
        <v>2875</v>
      </c>
    </row>
    <row r="2006" spans="1:14" x14ac:dyDescent="0.25">
      <c r="A2006">
        <v>1572.581005</v>
      </c>
      <c r="B2006" s="1">
        <f>DATE(2014,8,20) + TIME(13,56,38)</f>
        <v>41871.580995370372</v>
      </c>
      <c r="C2006">
        <v>80</v>
      </c>
      <c r="D2006">
        <v>79.967567443999997</v>
      </c>
      <c r="E2006">
        <v>50</v>
      </c>
      <c r="F2006">
        <v>44.135448455999999</v>
      </c>
      <c r="G2006">
        <v>1388.0123291</v>
      </c>
      <c r="H2006">
        <v>1372.0073242000001</v>
      </c>
      <c r="I2006">
        <v>1275.9627685999999</v>
      </c>
      <c r="J2006">
        <v>1250.6279297000001</v>
      </c>
      <c r="K2006">
        <v>2875</v>
      </c>
      <c r="L2006">
        <v>0</v>
      </c>
      <c r="M2006">
        <v>0</v>
      </c>
      <c r="N2006">
        <v>2875</v>
      </c>
    </row>
    <row r="2007" spans="1:14" x14ac:dyDescent="0.25">
      <c r="A2007">
        <v>1574.3416050000001</v>
      </c>
      <c r="B2007" s="1">
        <f>DATE(2014,8,22) + TIME(8,11,54)</f>
        <v>41873.341597222221</v>
      </c>
      <c r="C2007">
        <v>80</v>
      </c>
      <c r="D2007">
        <v>79.967590332</v>
      </c>
      <c r="E2007">
        <v>50</v>
      </c>
      <c r="F2007">
        <v>44.094844817999999</v>
      </c>
      <c r="G2007">
        <v>1387.9456786999999</v>
      </c>
      <c r="H2007">
        <v>1371.9483643000001</v>
      </c>
      <c r="I2007">
        <v>1275.871582</v>
      </c>
      <c r="J2007">
        <v>1250.4719238</v>
      </c>
      <c r="K2007">
        <v>2875</v>
      </c>
      <c r="L2007">
        <v>0</v>
      </c>
      <c r="M2007">
        <v>0</v>
      </c>
      <c r="N2007">
        <v>2875</v>
      </c>
    </row>
    <row r="2008" spans="1:14" x14ac:dyDescent="0.25">
      <c r="A2008">
        <v>1576.1215580000001</v>
      </c>
      <c r="B2008" s="1">
        <f>DATE(2014,8,24) + TIME(2,55,2)</f>
        <v>41875.121550925927</v>
      </c>
      <c r="C2008">
        <v>80</v>
      </c>
      <c r="D2008">
        <v>79.967613220000004</v>
      </c>
      <c r="E2008">
        <v>50</v>
      </c>
      <c r="F2008">
        <v>44.058567046999997</v>
      </c>
      <c r="G2008">
        <v>1387.8790283000001</v>
      </c>
      <c r="H2008">
        <v>1371.8892822</v>
      </c>
      <c r="I2008">
        <v>1275.7816161999999</v>
      </c>
      <c r="J2008">
        <v>1250.3175048999999</v>
      </c>
      <c r="K2008">
        <v>2875</v>
      </c>
      <c r="L2008">
        <v>0</v>
      </c>
      <c r="M2008">
        <v>0</v>
      </c>
      <c r="N2008">
        <v>2875</v>
      </c>
    </row>
    <row r="2009" spans="1:14" x14ac:dyDescent="0.25">
      <c r="A2009">
        <v>1577.9185</v>
      </c>
      <c r="B2009" s="1">
        <f>DATE(2014,8,25) + TIME(22,2,38)</f>
        <v>41876.918495370373</v>
      </c>
      <c r="C2009">
        <v>80</v>
      </c>
      <c r="D2009">
        <v>79.967628478999998</v>
      </c>
      <c r="E2009">
        <v>50</v>
      </c>
      <c r="F2009">
        <v>44.027019500999998</v>
      </c>
      <c r="G2009">
        <v>1387.8121338000001</v>
      </c>
      <c r="H2009">
        <v>1371.8299560999999</v>
      </c>
      <c r="I2009">
        <v>1275.692749</v>
      </c>
      <c r="J2009">
        <v>1250.1647949000001</v>
      </c>
      <c r="K2009">
        <v>2875</v>
      </c>
      <c r="L2009">
        <v>0</v>
      </c>
      <c r="M2009">
        <v>0</v>
      </c>
      <c r="N2009">
        <v>2875</v>
      </c>
    </row>
    <row r="2010" spans="1:14" x14ac:dyDescent="0.25">
      <c r="A2010">
        <v>1579.737793</v>
      </c>
      <c r="B2010" s="1">
        <f>DATE(2014,8,27) + TIME(17,42,25)</f>
        <v>41878.73778935185</v>
      </c>
      <c r="C2010">
        <v>80</v>
      </c>
      <c r="D2010">
        <v>79.967651367000002</v>
      </c>
      <c r="E2010">
        <v>50</v>
      </c>
      <c r="F2010">
        <v>44.000663756999998</v>
      </c>
      <c r="G2010">
        <v>1387.7452393000001</v>
      </c>
      <c r="H2010">
        <v>1371.7705077999999</v>
      </c>
      <c r="I2010">
        <v>1275.6055908000001</v>
      </c>
      <c r="J2010">
        <v>1250.0145264</v>
      </c>
      <c r="K2010">
        <v>2875</v>
      </c>
      <c r="L2010">
        <v>0</v>
      </c>
      <c r="M2010">
        <v>0</v>
      </c>
      <c r="N2010">
        <v>2875</v>
      </c>
    </row>
    <row r="2011" spans="1:14" x14ac:dyDescent="0.25">
      <c r="A2011">
        <v>1581.5850439999999</v>
      </c>
      <c r="B2011" s="1">
        <f>DATE(2014,8,29) + TIME(14,2,27)</f>
        <v>41880.585034722222</v>
      </c>
      <c r="C2011">
        <v>80</v>
      </c>
      <c r="D2011">
        <v>79.967674255000006</v>
      </c>
      <c r="E2011">
        <v>50</v>
      </c>
      <c r="F2011">
        <v>43.979953766000001</v>
      </c>
      <c r="G2011">
        <v>1387.6781006000001</v>
      </c>
      <c r="H2011">
        <v>1371.7106934000001</v>
      </c>
      <c r="I2011">
        <v>1275.5198975000001</v>
      </c>
      <c r="J2011">
        <v>1249.8666992000001</v>
      </c>
      <c r="K2011">
        <v>2875</v>
      </c>
      <c r="L2011">
        <v>0</v>
      </c>
      <c r="M2011">
        <v>0</v>
      </c>
      <c r="N2011">
        <v>2875</v>
      </c>
    </row>
    <row r="2012" spans="1:14" x14ac:dyDescent="0.25">
      <c r="A2012">
        <v>1583.4663559999999</v>
      </c>
      <c r="B2012" s="1">
        <f>DATE(2014,8,31) + TIME(11,11,33)</f>
        <v>41882.466354166667</v>
      </c>
      <c r="C2012">
        <v>80</v>
      </c>
      <c r="D2012">
        <v>79.967697143999999</v>
      </c>
      <c r="E2012">
        <v>50</v>
      </c>
      <c r="F2012">
        <v>43.965435028000002</v>
      </c>
      <c r="G2012">
        <v>1387.6104736</v>
      </c>
      <c r="H2012">
        <v>1371.6503906</v>
      </c>
      <c r="I2012">
        <v>1275.4357910000001</v>
      </c>
      <c r="J2012">
        <v>1249.7215576000001</v>
      </c>
      <c r="K2012">
        <v>2875</v>
      </c>
      <c r="L2012">
        <v>0</v>
      </c>
      <c r="M2012">
        <v>0</v>
      </c>
      <c r="N2012">
        <v>2875</v>
      </c>
    </row>
    <row r="2013" spans="1:14" x14ac:dyDescent="0.25">
      <c r="A2013">
        <v>1584</v>
      </c>
      <c r="B2013" s="1">
        <f>DATE(2014,9,1) + TIME(0,0,0)</f>
        <v>41883</v>
      </c>
      <c r="C2013">
        <v>80</v>
      </c>
      <c r="D2013">
        <v>79.967697143999999</v>
      </c>
      <c r="E2013">
        <v>50</v>
      </c>
      <c r="F2013">
        <v>43.960914612000003</v>
      </c>
      <c r="G2013">
        <v>1387.5429687999999</v>
      </c>
      <c r="H2013">
        <v>1371.5900879000001</v>
      </c>
      <c r="I2013">
        <v>1275.3671875</v>
      </c>
      <c r="J2013">
        <v>1249.6035156</v>
      </c>
      <c r="K2013">
        <v>2875</v>
      </c>
      <c r="L2013">
        <v>0</v>
      </c>
      <c r="M2013">
        <v>0</v>
      </c>
      <c r="N2013">
        <v>2875</v>
      </c>
    </row>
    <row r="2014" spans="1:14" x14ac:dyDescent="0.25">
      <c r="A2014">
        <v>1585.900611</v>
      </c>
      <c r="B2014" s="1">
        <f>DATE(2014,9,2) + TIME(21,36,52)</f>
        <v>41884.900601851848</v>
      </c>
      <c r="C2014">
        <v>80</v>
      </c>
      <c r="D2014">
        <v>79.967727660999998</v>
      </c>
      <c r="E2014">
        <v>50</v>
      </c>
      <c r="F2014">
        <v>43.957050322999997</v>
      </c>
      <c r="G2014">
        <v>1387.5225829999999</v>
      </c>
      <c r="H2014">
        <v>1371.5717772999999</v>
      </c>
      <c r="I2014">
        <v>1275.3266602000001</v>
      </c>
      <c r="J2014">
        <v>1249.5334473</v>
      </c>
      <c r="K2014">
        <v>2875</v>
      </c>
      <c r="L2014">
        <v>0</v>
      </c>
      <c r="M2014">
        <v>0</v>
      </c>
      <c r="N2014">
        <v>2875</v>
      </c>
    </row>
    <row r="2015" spans="1:14" x14ac:dyDescent="0.25">
      <c r="A2015">
        <v>1586.867653</v>
      </c>
      <c r="B2015" s="1">
        <f>DATE(2014,9,3) + TIME(20,49,25)</f>
        <v>41885.867650462962</v>
      </c>
      <c r="C2015">
        <v>80</v>
      </c>
      <c r="D2015">
        <v>79.967727660999998</v>
      </c>
      <c r="E2015">
        <v>50</v>
      </c>
      <c r="F2015">
        <v>43.959102631</v>
      </c>
      <c r="G2015">
        <v>1387.4548339999999</v>
      </c>
      <c r="H2015">
        <v>1371.5111084</v>
      </c>
      <c r="I2015">
        <v>1275.2578125</v>
      </c>
      <c r="J2015">
        <v>1249.4138184000001</v>
      </c>
      <c r="K2015">
        <v>2875</v>
      </c>
      <c r="L2015">
        <v>0</v>
      </c>
      <c r="M2015">
        <v>0</v>
      </c>
      <c r="N2015">
        <v>2875</v>
      </c>
    </row>
    <row r="2016" spans="1:14" x14ac:dyDescent="0.25">
      <c r="A2016">
        <v>1587.834695</v>
      </c>
      <c r="B2016" s="1">
        <f>DATE(2014,9,4) + TIME(20,1,57)</f>
        <v>41886.834687499999</v>
      </c>
      <c r="C2016">
        <v>80</v>
      </c>
      <c r="D2016">
        <v>79.967742920000006</v>
      </c>
      <c r="E2016">
        <v>50</v>
      </c>
      <c r="F2016">
        <v>43.963825225999997</v>
      </c>
      <c r="G2016">
        <v>1387.4197998</v>
      </c>
      <c r="H2016">
        <v>1371.4797363</v>
      </c>
      <c r="I2016">
        <v>1275.2150879000001</v>
      </c>
      <c r="J2016">
        <v>1249.3405762</v>
      </c>
      <c r="K2016">
        <v>2875</v>
      </c>
      <c r="L2016">
        <v>0</v>
      </c>
      <c r="M2016">
        <v>0</v>
      </c>
      <c r="N2016">
        <v>2875</v>
      </c>
    </row>
    <row r="2017" spans="1:14" x14ac:dyDescent="0.25">
      <c r="A2017">
        <v>1588.801737</v>
      </c>
      <c r="B2017" s="1">
        <f>DATE(2014,9,5) + TIME(19,14,30)</f>
        <v>41887.801736111112</v>
      </c>
      <c r="C2017">
        <v>80</v>
      </c>
      <c r="D2017">
        <v>79.967750549000002</v>
      </c>
      <c r="E2017">
        <v>50</v>
      </c>
      <c r="F2017">
        <v>43.970951079999999</v>
      </c>
      <c r="G2017">
        <v>1387.3854980000001</v>
      </c>
      <c r="H2017">
        <v>1371.4489745999999</v>
      </c>
      <c r="I2017">
        <v>1275.1759033000001</v>
      </c>
      <c r="J2017">
        <v>1249.2733154</v>
      </c>
      <c r="K2017">
        <v>2875</v>
      </c>
      <c r="L2017">
        <v>0</v>
      </c>
      <c r="M2017">
        <v>0</v>
      </c>
      <c r="N2017">
        <v>2875</v>
      </c>
    </row>
    <row r="2018" spans="1:14" x14ac:dyDescent="0.25">
      <c r="A2018">
        <v>1589.7687780000001</v>
      </c>
      <c r="B2018" s="1">
        <f>DATE(2014,9,6) + TIME(18,27,2)</f>
        <v>41888.768773148149</v>
      </c>
      <c r="C2018">
        <v>80</v>
      </c>
      <c r="D2018">
        <v>79.967765807999996</v>
      </c>
      <c r="E2018">
        <v>50</v>
      </c>
      <c r="F2018">
        <v>43.980403899999999</v>
      </c>
      <c r="G2018">
        <v>1387.3511963000001</v>
      </c>
      <c r="H2018">
        <v>1371.4182129000001</v>
      </c>
      <c r="I2018">
        <v>1275.1389160000001</v>
      </c>
      <c r="J2018">
        <v>1249.2098389</v>
      </c>
      <c r="K2018">
        <v>2875</v>
      </c>
      <c r="L2018">
        <v>0</v>
      </c>
      <c r="M2018">
        <v>0</v>
      </c>
      <c r="N2018">
        <v>2875</v>
      </c>
    </row>
    <row r="2019" spans="1:14" x14ac:dyDescent="0.25">
      <c r="A2019">
        <v>1590.7358200000001</v>
      </c>
      <c r="B2019" s="1">
        <f>DATE(2014,9,7) + TIME(17,39,34)</f>
        <v>41889.735810185186</v>
      </c>
      <c r="C2019">
        <v>80</v>
      </c>
      <c r="D2019">
        <v>79.967773437999995</v>
      </c>
      <c r="E2019">
        <v>50</v>
      </c>
      <c r="F2019">
        <v>43.992168427000003</v>
      </c>
      <c r="G2019">
        <v>1387.3171387</v>
      </c>
      <c r="H2019">
        <v>1371.3875731999999</v>
      </c>
      <c r="I2019">
        <v>1275.1033935999999</v>
      </c>
      <c r="J2019">
        <v>1249.1489257999999</v>
      </c>
      <c r="K2019">
        <v>2875</v>
      </c>
      <c r="L2019">
        <v>0</v>
      </c>
      <c r="M2019">
        <v>0</v>
      </c>
      <c r="N2019">
        <v>2875</v>
      </c>
    </row>
    <row r="2020" spans="1:14" x14ac:dyDescent="0.25">
      <c r="A2020">
        <v>1591.7028620000001</v>
      </c>
      <c r="B2020" s="1">
        <f>DATE(2014,9,8) + TIME(16,52,7)</f>
        <v>41890.7028587963</v>
      </c>
      <c r="C2020">
        <v>80</v>
      </c>
      <c r="D2020">
        <v>79.967788696</v>
      </c>
      <c r="E2020">
        <v>50</v>
      </c>
      <c r="F2020">
        <v>44.006263732999997</v>
      </c>
      <c r="G2020">
        <v>1387.2833252</v>
      </c>
      <c r="H2020">
        <v>1371.3571777</v>
      </c>
      <c r="I2020">
        <v>1275.0689697</v>
      </c>
      <c r="J2020">
        <v>1249.090332</v>
      </c>
      <c r="K2020">
        <v>2875</v>
      </c>
      <c r="L2020">
        <v>0</v>
      </c>
      <c r="M2020">
        <v>0</v>
      </c>
      <c r="N2020">
        <v>2875</v>
      </c>
    </row>
    <row r="2021" spans="1:14" x14ac:dyDescent="0.25">
      <c r="A2021">
        <v>1592.6699040000001</v>
      </c>
      <c r="B2021" s="1">
        <f>DATE(2014,9,9) + TIME(16,4,39)</f>
        <v>41891.669895833336</v>
      </c>
      <c r="C2021">
        <v>80</v>
      </c>
      <c r="D2021">
        <v>79.967796325999998</v>
      </c>
      <c r="E2021">
        <v>50</v>
      </c>
      <c r="F2021">
        <v>44.022708893000001</v>
      </c>
      <c r="G2021">
        <v>1387.2495117000001</v>
      </c>
      <c r="H2021">
        <v>1371.3267822</v>
      </c>
      <c r="I2021">
        <v>1275.0358887</v>
      </c>
      <c r="J2021">
        <v>1249.0339355000001</v>
      </c>
      <c r="K2021">
        <v>2875</v>
      </c>
      <c r="L2021">
        <v>0</v>
      </c>
      <c r="M2021">
        <v>0</v>
      </c>
      <c r="N2021">
        <v>2875</v>
      </c>
    </row>
    <row r="2022" spans="1:14" x14ac:dyDescent="0.25">
      <c r="A2022">
        <v>1594.6039880000001</v>
      </c>
      <c r="B2022" s="1">
        <f>DATE(2014,9,11) + TIME(14,29,44)</f>
        <v>41893.603981481479</v>
      </c>
      <c r="C2022">
        <v>80</v>
      </c>
      <c r="D2022">
        <v>79.967826842999997</v>
      </c>
      <c r="E2022">
        <v>50</v>
      </c>
      <c r="F2022">
        <v>44.046447753999999</v>
      </c>
      <c r="G2022">
        <v>1387.2159423999999</v>
      </c>
      <c r="H2022">
        <v>1371.2965088000001</v>
      </c>
      <c r="I2022">
        <v>1274.9986572</v>
      </c>
      <c r="J2022">
        <v>1248.9731445</v>
      </c>
      <c r="K2022">
        <v>2875</v>
      </c>
      <c r="L2022">
        <v>0</v>
      </c>
      <c r="M2022">
        <v>0</v>
      </c>
      <c r="N2022">
        <v>2875</v>
      </c>
    </row>
    <row r="2023" spans="1:14" x14ac:dyDescent="0.25">
      <c r="A2023">
        <v>1596.5396619999999</v>
      </c>
      <c r="B2023" s="1">
        <f>DATE(2014,9,13) + TIME(12,57,6)</f>
        <v>41895.539652777778</v>
      </c>
      <c r="C2023">
        <v>80</v>
      </c>
      <c r="D2023">
        <v>79.967849731000001</v>
      </c>
      <c r="E2023">
        <v>50</v>
      </c>
      <c r="F2023">
        <v>44.086704253999997</v>
      </c>
      <c r="G2023">
        <v>1387.1492920000001</v>
      </c>
      <c r="H2023">
        <v>1371.2365723</v>
      </c>
      <c r="I2023">
        <v>1274.9415283000001</v>
      </c>
      <c r="J2023">
        <v>1248.8752440999999</v>
      </c>
      <c r="K2023">
        <v>2875</v>
      </c>
      <c r="L2023">
        <v>0</v>
      </c>
      <c r="M2023">
        <v>0</v>
      </c>
      <c r="N2023">
        <v>2875</v>
      </c>
    </row>
    <row r="2024" spans="1:14" x14ac:dyDescent="0.25">
      <c r="A2024">
        <v>1598.5122449999999</v>
      </c>
      <c r="B2024" s="1">
        <f>DATE(2014,9,15) + TIME(12,17,37)</f>
        <v>41897.512233796297</v>
      </c>
      <c r="C2024">
        <v>80</v>
      </c>
      <c r="D2024">
        <v>79.967880249000004</v>
      </c>
      <c r="E2024">
        <v>50</v>
      </c>
      <c r="F2024">
        <v>44.138916016000003</v>
      </c>
      <c r="G2024">
        <v>1387.0828856999999</v>
      </c>
      <c r="H2024">
        <v>1371.1767577999999</v>
      </c>
      <c r="I2024">
        <v>1274.8847656</v>
      </c>
      <c r="J2024">
        <v>1248.7805175999999</v>
      </c>
      <c r="K2024">
        <v>2875</v>
      </c>
      <c r="L2024">
        <v>0</v>
      </c>
      <c r="M2024">
        <v>0</v>
      </c>
      <c r="N2024">
        <v>2875</v>
      </c>
    </row>
    <row r="2025" spans="1:14" x14ac:dyDescent="0.25">
      <c r="A2025">
        <v>1600.536112</v>
      </c>
      <c r="B2025" s="1">
        <f>DATE(2014,9,17) + TIME(12,52,0)</f>
        <v>41899.536111111112</v>
      </c>
      <c r="C2025">
        <v>80</v>
      </c>
      <c r="D2025">
        <v>79.967903136999993</v>
      </c>
      <c r="E2025">
        <v>50</v>
      </c>
      <c r="F2025">
        <v>44.202800750999998</v>
      </c>
      <c r="G2025">
        <v>1387.0158690999999</v>
      </c>
      <c r="H2025">
        <v>1371.1162108999999</v>
      </c>
      <c r="I2025">
        <v>1274.8306885</v>
      </c>
      <c r="J2025">
        <v>1248.6915283000001</v>
      </c>
      <c r="K2025">
        <v>2875</v>
      </c>
      <c r="L2025">
        <v>0</v>
      </c>
      <c r="M2025">
        <v>0</v>
      </c>
      <c r="N2025">
        <v>2875</v>
      </c>
    </row>
    <row r="2026" spans="1:14" x14ac:dyDescent="0.25">
      <c r="A2026">
        <v>1602.6182020000001</v>
      </c>
      <c r="B2026" s="1">
        <f>DATE(2014,9,19) + TIME(14,50,12)</f>
        <v>41901.618194444447</v>
      </c>
      <c r="C2026">
        <v>80</v>
      </c>
      <c r="D2026">
        <v>79.967926024999997</v>
      </c>
      <c r="E2026">
        <v>50</v>
      </c>
      <c r="F2026">
        <v>44.279178619</v>
      </c>
      <c r="G2026">
        <v>1386.9477539</v>
      </c>
      <c r="H2026">
        <v>1371.0545654</v>
      </c>
      <c r="I2026">
        <v>1274.7796631000001</v>
      </c>
      <c r="J2026">
        <v>1248.609375</v>
      </c>
      <c r="K2026">
        <v>2875</v>
      </c>
      <c r="L2026">
        <v>0</v>
      </c>
      <c r="M2026">
        <v>0</v>
      </c>
      <c r="N2026">
        <v>2875</v>
      </c>
    </row>
    <row r="2027" spans="1:14" x14ac:dyDescent="0.25">
      <c r="A2027">
        <v>1604.7646999999999</v>
      </c>
      <c r="B2027" s="1">
        <f>DATE(2014,9,21) + TIME(18,21,10)</f>
        <v>41903.764699074076</v>
      </c>
      <c r="C2027">
        <v>80</v>
      </c>
      <c r="D2027">
        <v>79.967956543</v>
      </c>
      <c r="E2027">
        <v>50</v>
      </c>
      <c r="F2027">
        <v>44.369155884000001</v>
      </c>
      <c r="G2027">
        <v>1386.8782959</v>
      </c>
      <c r="H2027">
        <v>1370.9916992000001</v>
      </c>
      <c r="I2027">
        <v>1274.7321777</v>
      </c>
      <c r="J2027">
        <v>1248.5347899999999</v>
      </c>
      <c r="K2027">
        <v>2875</v>
      </c>
      <c r="L2027">
        <v>0</v>
      </c>
      <c r="M2027">
        <v>0</v>
      </c>
      <c r="N2027">
        <v>2875</v>
      </c>
    </row>
    <row r="2028" spans="1:14" x14ac:dyDescent="0.25">
      <c r="A2028">
        <v>1606.9220640000001</v>
      </c>
      <c r="B2028" s="1">
        <f>DATE(2014,9,23) + TIME(22,7,46)</f>
        <v>41905.922060185185</v>
      </c>
      <c r="C2028">
        <v>80</v>
      </c>
      <c r="D2028">
        <v>79.967979431000003</v>
      </c>
      <c r="E2028">
        <v>50</v>
      </c>
      <c r="F2028">
        <v>44.473167418999999</v>
      </c>
      <c r="G2028">
        <v>1386.8073730000001</v>
      </c>
      <c r="H2028">
        <v>1370.9273682</v>
      </c>
      <c r="I2028">
        <v>1274.6887207</v>
      </c>
      <c r="J2028">
        <v>1248.4688721</v>
      </c>
      <c r="K2028">
        <v>2875</v>
      </c>
      <c r="L2028">
        <v>0</v>
      </c>
      <c r="M2028">
        <v>0</v>
      </c>
      <c r="N2028">
        <v>2875</v>
      </c>
    </row>
    <row r="2029" spans="1:14" x14ac:dyDescent="0.25">
      <c r="A2029">
        <v>1609.0956020000001</v>
      </c>
      <c r="B2029" s="1">
        <f>DATE(2014,9,26) + TIME(2,17,40)</f>
        <v>41908.095601851855</v>
      </c>
      <c r="C2029">
        <v>80</v>
      </c>
      <c r="D2029">
        <v>79.968009949000006</v>
      </c>
      <c r="E2029">
        <v>50</v>
      </c>
      <c r="F2029">
        <v>44.590164184999999</v>
      </c>
      <c r="G2029">
        <v>1386.7366943</v>
      </c>
      <c r="H2029">
        <v>1370.8634033000001</v>
      </c>
      <c r="I2029">
        <v>1274.6502685999999</v>
      </c>
      <c r="J2029">
        <v>1248.4135742000001</v>
      </c>
      <c r="K2029">
        <v>2875</v>
      </c>
      <c r="L2029">
        <v>0</v>
      </c>
      <c r="M2029">
        <v>0</v>
      </c>
      <c r="N2029">
        <v>2875</v>
      </c>
    </row>
    <row r="2030" spans="1:14" x14ac:dyDescent="0.25">
      <c r="A2030">
        <v>1611.2972589999999</v>
      </c>
      <c r="B2030" s="1">
        <f>DATE(2014,9,28) + TIME(7,8,3)</f>
        <v>41910.297256944446</v>
      </c>
      <c r="C2030">
        <v>80</v>
      </c>
      <c r="D2030">
        <v>79.968040466000005</v>
      </c>
      <c r="E2030">
        <v>50</v>
      </c>
      <c r="F2030">
        <v>44.720050811999997</v>
      </c>
      <c r="G2030">
        <v>1386.6663818</v>
      </c>
      <c r="H2030">
        <v>1370.7994385</v>
      </c>
      <c r="I2030">
        <v>1274.6169434000001</v>
      </c>
      <c r="J2030">
        <v>1248.3688964999999</v>
      </c>
      <c r="K2030">
        <v>2875</v>
      </c>
      <c r="L2030">
        <v>0</v>
      </c>
      <c r="M2030">
        <v>0</v>
      </c>
      <c r="N2030">
        <v>2875</v>
      </c>
    </row>
    <row r="2031" spans="1:14" x14ac:dyDescent="0.25">
      <c r="A2031">
        <v>1613.513811</v>
      </c>
      <c r="B2031" s="1">
        <f>DATE(2014,9,30) + TIME(12,19,53)</f>
        <v>41912.513807870368</v>
      </c>
      <c r="C2031">
        <v>80</v>
      </c>
      <c r="D2031">
        <v>79.968063353999995</v>
      </c>
      <c r="E2031">
        <v>50</v>
      </c>
      <c r="F2031">
        <v>44.862815857000001</v>
      </c>
      <c r="G2031">
        <v>1386.5959473</v>
      </c>
      <c r="H2031">
        <v>1370.7354736</v>
      </c>
      <c r="I2031">
        <v>1274.5886230000001</v>
      </c>
      <c r="J2031">
        <v>1248.3349608999999</v>
      </c>
      <c r="K2031">
        <v>2875</v>
      </c>
      <c r="L2031">
        <v>0</v>
      </c>
      <c r="M2031">
        <v>0</v>
      </c>
      <c r="N2031">
        <v>2875</v>
      </c>
    </row>
    <row r="2032" spans="1:14" x14ac:dyDescent="0.25">
      <c r="A2032">
        <v>1614</v>
      </c>
      <c r="B2032" s="1">
        <f>DATE(2014,10,1) + TIME(0,0,0)</f>
        <v>41913</v>
      </c>
      <c r="C2032">
        <v>80</v>
      </c>
      <c r="D2032">
        <v>79.968063353999995</v>
      </c>
      <c r="E2032">
        <v>50</v>
      </c>
      <c r="F2032">
        <v>44.947658539000003</v>
      </c>
      <c r="G2032">
        <v>1386.5272216999999</v>
      </c>
      <c r="H2032">
        <v>1370.6730957</v>
      </c>
      <c r="I2032">
        <v>1274.5886230000001</v>
      </c>
      <c r="J2032">
        <v>1248.317749</v>
      </c>
      <c r="K2032">
        <v>2875</v>
      </c>
      <c r="L2032">
        <v>0</v>
      </c>
      <c r="M2032">
        <v>0</v>
      </c>
      <c r="N2032">
        <v>2875</v>
      </c>
    </row>
    <row r="2033" spans="1:14" x14ac:dyDescent="0.25">
      <c r="A2033">
        <v>1614.0000010000001</v>
      </c>
      <c r="B2033" s="1">
        <f>DATE(2014,10,1) + TIME(0,0,0)</f>
        <v>41913</v>
      </c>
      <c r="C2033">
        <v>80</v>
      </c>
      <c r="D2033">
        <v>79.967933654999996</v>
      </c>
      <c r="E2033">
        <v>50</v>
      </c>
      <c r="F2033">
        <v>44.947780608999999</v>
      </c>
      <c r="G2033">
        <v>1369.7784423999999</v>
      </c>
      <c r="H2033">
        <v>1359.6601562000001</v>
      </c>
      <c r="I2033">
        <v>1294.1425781</v>
      </c>
      <c r="J2033">
        <v>1275.53125</v>
      </c>
      <c r="K2033">
        <v>0</v>
      </c>
      <c r="L2033">
        <v>2050</v>
      </c>
      <c r="M2033">
        <v>2050</v>
      </c>
      <c r="N2033">
        <v>0</v>
      </c>
    </row>
    <row r="2034" spans="1:14" x14ac:dyDescent="0.25">
      <c r="A2034">
        <v>1614.000004</v>
      </c>
      <c r="B2034" s="1">
        <f>DATE(2014,10,1) + TIME(0,0,0)</f>
        <v>41913</v>
      </c>
      <c r="C2034">
        <v>80</v>
      </c>
      <c r="D2034">
        <v>79.967613220000004</v>
      </c>
      <c r="E2034">
        <v>50</v>
      </c>
      <c r="F2034">
        <v>44.948108673</v>
      </c>
      <c r="G2034">
        <v>1367.5183105000001</v>
      </c>
      <c r="H2034">
        <v>1357.3997803</v>
      </c>
      <c r="I2034">
        <v>1296.5900879000001</v>
      </c>
      <c r="J2034">
        <v>1278.0668945</v>
      </c>
      <c r="K2034">
        <v>0</v>
      </c>
      <c r="L2034">
        <v>2050</v>
      </c>
      <c r="M2034">
        <v>2050</v>
      </c>
      <c r="N2034">
        <v>0</v>
      </c>
    </row>
    <row r="2035" spans="1:14" x14ac:dyDescent="0.25">
      <c r="A2035">
        <v>1614.0000130000001</v>
      </c>
      <c r="B2035" s="1">
        <f>DATE(2014,10,1) + TIME(0,0,1)</f>
        <v>41913.000011574077</v>
      </c>
      <c r="C2035">
        <v>80</v>
      </c>
      <c r="D2035">
        <v>79.966964722</v>
      </c>
      <c r="E2035">
        <v>50</v>
      </c>
      <c r="F2035">
        <v>44.948871613000001</v>
      </c>
      <c r="G2035">
        <v>1362.9562988</v>
      </c>
      <c r="H2035">
        <v>1352.8372803</v>
      </c>
      <c r="I2035">
        <v>1302.2379149999999</v>
      </c>
      <c r="J2035">
        <v>1283.8603516000001</v>
      </c>
      <c r="K2035">
        <v>0</v>
      </c>
      <c r="L2035">
        <v>2050</v>
      </c>
      <c r="M2035">
        <v>2050</v>
      </c>
      <c r="N2035">
        <v>0</v>
      </c>
    </row>
    <row r="2036" spans="1:14" x14ac:dyDescent="0.25">
      <c r="A2036">
        <v>1614.0000399999999</v>
      </c>
      <c r="B2036" s="1">
        <f>DATE(2014,10,1) + TIME(0,0,3)</f>
        <v>41913.000034722223</v>
      </c>
      <c r="C2036">
        <v>80</v>
      </c>
      <c r="D2036">
        <v>79.966018676999994</v>
      </c>
      <c r="E2036">
        <v>50</v>
      </c>
      <c r="F2036">
        <v>44.950233459000003</v>
      </c>
      <c r="G2036">
        <v>1356.2930908000001</v>
      </c>
      <c r="H2036">
        <v>1346.1751709</v>
      </c>
      <c r="I2036">
        <v>1312.0600586</v>
      </c>
      <c r="J2036">
        <v>1293.7799072</v>
      </c>
      <c r="K2036">
        <v>0</v>
      </c>
      <c r="L2036">
        <v>2050</v>
      </c>
      <c r="M2036">
        <v>2050</v>
      </c>
      <c r="N2036">
        <v>0</v>
      </c>
    </row>
    <row r="2037" spans="1:14" x14ac:dyDescent="0.25">
      <c r="A2037">
        <v>1614.000121</v>
      </c>
      <c r="B2037" s="1">
        <f>DATE(2014,10,1) + TIME(0,0,10)</f>
        <v>41913.000115740739</v>
      </c>
      <c r="C2037">
        <v>80</v>
      </c>
      <c r="D2037">
        <v>79.964950561999999</v>
      </c>
      <c r="E2037">
        <v>50</v>
      </c>
      <c r="F2037">
        <v>44.952186584000003</v>
      </c>
      <c r="G2037">
        <v>1348.8792725000001</v>
      </c>
      <c r="H2037">
        <v>1338.7648925999999</v>
      </c>
      <c r="I2037">
        <v>1324.4918213000001</v>
      </c>
      <c r="J2037">
        <v>1306.2092285000001</v>
      </c>
      <c r="K2037">
        <v>0</v>
      </c>
      <c r="L2037">
        <v>2050</v>
      </c>
      <c r="M2037">
        <v>2050</v>
      </c>
      <c r="N2037">
        <v>0</v>
      </c>
    </row>
    <row r="2038" spans="1:14" x14ac:dyDescent="0.25">
      <c r="A2038">
        <v>1614.000364</v>
      </c>
      <c r="B2038" s="1">
        <f>DATE(2014,10,1) + TIME(0,0,31)</f>
        <v>41913.000358796293</v>
      </c>
      <c r="C2038">
        <v>80</v>
      </c>
      <c r="D2038">
        <v>79.963859557999996</v>
      </c>
      <c r="E2038">
        <v>50</v>
      </c>
      <c r="F2038">
        <v>44.955066680999998</v>
      </c>
      <c r="G2038">
        <v>1341.4298096</v>
      </c>
      <c r="H2038">
        <v>1331.3195800999999</v>
      </c>
      <c r="I2038">
        <v>1337.5388184000001</v>
      </c>
      <c r="J2038">
        <v>1319.2353516000001</v>
      </c>
      <c r="K2038">
        <v>0</v>
      </c>
      <c r="L2038">
        <v>2050</v>
      </c>
      <c r="M2038">
        <v>2050</v>
      </c>
      <c r="N2038">
        <v>0</v>
      </c>
    </row>
    <row r="2039" spans="1:14" x14ac:dyDescent="0.25">
      <c r="A2039">
        <v>1614.0010930000001</v>
      </c>
      <c r="B2039" s="1">
        <f>DATE(2014,10,1) + TIME(0,1,34)</f>
        <v>41913.001087962963</v>
      </c>
      <c r="C2039">
        <v>80</v>
      </c>
      <c r="D2039">
        <v>79.962699889999996</v>
      </c>
      <c r="E2039">
        <v>50</v>
      </c>
      <c r="F2039">
        <v>44.960525513</v>
      </c>
      <c r="G2039">
        <v>1333.9462891000001</v>
      </c>
      <c r="H2039">
        <v>1323.815918</v>
      </c>
      <c r="I2039">
        <v>1350.7738036999999</v>
      </c>
      <c r="J2039">
        <v>1332.4332274999999</v>
      </c>
      <c r="K2039">
        <v>0</v>
      </c>
      <c r="L2039">
        <v>2050</v>
      </c>
      <c r="M2039">
        <v>2050</v>
      </c>
      <c r="N2039">
        <v>0</v>
      </c>
    </row>
    <row r="2040" spans="1:14" x14ac:dyDescent="0.25">
      <c r="A2040">
        <v>1614.0032799999999</v>
      </c>
      <c r="B2040" s="1">
        <f>DATE(2014,10,1) + TIME(0,4,43)</f>
        <v>41913.003275462965</v>
      </c>
      <c r="C2040">
        <v>80</v>
      </c>
      <c r="D2040">
        <v>79.961296082000004</v>
      </c>
      <c r="E2040">
        <v>50</v>
      </c>
      <c r="F2040">
        <v>44.973697661999999</v>
      </c>
      <c r="G2040">
        <v>1326.2170410000001</v>
      </c>
      <c r="H2040">
        <v>1315.9776611</v>
      </c>
      <c r="I2040">
        <v>1364.1794434000001</v>
      </c>
      <c r="J2040">
        <v>1345.7329102000001</v>
      </c>
      <c r="K2040">
        <v>0</v>
      </c>
      <c r="L2040">
        <v>2050</v>
      </c>
      <c r="M2040">
        <v>2050</v>
      </c>
      <c r="N2040">
        <v>0</v>
      </c>
    </row>
    <row r="2041" spans="1:14" x14ac:dyDescent="0.25">
      <c r="A2041">
        <v>1614.0098410000001</v>
      </c>
      <c r="B2041" s="1">
        <f>DATE(2014,10,1) + TIME(0,14,10)</f>
        <v>41913.009837962964</v>
      </c>
      <c r="C2041">
        <v>80</v>
      </c>
      <c r="D2041">
        <v>79.959266662999994</v>
      </c>
      <c r="E2041">
        <v>50</v>
      </c>
      <c r="F2041">
        <v>45.009891510000003</v>
      </c>
      <c r="G2041">
        <v>1318.4747314000001</v>
      </c>
      <c r="H2041">
        <v>1308.0861815999999</v>
      </c>
      <c r="I2041">
        <v>1376.6395264</v>
      </c>
      <c r="J2041">
        <v>1358.0302733999999</v>
      </c>
      <c r="K2041">
        <v>0</v>
      </c>
      <c r="L2041">
        <v>2050</v>
      </c>
      <c r="M2041">
        <v>2050</v>
      </c>
      <c r="N2041">
        <v>0</v>
      </c>
    </row>
    <row r="2042" spans="1:14" x14ac:dyDescent="0.25">
      <c r="A2042">
        <v>1614.029524</v>
      </c>
      <c r="B2042" s="1">
        <f>DATE(2014,10,1) + TIME(0,42,30)</f>
        <v>41913.029513888891</v>
      </c>
      <c r="C2042">
        <v>80</v>
      </c>
      <c r="D2042">
        <v>79.955619811999995</v>
      </c>
      <c r="E2042">
        <v>50</v>
      </c>
      <c r="F2042">
        <v>45.113628386999999</v>
      </c>
      <c r="G2042">
        <v>1312.1668701000001</v>
      </c>
      <c r="H2042">
        <v>1301.6972656</v>
      </c>
      <c r="I2042">
        <v>1385.5709228999999</v>
      </c>
      <c r="J2042">
        <v>1366.8521728999999</v>
      </c>
      <c r="K2042">
        <v>0</v>
      </c>
      <c r="L2042">
        <v>2050</v>
      </c>
      <c r="M2042">
        <v>2050</v>
      </c>
      <c r="N2042">
        <v>0</v>
      </c>
    </row>
    <row r="2043" spans="1:14" x14ac:dyDescent="0.25">
      <c r="A2043">
        <v>1614.088573</v>
      </c>
      <c r="B2043" s="1">
        <f>DATE(2014,10,1) + TIME(2,7,32)</f>
        <v>41913.088564814818</v>
      </c>
      <c r="C2043">
        <v>80</v>
      </c>
      <c r="D2043">
        <v>79.947235106999997</v>
      </c>
      <c r="E2043">
        <v>50</v>
      </c>
      <c r="F2043">
        <v>45.404453277999998</v>
      </c>
      <c r="G2043">
        <v>1308.9421387</v>
      </c>
      <c r="H2043">
        <v>1298.4487305</v>
      </c>
      <c r="I2043">
        <v>1389.2028809000001</v>
      </c>
      <c r="J2043">
        <v>1370.5235596</v>
      </c>
      <c r="K2043">
        <v>0</v>
      </c>
      <c r="L2043">
        <v>2050</v>
      </c>
      <c r="M2043">
        <v>2050</v>
      </c>
      <c r="N2043">
        <v>0</v>
      </c>
    </row>
    <row r="2044" spans="1:14" x14ac:dyDescent="0.25">
      <c r="A2044">
        <v>1614.1625710000001</v>
      </c>
      <c r="B2044" s="1">
        <f>DATE(2014,10,1) + TIME(3,54,6)</f>
        <v>41913.162569444445</v>
      </c>
      <c r="C2044">
        <v>80</v>
      </c>
      <c r="D2044">
        <v>79.937446593999994</v>
      </c>
      <c r="E2044">
        <v>50</v>
      </c>
      <c r="F2044">
        <v>45.741699218999997</v>
      </c>
      <c r="G2044">
        <v>1308.2319336</v>
      </c>
      <c r="H2044">
        <v>1297.734375</v>
      </c>
      <c r="I2044">
        <v>1389.6165771000001</v>
      </c>
      <c r="J2044">
        <v>1371.0385742000001</v>
      </c>
      <c r="K2044">
        <v>0</v>
      </c>
      <c r="L2044">
        <v>2050</v>
      </c>
      <c r="M2044">
        <v>2050</v>
      </c>
      <c r="N2044">
        <v>0</v>
      </c>
    </row>
    <row r="2045" spans="1:14" x14ac:dyDescent="0.25">
      <c r="A2045">
        <v>1614.2407169999999</v>
      </c>
      <c r="B2045" s="1">
        <f>DATE(2014,10,1) + TIME(5,46,37)</f>
        <v>41913.240706018521</v>
      </c>
      <c r="C2045">
        <v>80</v>
      </c>
      <c r="D2045">
        <v>79.927398682000003</v>
      </c>
      <c r="E2045">
        <v>50</v>
      </c>
      <c r="F2045">
        <v>46.070156097000002</v>
      </c>
      <c r="G2045">
        <v>1308.0843506000001</v>
      </c>
      <c r="H2045">
        <v>1297.5858154</v>
      </c>
      <c r="I2045">
        <v>1389.4870605000001</v>
      </c>
      <c r="J2045">
        <v>1371.0142822</v>
      </c>
      <c r="K2045">
        <v>0</v>
      </c>
      <c r="L2045">
        <v>2050</v>
      </c>
      <c r="M2045">
        <v>2050</v>
      </c>
      <c r="N2045">
        <v>0</v>
      </c>
    </row>
    <row r="2046" spans="1:14" x14ac:dyDescent="0.25">
      <c r="A2046">
        <v>1614.3234649999999</v>
      </c>
      <c r="B2046" s="1">
        <f>DATE(2014,10,1) + TIME(7,45,47)</f>
        <v>41913.323460648149</v>
      </c>
      <c r="C2046">
        <v>80</v>
      </c>
      <c r="D2046">
        <v>79.916984557999996</v>
      </c>
      <c r="E2046">
        <v>50</v>
      </c>
      <c r="F2046">
        <v>46.389484406000001</v>
      </c>
      <c r="G2046">
        <v>1308.0491943</v>
      </c>
      <c r="H2046">
        <v>1297.550293</v>
      </c>
      <c r="I2046">
        <v>1389.2940673999999</v>
      </c>
      <c r="J2046">
        <v>1370.9240723</v>
      </c>
      <c r="K2046">
        <v>0</v>
      </c>
      <c r="L2046">
        <v>2050</v>
      </c>
      <c r="M2046">
        <v>2050</v>
      </c>
      <c r="N2046">
        <v>0</v>
      </c>
    </row>
    <row r="2047" spans="1:14" x14ac:dyDescent="0.25">
      <c r="A2047">
        <v>1614.411439</v>
      </c>
      <c r="B2047" s="1">
        <f>DATE(2014,10,1) + TIME(9,52,28)</f>
        <v>41913.411435185182</v>
      </c>
      <c r="C2047">
        <v>80</v>
      </c>
      <c r="D2047">
        <v>79.906143188000001</v>
      </c>
      <c r="E2047">
        <v>50</v>
      </c>
      <c r="F2047">
        <v>46.699581146</v>
      </c>
      <c r="G2047">
        <v>1308.0386963000001</v>
      </c>
      <c r="H2047">
        <v>1297.5393065999999</v>
      </c>
      <c r="I2047">
        <v>1389.1020507999999</v>
      </c>
      <c r="J2047">
        <v>1370.8316649999999</v>
      </c>
      <c r="K2047">
        <v>0</v>
      </c>
      <c r="L2047">
        <v>2050</v>
      </c>
      <c r="M2047">
        <v>2050</v>
      </c>
      <c r="N2047">
        <v>0</v>
      </c>
    </row>
    <row r="2048" spans="1:14" x14ac:dyDescent="0.25">
      <c r="A2048">
        <v>1614.5054110000001</v>
      </c>
      <c r="B2048" s="1">
        <f>DATE(2014,10,1) + TIME(12,7,47)</f>
        <v>41913.50540509259</v>
      </c>
      <c r="C2048">
        <v>80</v>
      </c>
      <c r="D2048">
        <v>79.894813537999994</v>
      </c>
      <c r="E2048">
        <v>50</v>
      </c>
      <c r="F2048">
        <v>47.000343323000003</v>
      </c>
      <c r="G2048">
        <v>1308.0339355000001</v>
      </c>
      <c r="H2048">
        <v>1297.5341797000001</v>
      </c>
      <c r="I2048">
        <v>1388.916626</v>
      </c>
      <c r="J2048">
        <v>1370.7424315999999</v>
      </c>
      <c r="K2048">
        <v>0</v>
      </c>
      <c r="L2048">
        <v>2050</v>
      </c>
      <c r="M2048">
        <v>2050</v>
      </c>
      <c r="N2048">
        <v>0</v>
      </c>
    </row>
    <row r="2049" spans="1:14" x14ac:dyDescent="0.25">
      <c r="A2049">
        <v>1614.6063300000001</v>
      </c>
      <c r="B2049" s="1">
        <f>DATE(2014,10,1) + TIME(14,33,6)</f>
        <v>41913.606319444443</v>
      </c>
      <c r="C2049">
        <v>80</v>
      </c>
      <c r="D2049">
        <v>79.882904053000004</v>
      </c>
      <c r="E2049">
        <v>50</v>
      </c>
      <c r="F2049">
        <v>47.291625977000002</v>
      </c>
      <c r="G2049">
        <v>1308.0305175999999</v>
      </c>
      <c r="H2049">
        <v>1297.5303954999999</v>
      </c>
      <c r="I2049">
        <v>1388.7371826000001</v>
      </c>
      <c r="J2049">
        <v>1370.6555175999999</v>
      </c>
      <c r="K2049">
        <v>0</v>
      </c>
      <c r="L2049">
        <v>2050</v>
      </c>
      <c r="M2049">
        <v>2050</v>
      </c>
      <c r="N2049">
        <v>0</v>
      </c>
    </row>
    <row r="2050" spans="1:14" x14ac:dyDescent="0.25">
      <c r="A2050">
        <v>1614.7153760000001</v>
      </c>
      <c r="B2050" s="1">
        <f>DATE(2014,10,1) + TIME(17,10,8)</f>
        <v>41913.715370370373</v>
      </c>
      <c r="C2050">
        <v>80</v>
      </c>
      <c r="D2050">
        <v>79.870323181000003</v>
      </c>
      <c r="E2050">
        <v>50</v>
      </c>
      <c r="F2050">
        <v>47.573230743000003</v>
      </c>
      <c r="G2050">
        <v>1308.0273437999999</v>
      </c>
      <c r="H2050">
        <v>1297.5267334</v>
      </c>
      <c r="I2050">
        <v>1388.5626221</v>
      </c>
      <c r="J2050">
        <v>1370.5703125</v>
      </c>
      <c r="K2050">
        <v>0</v>
      </c>
      <c r="L2050">
        <v>2050</v>
      </c>
      <c r="M2050">
        <v>2050</v>
      </c>
      <c r="N2050">
        <v>0</v>
      </c>
    </row>
    <row r="2051" spans="1:14" x14ac:dyDescent="0.25">
      <c r="A2051">
        <v>1614.834036</v>
      </c>
      <c r="B2051" s="1">
        <f>DATE(2014,10,1) + TIME(20,1,0)</f>
        <v>41913.834027777775</v>
      </c>
      <c r="C2051">
        <v>80</v>
      </c>
      <c r="D2051">
        <v>79.856941223000007</v>
      </c>
      <c r="E2051">
        <v>50</v>
      </c>
      <c r="F2051">
        <v>47.844871521000002</v>
      </c>
      <c r="G2051">
        <v>1308.0239257999999</v>
      </c>
      <c r="H2051">
        <v>1297.5229492000001</v>
      </c>
      <c r="I2051">
        <v>1388.3927002</v>
      </c>
      <c r="J2051">
        <v>1370.4863281</v>
      </c>
      <c r="K2051">
        <v>0</v>
      </c>
      <c r="L2051">
        <v>2050</v>
      </c>
      <c r="M2051">
        <v>2050</v>
      </c>
      <c r="N2051">
        <v>0</v>
      </c>
    </row>
    <row r="2052" spans="1:14" x14ac:dyDescent="0.25">
      <c r="A2052">
        <v>1614.964219</v>
      </c>
      <c r="B2052" s="1">
        <f>DATE(2014,10,1) + TIME(23,8,28)</f>
        <v>41913.964212962965</v>
      </c>
      <c r="C2052">
        <v>80</v>
      </c>
      <c r="D2052">
        <v>79.842613220000004</v>
      </c>
      <c r="E2052">
        <v>50</v>
      </c>
      <c r="F2052">
        <v>48.106163025000001</v>
      </c>
      <c r="G2052">
        <v>1308.0203856999999</v>
      </c>
      <c r="H2052">
        <v>1297.5189209</v>
      </c>
      <c r="I2052">
        <v>1388.2270507999999</v>
      </c>
      <c r="J2052">
        <v>1370.4034423999999</v>
      </c>
      <c r="K2052">
        <v>0</v>
      </c>
      <c r="L2052">
        <v>2050</v>
      </c>
      <c r="M2052">
        <v>2050</v>
      </c>
      <c r="N2052">
        <v>0</v>
      </c>
    </row>
    <row r="2053" spans="1:14" x14ac:dyDescent="0.25">
      <c r="A2053">
        <v>1615.108475</v>
      </c>
      <c r="B2053" s="1">
        <f>DATE(2014,10,2) + TIME(2,36,12)</f>
        <v>41914.108472222222</v>
      </c>
      <c r="C2053">
        <v>80</v>
      </c>
      <c r="D2053">
        <v>79.827125549000002</v>
      </c>
      <c r="E2053">
        <v>50</v>
      </c>
      <c r="F2053">
        <v>48.356685638000002</v>
      </c>
      <c r="G2053">
        <v>1308.0164795000001</v>
      </c>
      <c r="H2053">
        <v>1297.5145264</v>
      </c>
      <c r="I2053">
        <v>1388.0654297000001</v>
      </c>
      <c r="J2053">
        <v>1370.3211670000001</v>
      </c>
      <c r="K2053">
        <v>0</v>
      </c>
      <c r="L2053">
        <v>2050</v>
      </c>
      <c r="M2053">
        <v>2050</v>
      </c>
      <c r="N2053">
        <v>0</v>
      </c>
    </row>
    <row r="2054" spans="1:14" x14ac:dyDescent="0.25">
      <c r="A2054">
        <v>1615.2702280000001</v>
      </c>
      <c r="B2054" s="1">
        <f>DATE(2014,10,2) + TIME(6,29,7)</f>
        <v>41914.270219907405</v>
      </c>
      <c r="C2054">
        <v>80</v>
      </c>
      <c r="D2054">
        <v>79.810226439999994</v>
      </c>
      <c r="E2054">
        <v>50</v>
      </c>
      <c r="F2054">
        <v>48.595832825000002</v>
      </c>
      <c r="G2054">
        <v>1308.012207</v>
      </c>
      <c r="H2054">
        <v>1297.5096435999999</v>
      </c>
      <c r="I2054">
        <v>1387.9075928</v>
      </c>
      <c r="J2054">
        <v>1370.2393798999999</v>
      </c>
      <c r="K2054">
        <v>0</v>
      </c>
      <c r="L2054">
        <v>2050</v>
      </c>
      <c r="M2054">
        <v>2050</v>
      </c>
      <c r="N2054">
        <v>0</v>
      </c>
    </row>
    <row r="2055" spans="1:14" x14ac:dyDescent="0.25">
      <c r="A2055">
        <v>1615.454246</v>
      </c>
      <c r="B2055" s="1">
        <f>DATE(2014,10,2) + TIME(10,54,6)</f>
        <v>41914.454236111109</v>
      </c>
      <c r="C2055">
        <v>80</v>
      </c>
      <c r="D2055">
        <v>79.791549683</v>
      </c>
      <c r="E2055">
        <v>50</v>
      </c>
      <c r="F2055">
        <v>48.822814940999997</v>
      </c>
      <c r="G2055">
        <v>1308.0073242000001</v>
      </c>
      <c r="H2055">
        <v>1297.5041504000001</v>
      </c>
      <c r="I2055">
        <v>1387.7531738</v>
      </c>
      <c r="J2055">
        <v>1370.1578368999999</v>
      </c>
      <c r="K2055">
        <v>0</v>
      </c>
      <c r="L2055">
        <v>2050</v>
      </c>
      <c r="M2055">
        <v>2050</v>
      </c>
      <c r="N2055">
        <v>0</v>
      </c>
    </row>
    <row r="2056" spans="1:14" x14ac:dyDescent="0.25">
      <c r="A2056">
        <v>1615.6674129999999</v>
      </c>
      <c r="B2056" s="1">
        <f>DATE(2014,10,2) + TIME(16,1,4)</f>
        <v>41914.667407407411</v>
      </c>
      <c r="C2056">
        <v>80</v>
      </c>
      <c r="D2056">
        <v>79.770591736</v>
      </c>
      <c r="E2056">
        <v>50</v>
      </c>
      <c r="F2056">
        <v>49.036582946999999</v>
      </c>
      <c r="G2056">
        <v>1308.0019531</v>
      </c>
      <c r="H2056">
        <v>1297.4980469</v>
      </c>
      <c r="I2056">
        <v>1387.6019286999999</v>
      </c>
      <c r="J2056">
        <v>1370.0759277</v>
      </c>
      <c r="K2056">
        <v>0</v>
      </c>
      <c r="L2056">
        <v>2050</v>
      </c>
      <c r="M2056">
        <v>2050</v>
      </c>
      <c r="N2056">
        <v>0</v>
      </c>
    </row>
    <row r="2057" spans="1:14" x14ac:dyDescent="0.25">
      <c r="A2057">
        <v>1615.9201310000001</v>
      </c>
      <c r="B2057" s="1">
        <f>DATE(2014,10,2) + TIME(22,4,59)</f>
        <v>41914.920127314814</v>
      </c>
      <c r="C2057">
        <v>80</v>
      </c>
      <c r="D2057">
        <v>79.746627808</v>
      </c>
      <c r="E2057">
        <v>50</v>
      </c>
      <c r="F2057">
        <v>49.235748291</v>
      </c>
      <c r="G2057">
        <v>1307.9957274999999</v>
      </c>
      <c r="H2057">
        <v>1297.4909668</v>
      </c>
      <c r="I2057">
        <v>1387.4534911999999</v>
      </c>
      <c r="J2057">
        <v>1369.9931641000001</v>
      </c>
      <c r="K2057">
        <v>0</v>
      </c>
      <c r="L2057">
        <v>2050</v>
      </c>
      <c r="M2057">
        <v>2050</v>
      </c>
      <c r="N2057">
        <v>0</v>
      </c>
    </row>
    <row r="2058" spans="1:14" x14ac:dyDescent="0.25">
      <c r="A2058">
        <v>1616.2006200000001</v>
      </c>
      <c r="B2058" s="1">
        <f>DATE(2014,10,3) + TIME(4,48,53)</f>
        <v>41915.200613425928</v>
      </c>
      <c r="C2058">
        <v>80</v>
      </c>
      <c r="D2058">
        <v>79.720573424999998</v>
      </c>
      <c r="E2058">
        <v>50</v>
      </c>
      <c r="F2058">
        <v>49.405517578000001</v>
      </c>
      <c r="G2058">
        <v>1307.9882812000001</v>
      </c>
      <c r="H2058">
        <v>1297.4826660000001</v>
      </c>
      <c r="I2058">
        <v>1387.3168945</v>
      </c>
      <c r="J2058">
        <v>1369.9136963000001</v>
      </c>
      <c r="K2058">
        <v>0</v>
      </c>
      <c r="L2058">
        <v>2050</v>
      </c>
      <c r="M2058">
        <v>2050</v>
      </c>
      <c r="N2058">
        <v>0</v>
      </c>
    </row>
    <row r="2059" spans="1:14" x14ac:dyDescent="0.25">
      <c r="A2059">
        <v>1616.4841819999999</v>
      </c>
      <c r="B2059" s="1">
        <f>DATE(2014,10,3) + TIME(11,37,13)</f>
        <v>41915.484178240738</v>
      </c>
      <c r="C2059">
        <v>80</v>
      </c>
      <c r="D2059">
        <v>79.694160460999996</v>
      </c>
      <c r="E2059">
        <v>50</v>
      </c>
      <c r="F2059">
        <v>49.537033080999997</v>
      </c>
      <c r="G2059">
        <v>1307.9799805</v>
      </c>
      <c r="H2059">
        <v>1297.4736327999999</v>
      </c>
      <c r="I2059">
        <v>1387.1992187999999</v>
      </c>
      <c r="J2059">
        <v>1369.8419189000001</v>
      </c>
      <c r="K2059">
        <v>0</v>
      </c>
      <c r="L2059">
        <v>2050</v>
      </c>
      <c r="M2059">
        <v>2050</v>
      </c>
      <c r="N2059">
        <v>0</v>
      </c>
    </row>
    <row r="2060" spans="1:14" x14ac:dyDescent="0.25">
      <c r="A2060">
        <v>1616.7774360000001</v>
      </c>
      <c r="B2060" s="1">
        <f>DATE(2014,10,3) + TIME(18,39,30)</f>
        <v>41915.777430555558</v>
      </c>
      <c r="C2060">
        <v>80</v>
      </c>
      <c r="D2060">
        <v>79.666984557999996</v>
      </c>
      <c r="E2060">
        <v>50</v>
      </c>
      <c r="F2060">
        <v>49.640460967999999</v>
      </c>
      <c r="G2060">
        <v>1307.9718018000001</v>
      </c>
      <c r="H2060">
        <v>1297.4644774999999</v>
      </c>
      <c r="I2060">
        <v>1387.0970459</v>
      </c>
      <c r="J2060">
        <v>1369.7774658000001</v>
      </c>
      <c r="K2060">
        <v>0</v>
      </c>
      <c r="L2060">
        <v>2050</v>
      </c>
      <c r="M2060">
        <v>2050</v>
      </c>
      <c r="N2060">
        <v>0</v>
      </c>
    </row>
    <row r="2061" spans="1:14" x14ac:dyDescent="0.25">
      <c r="A2061">
        <v>1617.0839619999999</v>
      </c>
      <c r="B2061" s="1">
        <f>DATE(2014,10,4) + TIME(2,0,54)</f>
        <v>41916.083958333336</v>
      </c>
      <c r="C2061">
        <v>80</v>
      </c>
      <c r="D2061">
        <v>79.638809203999998</v>
      </c>
      <c r="E2061">
        <v>50</v>
      </c>
      <c r="F2061">
        <v>49.721832274999997</v>
      </c>
      <c r="G2061">
        <v>1307.9632568</v>
      </c>
      <c r="H2061">
        <v>1297.4550781</v>
      </c>
      <c r="I2061">
        <v>1387.0065918</v>
      </c>
      <c r="J2061">
        <v>1369.7185059000001</v>
      </c>
      <c r="K2061">
        <v>0</v>
      </c>
      <c r="L2061">
        <v>2050</v>
      </c>
      <c r="M2061">
        <v>2050</v>
      </c>
      <c r="N2061">
        <v>0</v>
      </c>
    </row>
    <row r="2062" spans="1:14" x14ac:dyDescent="0.25">
      <c r="A2062">
        <v>1617.4079650000001</v>
      </c>
      <c r="B2062" s="1">
        <f>DATE(2014,10,4) + TIME(9,47,28)</f>
        <v>41916.407962962963</v>
      </c>
      <c r="C2062">
        <v>80</v>
      </c>
      <c r="D2062">
        <v>79.609359741000006</v>
      </c>
      <c r="E2062">
        <v>50</v>
      </c>
      <c r="F2062">
        <v>49.785701752000001</v>
      </c>
      <c r="G2062">
        <v>1307.9544678</v>
      </c>
      <c r="H2062">
        <v>1297.4453125</v>
      </c>
      <c r="I2062">
        <v>1386.9254149999999</v>
      </c>
      <c r="J2062">
        <v>1369.6636963000001</v>
      </c>
      <c r="K2062">
        <v>0</v>
      </c>
      <c r="L2062">
        <v>2050</v>
      </c>
      <c r="M2062">
        <v>2050</v>
      </c>
      <c r="N2062">
        <v>0</v>
      </c>
    </row>
    <row r="2063" spans="1:14" x14ac:dyDescent="0.25">
      <c r="A2063">
        <v>1617.75424</v>
      </c>
      <c r="B2063" s="1">
        <f>DATE(2014,10,4) + TIME(18,6,6)</f>
        <v>41916.754236111112</v>
      </c>
      <c r="C2063">
        <v>80</v>
      </c>
      <c r="D2063">
        <v>79.578308105000005</v>
      </c>
      <c r="E2063">
        <v>50</v>
      </c>
      <c r="F2063">
        <v>49.835552216000004</v>
      </c>
      <c r="G2063">
        <v>1307.9451904</v>
      </c>
      <c r="H2063">
        <v>1297.4349365</v>
      </c>
      <c r="I2063">
        <v>1386.8514404</v>
      </c>
      <c r="J2063">
        <v>1369.6120605000001</v>
      </c>
      <c r="K2063">
        <v>0</v>
      </c>
      <c r="L2063">
        <v>2050</v>
      </c>
      <c r="M2063">
        <v>2050</v>
      </c>
      <c r="N2063">
        <v>0</v>
      </c>
    </row>
    <row r="2064" spans="1:14" x14ac:dyDescent="0.25">
      <c r="A2064">
        <v>1618.127759</v>
      </c>
      <c r="B2064" s="1">
        <f>DATE(2014,10,5) + TIME(3,3,58)</f>
        <v>41917.127754629626</v>
      </c>
      <c r="C2064">
        <v>80</v>
      </c>
      <c r="D2064">
        <v>79.545326232999997</v>
      </c>
      <c r="E2064">
        <v>50</v>
      </c>
      <c r="F2064">
        <v>49.874042510999999</v>
      </c>
      <c r="G2064">
        <v>1307.9353027</v>
      </c>
      <c r="H2064">
        <v>1297.4239502</v>
      </c>
      <c r="I2064">
        <v>1386.7828368999999</v>
      </c>
      <c r="J2064">
        <v>1369.5627440999999</v>
      </c>
      <c r="K2064">
        <v>0</v>
      </c>
      <c r="L2064">
        <v>2050</v>
      </c>
      <c r="M2064">
        <v>2050</v>
      </c>
      <c r="N2064">
        <v>0</v>
      </c>
    </row>
    <row r="2065" spans="1:14" x14ac:dyDescent="0.25">
      <c r="A2065">
        <v>1618.528086</v>
      </c>
      <c r="B2065" s="1">
        <f>DATE(2014,10,5) + TIME(12,40,26)</f>
        <v>41917.528078703705</v>
      </c>
      <c r="C2065">
        <v>80</v>
      </c>
      <c r="D2065">
        <v>79.510406493999994</v>
      </c>
      <c r="E2065">
        <v>50</v>
      </c>
      <c r="F2065">
        <v>49.903022765999999</v>
      </c>
      <c r="G2065">
        <v>1307.9246826000001</v>
      </c>
      <c r="H2065">
        <v>1297.4122314000001</v>
      </c>
      <c r="I2065">
        <v>1386.7186279</v>
      </c>
      <c r="J2065">
        <v>1369.5152588000001</v>
      </c>
      <c r="K2065">
        <v>0</v>
      </c>
      <c r="L2065">
        <v>2050</v>
      </c>
      <c r="M2065">
        <v>2050</v>
      </c>
      <c r="N2065">
        <v>0</v>
      </c>
    </row>
    <row r="2066" spans="1:14" x14ac:dyDescent="0.25">
      <c r="A2066">
        <v>1618.9622859999999</v>
      </c>
      <c r="B2066" s="1">
        <f>DATE(2014,10,5) + TIME(23,5,41)</f>
        <v>41917.962280092594</v>
      </c>
      <c r="C2066">
        <v>80</v>
      </c>
      <c r="D2066">
        <v>79.473106384000005</v>
      </c>
      <c r="E2066">
        <v>50</v>
      </c>
      <c r="F2066">
        <v>49.924602509000003</v>
      </c>
      <c r="G2066">
        <v>1307.9134521000001</v>
      </c>
      <c r="H2066">
        <v>1297.3996582</v>
      </c>
      <c r="I2066">
        <v>1386.6580810999999</v>
      </c>
      <c r="J2066">
        <v>1369.4692382999999</v>
      </c>
      <c r="K2066">
        <v>0</v>
      </c>
      <c r="L2066">
        <v>2050</v>
      </c>
      <c r="M2066">
        <v>2050</v>
      </c>
      <c r="N2066">
        <v>0</v>
      </c>
    </row>
    <row r="2067" spans="1:14" x14ac:dyDescent="0.25">
      <c r="A2067">
        <v>1619.4386139999999</v>
      </c>
      <c r="B2067" s="1">
        <f>DATE(2014,10,6) + TIME(10,31,36)</f>
        <v>41918.438611111109</v>
      </c>
      <c r="C2067">
        <v>80</v>
      </c>
      <c r="D2067">
        <v>79.432907103999995</v>
      </c>
      <c r="E2067">
        <v>50</v>
      </c>
      <c r="F2067">
        <v>49.940418243000003</v>
      </c>
      <c r="G2067">
        <v>1307.9012451000001</v>
      </c>
      <c r="H2067">
        <v>1297.3859863</v>
      </c>
      <c r="I2067">
        <v>1386.5998535000001</v>
      </c>
      <c r="J2067">
        <v>1369.4241943</v>
      </c>
      <c r="K2067">
        <v>0</v>
      </c>
      <c r="L2067">
        <v>2050</v>
      </c>
      <c r="M2067">
        <v>2050</v>
      </c>
      <c r="N2067">
        <v>0</v>
      </c>
    </row>
    <row r="2068" spans="1:14" x14ac:dyDescent="0.25">
      <c r="A2068">
        <v>1619.9680989999999</v>
      </c>
      <c r="B2068" s="1">
        <f>DATE(2014,10,6) + TIME(23,14,3)</f>
        <v>41918.968090277776</v>
      </c>
      <c r="C2068">
        <v>80</v>
      </c>
      <c r="D2068">
        <v>79.389122009000005</v>
      </c>
      <c r="E2068">
        <v>50</v>
      </c>
      <c r="F2068">
        <v>49.951786040999998</v>
      </c>
      <c r="G2068">
        <v>1307.8879394999999</v>
      </c>
      <c r="H2068">
        <v>1297.3710937999999</v>
      </c>
      <c r="I2068">
        <v>1386.5428466999999</v>
      </c>
      <c r="J2068">
        <v>1369.3792725000001</v>
      </c>
      <c r="K2068">
        <v>0</v>
      </c>
      <c r="L2068">
        <v>2050</v>
      </c>
      <c r="M2068">
        <v>2050</v>
      </c>
      <c r="N2068">
        <v>0</v>
      </c>
    </row>
    <row r="2069" spans="1:14" x14ac:dyDescent="0.25">
      <c r="A2069">
        <v>1620.5659129999999</v>
      </c>
      <c r="B2069" s="1">
        <f>DATE(2014,10,7) + TIME(13,34,54)</f>
        <v>41919.56590277778</v>
      </c>
      <c r="C2069">
        <v>80</v>
      </c>
      <c r="D2069">
        <v>79.340850829999994</v>
      </c>
      <c r="E2069">
        <v>50</v>
      </c>
      <c r="F2069">
        <v>49.959766387999998</v>
      </c>
      <c r="G2069">
        <v>1307.8731689000001</v>
      </c>
      <c r="H2069">
        <v>1297.3546143000001</v>
      </c>
      <c r="I2069">
        <v>1386.4859618999999</v>
      </c>
      <c r="J2069">
        <v>1369.3338623</v>
      </c>
      <c r="K2069">
        <v>0</v>
      </c>
      <c r="L2069">
        <v>2050</v>
      </c>
      <c r="M2069">
        <v>2050</v>
      </c>
      <c r="N2069">
        <v>0</v>
      </c>
    </row>
    <row r="2070" spans="1:14" x14ac:dyDescent="0.25">
      <c r="A2070">
        <v>1621.165679</v>
      </c>
      <c r="B2070" s="1">
        <f>DATE(2014,10,8) + TIME(3,58,34)</f>
        <v>41920.165671296294</v>
      </c>
      <c r="C2070">
        <v>80</v>
      </c>
      <c r="D2070">
        <v>79.291122436999999</v>
      </c>
      <c r="E2070">
        <v>50</v>
      </c>
      <c r="F2070">
        <v>49.964775084999999</v>
      </c>
      <c r="G2070">
        <v>1307.8563231999999</v>
      </c>
      <c r="H2070">
        <v>1297.3361815999999</v>
      </c>
      <c r="I2070">
        <v>1386.4284668</v>
      </c>
      <c r="J2070">
        <v>1369.2873535000001</v>
      </c>
      <c r="K2070">
        <v>0</v>
      </c>
      <c r="L2070">
        <v>2050</v>
      </c>
      <c r="M2070">
        <v>2050</v>
      </c>
      <c r="N2070">
        <v>0</v>
      </c>
    </row>
    <row r="2071" spans="1:14" x14ac:dyDescent="0.25">
      <c r="A2071">
        <v>1621.775889</v>
      </c>
      <c r="B2071" s="1">
        <f>DATE(2014,10,8) + TIME(18,37,16)</f>
        <v>41920.775879629633</v>
      </c>
      <c r="C2071">
        <v>80</v>
      </c>
      <c r="D2071">
        <v>79.240203856999997</v>
      </c>
      <c r="E2071">
        <v>50</v>
      </c>
      <c r="F2071">
        <v>49.967967987000002</v>
      </c>
      <c r="G2071">
        <v>1307.8395995999999</v>
      </c>
      <c r="H2071">
        <v>1297.3176269999999</v>
      </c>
      <c r="I2071">
        <v>1386.3759766000001</v>
      </c>
      <c r="J2071">
        <v>1369.2448730000001</v>
      </c>
      <c r="K2071">
        <v>0</v>
      </c>
      <c r="L2071">
        <v>2050</v>
      </c>
      <c r="M2071">
        <v>2050</v>
      </c>
      <c r="N2071">
        <v>0</v>
      </c>
    </row>
    <row r="2072" spans="1:14" x14ac:dyDescent="0.25">
      <c r="A2072">
        <v>1622.4051099999999</v>
      </c>
      <c r="B2072" s="1">
        <f>DATE(2014,10,9) + TIME(9,43,21)</f>
        <v>41921.405104166668</v>
      </c>
      <c r="C2072">
        <v>80</v>
      </c>
      <c r="D2072">
        <v>79.187942504999995</v>
      </c>
      <c r="E2072">
        <v>50</v>
      </c>
      <c r="F2072">
        <v>49.970027924</v>
      </c>
      <c r="G2072">
        <v>1307.8225098</v>
      </c>
      <c r="H2072">
        <v>1297.2988281</v>
      </c>
      <c r="I2072">
        <v>1386.3267822</v>
      </c>
      <c r="J2072">
        <v>1369.2049560999999</v>
      </c>
      <c r="K2072">
        <v>0</v>
      </c>
      <c r="L2072">
        <v>2050</v>
      </c>
      <c r="M2072">
        <v>2050</v>
      </c>
      <c r="N2072">
        <v>0</v>
      </c>
    </row>
    <row r="2073" spans="1:14" x14ac:dyDescent="0.25">
      <c r="A2073">
        <v>1623.0616030000001</v>
      </c>
      <c r="B2073" s="1">
        <f>DATE(2014,10,10) + TIME(1,28,42)</f>
        <v>41922.061597222222</v>
      </c>
      <c r="C2073">
        <v>80</v>
      </c>
      <c r="D2073">
        <v>79.134048461999996</v>
      </c>
      <c r="E2073">
        <v>50</v>
      </c>
      <c r="F2073">
        <v>49.971370696999998</v>
      </c>
      <c r="G2073">
        <v>1307.8050536999999</v>
      </c>
      <c r="H2073">
        <v>1297.2792969</v>
      </c>
      <c r="I2073">
        <v>1386.2799072</v>
      </c>
      <c r="J2073">
        <v>1369.1669922000001</v>
      </c>
      <c r="K2073">
        <v>0</v>
      </c>
      <c r="L2073">
        <v>2050</v>
      </c>
      <c r="M2073">
        <v>2050</v>
      </c>
      <c r="N2073">
        <v>0</v>
      </c>
    </row>
    <row r="2074" spans="1:14" x14ac:dyDescent="0.25">
      <c r="A2074">
        <v>1623.7541960000001</v>
      </c>
      <c r="B2074" s="1">
        <f>DATE(2014,10,10) + TIME(18,6,2)</f>
        <v>41922.754189814812</v>
      </c>
      <c r="C2074">
        <v>80</v>
      </c>
      <c r="D2074">
        <v>79.078071593999994</v>
      </c>
      <c r="E2074">
        <v>50</v>
      </c>
      <c r="F2074">
        <v>49.972255707000002</v>
      </c>
      <c r="G2074">
        <v>1307.7868652</v>
      </c>
      <c r="H2074">
        <v>1297.2590332</v>
      </c>
      <c r="I2074">
        <v>1386.2344971</v>
      </c>
      <c r="J2074">
        <v>1369.130249</v>
      </c>
      <c r="K2074">
        <v>0</v>
      </c>
      <c r="L2074">
        <v>2050</v>
      </c>
      <c r="M2074">
        <v>2050</v>
      </c>
      <c r="N2074">
        <v>0</v>
      </c>
    </row>
    <row r="2075" spans="1:14" x14ac:dyDescent="0.25">
      <c r="A2075">
        <v>1624.493244</v>
      </c>
      <c r="B2075" s="1">
        <f>DATE(2014,10,11) + TIME(11,50,16)</f>
        <v>41923.49324074074</v>
      </c>
      <c r="C2075">
        <v>80</v>
      </c>
      <c r="D2075">
        <v>79.019432068</v>
      </c>
      <c r="E2075">
        <v>50</v>
      </c>
      <c r="F2075">
        <v>49.972843169999997</v>
      </c>
      <c r="G2075">
        <v>1307.7677002</v>
      </c>
      <c r="H2075">
        <v>1297.2375488</v>
      </c>
      <c r="I2075">
        <v>1386.1899414</v>
      </c>
      <c r="J2075">
        <v>1369.0942382999999</v>
      </c>
      <c r="K2075">
        <v>0</v>
      </c>
      <c r="L2075">
        <v>2050</v>
      </c>
      <c r="M2075">
        <v>2050</v>
      </c>
      <c r="N2075">
        <v>0</v>
      </c>
    </row>
    <row r="2076" spans="1:14" x14ac:dyDescent="0.25">
      <c r="A2076">
        <v>1625.291645</v>
      </c>
      <c r="B2076" s="1">
        <f>DATE(2014,10,12) + TIME(6,59,58)</f>
        <v>41924.291643518518</v>
      </c>
      <c r="C2076">
        <v>80</v>
      </c>
      <c r="D2076">
        <v>78.957389832000004</v>
      </c>
      <c r="E2076">
        <v>50</v>
      </c>
      <c r="F2076">
        <v>49.973236084</v>
      </c>
      <c r="G2076">
        <v>1307.7473144999999</v>
      </c>
      <c r="H2076">
        <v>1297.2147216999999</v>
      </c>
      <c r="I2076">
        <v>1386.1455077999999</v>
      </c>
      <c r="J2076">
        <v>1369.0583495999999</v>
      </c>
      <c r="K2076">
        <v>0</v>
      </c>
      <c r="L2076">
        <v>2050</v>
      </c>
      <c r="M2076">
        <v>2050</v>
      </c>
      <c r="N2076">
        <v>0</v>
      </c>
    </row>
    <row r="2077" spans="1:14" x14ac:dyDescent="0.25">
      <c r="A2077">
        <v>1626.159568</v>
      </c>
      <c r="B2077" s="1">
        <f>DATE(2014,10,13) + TIME(3,49,46)</f>
        <v>41925.159560185188</v>
      </c>
      <c r="C2077">
        <v>80</v>
      </c>
      <c r="D2077">
        <v>78.891273498999993</v>
      </c>
      <c r="E2077">
        <v>50</v>
      </c>
      <c r="F2077">
        <v>49.973503113</v>
      </c>
      <c r="G2077">
        <v>1307.7252197</v>
      </c>
      <c r="H2077">
        <v>1297.1900635</v>
      </c>
      <c r="I2077">
        <v>1386.1007079999999</v>
      </c>
      <c r="J2077">
        <v>1369.0223389</v>
      </c>
      <c r="K2077">
        <v>0</v>
      </c>
      <c r="L2077">
        <v>2050</v>
      </c>
      <c r="M2077">
        <v>2050</v>
      </c>
      <c r="N2077">
        <v>0</v>
      </c>
    </row>
    <row r="2078" spans="1:14" x14ac:dyDescent="0.25">
      <c r="A2078">
        <v>1627.096403</v>
      </c>
      <c r="B2078" s="1">
        <f>DATE(2014,10,14) + TIME(2,18,49)</f>
        <v>41926.096400462964</v>
      </c>
      <c r="C2078">
        <v>80</v>
      </c>
      <c r="D2078">
        <v>78.820816039999997</v>
      </c>
      <c r="E2078">
        <v>50</v>
      </c>
      <c r="F2078">
        <v>49.973682404000002</v>
      </c>
      <c r="G2078">
        <v>1307.7011719</v>
      </c>
      <c r="H2078">
        <v>1297.1632079999999</v>
      </c>
      <c r="I2078">
        <v>1386.0552978999999</v>
      </c>
      <c r="J2078">
        <v>1368.9859618999999</v>
      </c>
      <c r="K2078">
        <v>0</v>
      </c>
      <c r="L2078">
        <v>2050</v>
      </c>
      <c r="M2078">
        <v>2050</v>
      </c>
      <c r="N2078">
        <v>0</v>
      </c>
    </row>
    <row r="2079" spans="1:14" x14ac:dyDescent="0.25">
      <c r="A2079">
        <v>1628.06348</v>
      </c>
      <c r="B2079" s="1">
        <f>DATE(2014,10,15) + TIME(1,31,24)</f>
        <v>41927.063472222224</v>
      </c>
      <c r="C2079">
        <v>80</v>
      </c>
      <c r="D2079">
        <v>78.747367858999993</v>
      </c>
      <c r="E2079">
        <v>50</v>
      </c>
      <c r="F2079">
        <v>49.973800658999998</v>
      </c>
      <c r="G2079">
        <v>1307.6750488</v>
      </c>
      <c r="H2079">
        <v>1297.1341553</v>
      </c>
      <c r="I2079">
        <v>1386.0095214999999</v>
      </c>
      <c r="J2079">
        <v>1368.9493408000001</v>
      </c>
      <c r="K2079">
        <v>0</v>
      </c>
      <c r="L2079">
        <v>2050</v>
      </c>
      <c r="M2079">
        <v>2050</v>
      </c>
      <c r="N2079">
        <v>0</v>
      </c>
    </row>
    <row r="2080" spans="1:14" x14ac:dyDescent="0.25">
      <c r="A2080">
        <v>1629.0466300000001</v>
      </c>
      <c r="B2080" s="1">
        <f>DATE(2014,10,16) + TIME(1,7,8)</f>
        <v>41928.046620370369</v>
      </c>
      <c r="C2080">
        <v>80</v>
      </c>
      <c r="D2080">
        <v>78.672195435000006</v>
      </c>
      <c r="E2080">
        <v>50</v>
      </c>
      <c r="F2080">
        <v>49.973880768000001</v>
      </c>
      <c r="G2080">
        <v>1307.6480713000001</v>
      </c>
      <c r="H2080">
        <v>1297.104126</v>
      </c>
      <c r="I2080">
        <v>1385.965332</v>
      </c>
      <c r="J2080">
        <v>1368.9140625</v>
      </c>
      <c r="K2080">
        <v>0</v>
      </c>
      <c r="L2080">
        <v>2050</v>
      </c>
      <c r="M2080">
        <v>2050</v>
      </c>
      <c r="N2080">
        <v>0</v>
      </c>
    </row>
    <row r="2081" spans="1:14" x14ac:dyDescent="0.25">
      <c r="A2081">
        <v>1630.052821</v>
      </c>
      <c r="B2081" s="1">
        <f>DATE(2014,10,17) + TIME(1,16,3)</f>
        <v>41929.052812499998</v>
      </c>
      <c r="C2081">
        <v>80</v>
      </c>
      <c r="D2081">
        <v>78.595695496000005</v>
      </c>
      <c r="E2081">
        <v>50</v>
      </c>
      <c r="F2081">
        <v>49.973934174</v>
      </c>
      <c r="G2081">
        <v>1307.6206055</v>
      </c>
      <c r="H2081">
        <v>1297.0733643000001</v>
      </c>
      <c r="I2081">
        <v>1385.9233397999999</v>
      </c>
      <c r="J2081">
        <v>1368.8807373</v>
      </c>
      <c r="K2081">
        <v>0</v>
      </c>
      <c r="L2081">
        <v>2050</v>
      </c>
      <c r="M2081">
        <v>2050</v>
      </c>
      <c r="N2081">
        <v>0</v>
      </c>
    </row>
    <row r="2082" spans="1:14" x14ac:dyDescent="0.25">
      <c r="A2082">
        <v>1631.0951729999999</v>
      </c>
      <c r="B2082" s="1">
        <f>DATE(2014,10,18) + TIME(2,17,2)</f>
        <v>41930.09516203704</v>
      </c>
      <c r="C2082">
        <v>80</v>
      </c>
      <c r="D2082">
        <v>78.517616271999998</v>
      </c>
      <c r="E2082">
        <v>50</v>
      </c>
      <c r="F2082">
        <v>49.973972320999998</v>
      </c>
      <c r="G2082">
        <v>1307.5925293</v>
      </c>
      <c r="H2082">
        <v>1297.0417480000001</v>
      </c>
      <c r="I2082">
        <v>1385.8830565999999</v>
      </c>
      <c r="J2082">
        <v>1368.8487548999999</v>
      </c>
      <c r="K2082">
        <v>0</v>
      </c>
      <c r="L2082">
        <v>2050</v>
      </c>
      <c r="M2082">
        <v>2050</v>
      </c>
      <c r="N2082">
        <v>0</v>
      </c>
    </row>
    <row r="2083" spans="1:14" x14ac:dyDescent="0.25">
      <c r="A2083">
        <v>1632.1874989999999</v>
      </c>
      <c r="B2083" s="1">
        <f>DATE(2014,10,19) + TIME(4,29,59)</f>
        <v>41931.187488425923</v>
      </c>
      <c r="C2083">
        <v>80</v>
      </c>
      <c r="D2083">
        <v>78.437362671000002</v>
      </c>
      <c r="E2083">
        <v>50</v>
      </c>
      <c r="F2083">
        <v>49.974002837999997</v>
      </c>
      <c r="G2083">
        <v>1307.5632324000001</v>
      </c>
      <c r="H2083">
        <v>1297.0086670000001</v>
      </c>
      <c r="I2083">
        <v>1385.8436279</v>
      </c>
      <c r="J2083">
        <v>1368.8176269999999</v>
      </c>
      <c r="K2083">
        <v>0</v>
      </c>
      <c r="L2083">
        <v>2050</v>
      </c>
      <c r="M2083">
        <v>2050</v>
      </c>
      <c r="N2083">
        <v>0</v>
      </c>
    </row>
    <row r="2084" spans="1:14" x14ac:dyDescent="0.25">
      <c r="A2084">
        <v>1633.345501</v>
      </c>
      <c r="B2084" s="1">
        <f>DATE(2014,10,20) + TIME(8,17,31)</f>
        <v>41932.345497685186</v>
      </c>
      <c r="C2084">
        <v>80</v>
      </c>
      <c r="D2084">
        <v>78.354118346999996</v>
      </c>
      <c r="E2084">
        <v>50</v>
      </c>
      <c r="F2084">
        <v>49.974025726000001</v>
      </c>
      <c r="G2084">
        <v>1307.5324707</v>
      </c>
      <c r="H2084">
        <v>1296.973999</v>
      </c>
      <c r="I2084">
        <v>1385.8048096</v>
      </c>
      <c r="J2084">
        <v>1368.7868652</v>
      </c>
      <c r="K2084">
        <v>0</v>
      </c>
      <c r="L2084">
        <v>2050</v>
      </c>
      <c r="M2084">
        <v>2050</v>
      </c>
      <c r="N2084">
        <v>0</v>
      </c>
    </row>
    <row r="2085" spans="1:14" x14ac:dyDescent="0.25">
      <c r="A2085">
        <v>1634.5887359999999</v>
      </c>
      <c r="B2085" s="1">
        <f>DATE(2014,10,21) + TIME(14,7,46)</f>
        <v>41933.588726851849</v>
      </c>
      <c r="C2085">
        <v>80</v>
      </c>
      <c r="D2085">
        <v>78.266868591000005</v>
      </c>
      <c r="E2085">
        <v>50</v>
      </c>
      <c r="F2085">
        <v>49.974044800000001</v>
      </c>
      <c r="G2085">
        <v>1307.4996338000001</v>
      </c>
      <c r="H2085">
        <v>1296.9368896000001</v>
      </c>
      <c r="I2085">
        <v>1385.7657471</v>
      </c>
      <c r="J2085">
        <v>1368.7562256000001</v>
      </c>
      <c r="K2085">
        <v>0</v>
      </c>
      <c r="L2085">
        <v>2050</v>
      </c>
      <c r="M2085">
        <v>2050</v>
      </c>
      <c r="N2085">
        <v>0</v>
      </c>
    </row>
    <row r="2086" spans="1:14" x14ac:dyDescent="0.25">
      <c r="A2086">
        <v>1635.9421179999999</v>
      </c>
      <c r="B2086" s="1">
        <f>DATE(2014,10,22) + TIME(22,36,38)</f>
        <v>41934.942106481481</v>
      </c>
      <c r="C2086">
        <v>80</v>
      </c>
      <c r="D2086">
        <v>78.174346924000005</v>
      </c>
      <c r="E2086">
        <v>50</v>
      </c>
      <c r="F2086">
        <v>49.974063872999999</v>
      </c>
      <c r="G2086">
        <v>1307.4642334</v>
      </c>
      <c r="H2086">
        <v>1296.8967285000001</v>
      </c>
      <c r="I2086">
        <v>1385.7263184000001</v>
      </c>
      <c r="J2086">
        <v>1368.7250977000001</v>
      </c>
      <c r="K2086">
        <v>0</v>
      </c>
      <c r="L2086">
        <v>2050</v>
      </c>
      <c r="M2086">
        <v>2050</v>
      </c>
      <c r="N2086">
        <v>0</v>
      </c>
    </row>
    <row r="2087" spans="1:14" x14ac:dyDescent="0.25">
      <c r="A2087">
        <v>1637.3249330000001</v>
      </c>
      <c r="B2087" s="1">
        <f>DATE(2014,10,24) + TIME(7,47,54)</f>
        <v>41936.324930555558</v>
      </c>
      <c r="C2087">
        <v>80</v>
      </c>
      <c r="D2087">
        <v>78.078102111999996</v>
      </c>
      <c r="E2087">
        <v>50</v>
      </c>
      <c r="F2087">
        <v>49.974079132</v>
      </c>
      <c r="G2087">
        <v>1307.425293</v>
      </c>
      <c r="H2087">
        <v>1296.8526611</v>
      </c>
      <c r="I2087">
        <v>1385.6856689000001</v>
      </c>
      <c r="J2087">
        <v>1368.6932373</v>
      </c>
      <c r="K2087">
        <v>0</v>
      </c>
      <c r="L2087">
        <v>2050</v>
      </c>
      <c r="M2087">
        <v>2050</v>
      </c>
      <c r="N2087">
        <v>0</v>
      </c>
    </row>
    <row r="2088" spans="1:14" x14ac:dyDescent="0.25">
      <c r="A2088">
        <v>1638.7241710000001</v>
      </c>
      <c r="B2088" s="1">
        <f>DATE(2014,10,25) + TIME(17,22,48)</f>
        <v>41937.724166666667</v>
      </c>
      <c r="C2088">
        <v>80</v>
      </c>
      <c r="D2088">
        <v>77.980216979999994</v>
      </c>
      <c r="E2088">
        <v>50</v>
      </c>
      <c r="F2088">
        <v>49.974090576000002</v>
      </c>
      <c r="G2088">
        <v>1307.3850098</v>
      </c>
      <c r="H2088">
        <v>1296.8071289</v>
      </c>
      <c r="I2088">
        <v>1385.6464844</v>
      </c>
      <c r="J2088">
        <v>1368.6625977000001</v>
      </c>
      <c r="K2088">
        <v>0</v>
      </c>
      <c r="L2088">
        <v>2050</v>
      </c>
      <c r="M2088">
        <v>2050</v>
      </c>
      <c r="N2088">
        <v>0</v>
      </c>
    </row>
    <row r="2089" spans="1:14" x14ac:dyDescent="0.25">
      <c r="A2089">
        <v>1640.1586110000001</v>
      </c>
      <c r="B2089" s="1">
        <f>DATE(2014,10,27) + TIME(3,48,23)</f>
        <v>41939.158599537041</v>
      </c>
      <c r="C2089">
        <v>80</v>
      </c>
      <c r="D2089">
        <v>77.881210327000005</v>
      </c>
      <c r="E2089">
        <v>50</v>
      </c>
      <c r="F2089">
        <v>49.974105835000003</v>
      </c>
      <c r="G2089">
        <v>1307.3439940999999</v>
      </c>
      <c r="H2089">
        <v>1296.7602539</v>
      </c>
      <c r="I2089">
        <v>1385.6091309000001</v>
      </c>
      <c r="J2089">
        <v>1368.6333007999999</v>
      </c>
      <c r="K2089">
        <v>0</v>
      </c>
      <c r="L2089">
        <v>2050</v>
      </c>
      <c r="M2089">
        <v>2050</v>
      </c>
      <c r="N2089">
        <v>0</v>
      </c>
    </row>
    <row r="2090" spans="1:14" x14ac:dyDescent="0.25">
      <c r="A2090">
        <v>1641.647199</v>
      </c>
      <c r="B2090" s="1">
        <f>DATE(2014,10,28) + TIME(15,31,57)</f>
        <v>41940.647187499999</v>
      </c>
      <c r="C2090">
        <v>80</v>
      </c>
      <c r="D2090">
        <v>77.780570983999993</v>
      </c>
      <c r="E2090">
        <v>50</v>
      </c>
      <c r="F2090">
        <v>49.974121093999997</v>
      </c>
      <c r="G2090">
        <v>1307.3015137</v>
      </c>
      <c r="H2090">
        <v>1296.7115478999999</v>
      </c>
      <c r="I2090">
        <v>1385.5726318</v>
      </c>
      <c r="J2090">
        <v>1368.6049805</v>
      </c>
      <c r="K2090">
        <v>0</v>
      </c>
      <c r="L2090">
        <v>2050</v>
      </c>
      <c r="M2090">
        <v>2050</v>
      </c>
      <c r="N2090">
        <v>0</v>
      </c>
    </row>
    <row r="2091" spans="1:14" x14ac:dyDescent="0.25">
      <c r="A2091">
        <v>1643.210495</v>
      </c>
      <c r="B2091" s="1">
        <f>DATE(2014,10,30) + TIME(5,3,6)</f>
        <v>41942.210486111115</v>
      </c>
      <c r="C2091">
        <v>80</v>
      </c>
      <c r="D2091">
        <v>77.677391052000004</v>
      </c>
      <c r="E2091">
        <v>50</v>
      </c>
      <c r="F2091">
        <v>49.974132537999999</v>
      </c>
      <c r="G2091">
        <v>1307.2569579999999</v>
      </c>
      <c r="H2091">
        <v>1296.6602783000001</v>
      </c>
      <c r="I2091">
        <v>1385.5367432</v>
      </c>
      <c r="J2091">
        <v>1368.5769043</v>
      </c>
      <c r="K2091">
        <v>0</v>
      </c>
      <c r="L2091">
        <v>2050</v>
      </c>
      <c r="M2091">
        <v>2050</v>
      </c>
      <c r="N2091">
        <v>0</v>
      </c>
    </row>
    <row r="2092" spans="1:14" x14ac:dyDescent="0.25">
      <c r="A2092">
        <v>1644.8728349999999</v>
      </c>
      <c r="B2092" s="1">
        <f>DATE(2014,10,31) + TIME(20,56,52)</f>
        <v>41943.872824074075</v>
      </c>
      <c r="C2092">
        <v>80</v>
      </c>
      <c r="D2092">
        <v>77.570472717000001</v>
      </c>
      <c r="E2092">
        <v>50</v>
      </c>
      <c r="F2092">
        <v>49.974151611000003</v>
      </c>
      <c r="G2092">
        <v>1307.2095947</v>
      </c>
      <c r="H2092">
        <v>1296.6054687999999</v>
      </c>
      <c r="I2092">
        <v>1385.5009766000001</v>
      </c>
      <c r="J2092">
        <v>1368.5490723</v>
      </c>
      <c r="K2092">
        <v>0</v>
      </c>
      <c r="L2092">
        <v>2050</v>
      </c>
      <c r="M2092">
        <v>2050</v>
      </c>
      <c r="N2092">
        <v>0</v>
      </c>
    </row>
    <row r="2093" spans="1:14" x14ac:dyDescent="0.25">
      <c r="A2093">
        <v>1645</v>
      </c>
      <c r="B2093" s="1">
        <f>DATE(2014,11,1) + TIME(0,0,0)</f>
        <v>41944</v>
      </c>
      <c r="C2093">
        <v>80</v>
      </c>
      <c r="D2093">
        <v>77.550758361999996</v>
      </c>
      <c r="E2093">
        <v>50</v>
      </c>
      <c r="F2093">
        <v>49.974147797000001</v>
      </c>
      <c r="G2093">
        <v>1307.1578368999999</v>
      </c>
      <c r="H2093">
        <v>1296.5537108999999</v>
      </c>
      <c r="I2093">
        <v>1385.4648437999999</v>
      </c>
      <c r="J2093">
        <v>1368.5209961</v>
      </c>
      <c r="K2093">
        <v>0</v>
      </c>
      <c r="L2093">
        <v>2050</v>
      </c>
      <c r="M2093">
        <v>2050</v>
      </c>
      <c r="N2093">
        <v>0</v>
      </c>
    </row>
    <row r="2094" spans="1:14" x14ac:dyDescent="0.25">
      <c r="A2094">
        <v>1646.779378</v>
      </c>
      <c r="B2094" s="1">
        <f>DATE(2014,11,2) + TIME(18,42,18)</f>
        <v>41945.779374999998</v>
      </c>
      <c r="C2094">
        <v>80</v>
      </c>
      <c r="D2094">
        <v>77.446228027000004</v>
      </c>
      <c r="E2094">
        <v>50</v>
      </c>
      <c r="F2094">
        <v>49.974170684999997</v>
      </c>
      <c r="G2094">
        <v>1307.1542969</v>
      </c>
      <c r="H2094">
        <v>1296.5408935999999</v>
      </c>
      <c r="I2094">
        <v>1385.4620361</v>
      </c>
      <c r="J2094">
        <v>1368.5187988</v>
      </c>
      <c r="K2094">
        <v>0</v>
      </c>
      <c r="L2094">
        <v>2050</v>
      </c>
      <c r="M2094">
        <v>2050</v>
      </c>
      <c r="N2094">
        <v>0</v>
      </c>
    </row>
    <row r="2095" spans="1:14" x14ac:dyDescent="0.25">
      <c r="A2095">
        <v>1648.6377150000001</v>
      </c>
      <c r="B2095" s="1">
        <f>DATE(2014,11,4) + TIME(15,18,18)</f>
        <v>41947.637708333335</v>
      </c>
      <c r="C2095">
        <v>80</v>
      </c>
      <c r="D2095">
        <v>77.332466124999996</v>
      </c>
      <c r="E2095">
        <v>50</v>
      </c>
      <c r="F2095">
        <v>49.974189758000001</v>
      </c>
      <c r="G2095">
        <v>1307.098999</v>
      </c>
      <c r="H2095">
        <v>1296.4766846</v>
      </c>
      <c r="I2095">
        <v>1385.425293</v>
      </c>
      <c r="J2095">
        <v>1368.4902344</v>
      </c>
      <c r="K2095">
        <v>0</v>
      </c>
      <c r="L2095">
        <v>2050</v>
      </c>
      <c r="M2095">
        <v>2050</v>
      </c>
      <c r="N2095">
        <v>0</v>
      </c>
    </row>
    <row r="2096" spans="1:14" x14ac:dyDescent="0.25">
      <c r="A2096">
        <v>1650.514277</v>
      </c>
      <c r="B2096" s="1">
        <f>DATE(2014,11,6) + TIME(12,20,33)</f>
        <v>41949.514270833337</v>
      </c>
      <c r="C2096">
        <v>80</v>
      </c>
      <c r="D2096">
        <v>77.214553832999997</v>
      </c>
      <c r="E2096">
        <v>50</v>
      </c>
      <c r="F2096">
        <v>49.974208832000002</v>
      </c>
      <c r="G2096">
        <v>1307.0399170000001</v>
      </c>
      <c r="H2096">
        <v>1296.4078368999999</v>
      </c>
      <c r="I2096">
        <v>1385.3887939000001</v>
      </c>
      <c r="J2096">
        <v>1368.4619141000001</v>
      </c>
      <c r="K2096">
        <v>0</v>
      </c>
      <c r="L2096">
        <v>2050</v>
      </c>
      <c r="M2096">
        <v>2050</v>
      </c>
      <c r="N2096">
        <v>0</v>
      </c>
    </row>
    <row r="2097" spans="1:14" x14ac:dyDescent="0.25">
      <c r="A2097">
        <v>1652.4289060000001</v>
      </c>
      <c r="B2097" s="1">
        <f>DATE(2014,11,8) + TIME(10,17,37)</f>
        <v>41951.428900462961</v>
      </c>
      <c r="C2097">
        <v>80</v>
      </c>
      <c r="D2097">
        <v>77.095199585000003</v>
      </c>
      <c r="E2097">
        <v>50</v>
      </c>
      <c r="F2097">
        <v>49.974227904999999</v>
      </c>
      <c r="G2097">
        <v>1306.9790039</v>
      </c>
      <c r="H2097">
        <v>1296.3361815999999</v>
      </c>
      <c r="I2097">
        <v>1385.3537598</v>
      </c>
      <c r="J2097">
        <v>1368.4345702999999</v>
      </c>
      <c r="K2097">
        <v>0</v>
      </c>
      <c r="L2097">
        <v>2050</v>
      </c>
      <c r="M2097">
        <v>2050</v>
      </c>
      <c r="N2097">
        <v>0</v>
      </c>
    </row>
    <row r="2098" spans="1:14" x14ac:dyDescent="0.25">
      <c r="A2098">
        <v>1654.4063739999999</v>
      </c>
      <c r="B2098" s="1">
        <f>DATE(2014,11,10) + TIME(9,45,10)</f>
        <v>41953.406365740739</v>
      </c>
      <c r="C2098">
        <v>80</v>
      </c>
      <c r="D2098">
        <v>76.974449157999999</v>
      </c>
      <c r="E2098">
        <v>50</v>
      </c>
      <c r="F2098">
        <v>49.974246979</v>
      </c>
      <c r="G2098">
        <v>1306.9156493999999</v>
      </c>
      <c r="H2098">
        <v>1296.2611084</v>
      </c>
      <c r="I2098">
        <v>1385.3195800999999</v>
      </c>
      <c r="J2098">
        <v>1368.4080810999999</v>
      </c>
      <c r="K2098">
        <v>0</v>
      </c>
      <c r="L2098">
        <v>2050</v>
      </c>
      <c r="M2098">
        <v>2050</v>
      </c>
      <c r="N2098">
        <v>0</v>
      </c>
    </row>
    <row r="2099" spans="1:14" x14ac:dyDescent="0.25">
      <c r="A2099">
        <v>1656.434516</v>
      </c>
      <c r="B2099" s="1">
        <f>DATE(2014,11,12) + TIME(10,25,42)</f>
        <v>41955.434513888889</v>
      </c>
      <c r="C2099">
        <v>80</v>
      </c>
      <c r="D2099">
        <v>76.852149963000002</v>
      </c>
      <c r="E2099">
        <v>50</v>
      </c>
      <c r="F2099">
        <v>49.974269866999997</v>
      </c>
      <c r="G2099">
        <v>1306.848999</v>
      </c>
      <c r="H2099">
        <v>1296.1817627</v>
      </c>
      <c r="I2099">
        <v>1385.2858887</v>
      </c>
      <c r="J2099">
        <v>1368.3818358999999</v>
      </c>
      <c r="K2099">
        <v>0</v>
      </c>
      <c r="L2099">
        <v>2050</v>
      </c>
      <c r="M2099">
        <v>2050</v>
      </c>
      <c r="N2099">
        <v>0</v>
      </c>
    </row>
    <row r="2100" spans="1:14" x14ac:dyDescent="0.25">
      <c r="A2100">
        <v>1658.5178089999999</v>
      </c>
      <c r="B2100" s="1">
        <f>DATE(2014,11,14) + TIME(12,25,38)</f>
        <v>41957.517800925925</v>
      </c>
      <c r="C2100">
        <v>80</v>
      </c>
      <c r="D2100">
        <v>76.728439331000004</v>
      </c>
      <c r="E2100">
        <v>50</v>
      </c>
      <c r="F2100">
        <v>49.974292755</v>
      </c>
      <c r="G2100">
        <v>1306.7790527</v>
      </c>
      <c r="H2100">
        <v>1296.0980225000001</v>
      </c>
      <c r="I2100">
        <v>1385.2528076000001</v>
      </c>
      <c r="J2100">
        <v>1368.3562012</v>
      </c>
      <c r="K2100">
        <v>0</v>
      </c>
      <c r="L2100">
        <v>2050</v>
      </c>
      <c r="M2100">
        <v>2050</v>
      </c>
      <c r="N2100">
        <v>0</v>
      </c>
    </row>
    <row r="2101" spans="1:14" x14ac:dyDescent="0.25">
      <c r="A2101">
        <v>1660.6337579999999</v>
      </c>
      <c r="B2101" s="1">
        <f>DATE(2014,11,16) + TIME(15,12,36)</f>
        <v>41959.633750000001</v>
      </c>
      <c r="C2101">
        <v>80</v>
      </c>
      <c r="D2101">
        <v>76.603744507000002</v>
      </c>
      <c r="E2101">
        <v>50</v>
      </c>
      <c r="F2101">
        <v>49.974315642999997</v>
      </c>
      <c r="G2101">
        <v>1306.7055664</v>
      </c>
      <c r="H2101">
        <v>1296.0095214999999</v>
      </c>
      <c r="I2101">
        <v>1385.2202147999999</v>
      </c>
      <c r="J2101">
        <v>1368.3309326000001</v>
      </c>
      <c r="K2101">
        <v>0</v>
      </c>
      <c r="L2101">
        <v>2050</v>
      </c>
      <c r="M2101">
        <v>2050</v>
      </c>
      <c r="N2101">
        <v>0</v>
      </c>
    </row>
    <row r="2102" spans="1:14" x14ac:dyDescent="0.25">
      <c r="A2102">
        <v>1662.7851410000001</v>
      </c>
      <c r="B2102" s="1">
        <f>DATE(2014,11,18) + TIME(18,50,36)</f>
        <v>41961.785138888888</v>
      </c>
      <c r="C2102">
        <v>80</v>
      </c>
      <c r="D2102">
        <v>76.478630065999994</v>
      </c>
      <c r="E2102">
        <v>50</v>
      </c>
      <c r="F2102">
        <v>49.974338531000001</v>
      </c>
      <c r="G2102">
        <v>1306.6292725000001</v>
      </c>
      <c r="H2102">
        <v>1295.9168701000001</v>
      </c>
      <c r="I2102">
        <v>1385.1885986</v>
      </c>
      <c r="J2102">
        <v>1368.3062743999999</v>
      </c>
      <c r="K2102">
        <v>0</v>
      </c>
      <c r="L2102">
        <v>2050</v>
      </c>
      <c r="M2102">
        <v>2050</v>
      </c>
      <c r="N2102">
        <v>0</v>
      </c>
    </row>
    <row r="2103" spans="1:14" x14ac:dyDescent="0.25">
      <c r="A2103">
        <v>1664.9776409999999</v>
      </c>
      <c r="B2103" s="1">
        <f>DATE(2014,11,20) + TIME(23,27,48)</f>
        <v>41963.977638888886</v>
      </c>
      <c r="C2103">
        <v>80</v>
      </c>
      <c r="D2103">
        <v>76.353126525999997</v>
      </c>
      <c r="E2103">
        <v>50</v>
      </c>
      <c r="F2103">
        <v>49.974361420000001</v>
      </c>
      <c r="G2103">
        <v>1306.5496826000001</v>
      </c>
      <c r="H2103">
        <v>1295.8199463000001</v>
      </c>
      <c r="I2103">
        <v>1385.1575928</v>
      </c>
      <c r="J2103">
        <v>1368.2822266000001</v>
      </c>
      <c r="K2103">
        <v>0</v>
      </c>
      <c r="L2103">
        <v>2050</v>
      </c>
      <c r="M2103">
        <v>2050</v>
      </c>
      <c r="N2103">
        <v>0</v>
      </c>
    </row>
    <row r="2104" spans="1:14" x14ac:dyDescent="0.25">
      <c r="A2104">
        <v>1667.217136</v>
      </c>
      <c r="B2104" s="1">
        <f>DATE(2014,11,23) + TIME(5,12,40)</f>
        <v>41966.217129629629</v>
      </c>
      <c r="C2104">
        <v>80</v>
      </c>
      <c r="D2104">
        <v>76.227020264000004</v>
      </c>
      <c r="E2104">
        <v>50</v>
      </c>
      <c r="F2104">
        <v>49.974388122999997</v>
      </c>
      <c r="G2104">
        <v>1306.4666748</v>
      </c>
      <c r="H2104">
        <v>1295.7180175999999</v>
      </c>
      <c r="I2104">
        <v>1385.1273193</v>
      </c>
      <c r="J2104">
        <v>1368.2585449000001</v>
      </c>
      <c r="K2104">
        <v>0</v>
      </c>
      <c r="L2104">
        <v>2050</v>
      </c>
      <c r="M2104">
        <v>2050</v>
      </c>
      <c r="N2104">
        <v>0</v>
      </c>
    </row>
    <row r="2105" spans="1:14" x14ac:dyDescent="0.25">
      <c r="A2105">
        <v>1669.5053379999999</v>
      </c>
      <c r="B2105" s="1">
        <f>DATE(2014,11,25) + TIME(12,7,41)</f>
        <v>41968.505335648151</v>
      </c>
      <c r="C2105">
        <v>80</v>
      </c>
      <c r="D2105">
        <v>76.100105286000002</v>
      </c>
      <c r="E2105">
        <v>50</v>
      </c>
      <c r="F2105">
        <v>49.974414824999997</v>
      </c>
      <c r="G2105">
        <v>1306.3797606999999</v>
      </c>
      <c r="H2105">
        <v>1295.6108397999999</v>
      </c>
      <c r="I2105">
        <v>1385.0975341999999</v>
      </c>
      <c r="J2105">
        <v>1368.2353516000001</v>
      </c>
      <c r="K2105">
        <v>0</v>
      </c>
      <c r="L2105">
        <v>2050</v>
      </c>
      <c r="M2105">
        <v>2050</v>
      </c>
      <c r="N2105">
        <v>0</v>
      </c>
    </row>
    <row r="2106" spans="1:14" x14ac:dyDescent="0.25">
      <c r="A2106">
        <v>1671.825574</v>
      </c>
      <c r="B2106" s="1">
        <f>DATE(2014,11,27) + TIME(19,48,49)</f>
        <v>41970.825567129628</v>
      </c>
      <c r="C2106">
        <v>80</v>
      </c>
      <c r="D2106">
        <v>75.972549438000001</v>
      </c>
      <c r="E2106">
        <v>50</v>
      </c>
      <c r="F2106">
        <v>49.974441528</v>
      </c>
      <c r="G2106">
        <v>1306.2888184000001</v>
      </c>
      <c r="H2106">
        <v>1295.4978027</v>
      </c>
      <c r="I2106">
        <v>1385.0681152</v>
      </c>
      <c r="J2106">
        <v>1368.2125243999999</v>
      </c>
      <c r="K2106">
        <v>0</v>
      </c>
      <c r="L2106">
        <v>2050</v>
      </c>
      <c r="M2106">
        <v>2050</v>
      </c>
      <c r="N2106">
        <v>0</v>
      </c>
    </row>
    <row r="2107" spans="1:14" x14ac:dyDescent="0.25">
      <c r="A2107">
        <v>1674.1840159999999</v>
      </c>
      <c r="B2107" s="1">
        <f>DATE(2014,11,30) + TIME(4,24,59)</f>
        <v>41973.184016203704</v>
      </c>
      <c r="C2107">
        <v>80</v>
      </c>
      <c r="D2107">
        <v>75.844657897999994</v>
      </c>
      <c r="E2107">
        <v>50</v>
      </c>
      <c r="F2107">
        <v>49.974468231000003</v>
      </c>
      <c r="G2107">
        <v>1306.1940918</v>
      </c>
      <c r="H2107">
        <v>1295.3795166</v>
      </c>
      <c r="I2107">
        <v>1385.0394286999999</v>
      </c>
      <c r="J2107">
        <v>1368.1900635</v>
      </c>
      <c r="K2107">
        <v>0</v>
      </c>
      <c r="L2107">
        <v>2050</v>
      </c>
      <c r="M2107">
        <v>2050</v>
      </c>
      <c r="N2107">
        <v>0</v>
      </c>
    </row>
    <row r="2108" spans="1:14" x14ac:dyDescent="0.25">
      <c r="A2108">
        <v>1675</v>
      </c>
      <c r="B2108" s="1">
        <f>DATE(2014,12,1) + TIME(0,0,0)</f>
        <v>41974</v>
      </c>
      <c r="C2108">
        <v>80</v>
      </c>
      <c r="D2108">
        <v>75.763038635000001</v>
      </c>
      <c r="E2108">
        <v>50</v>
      </c>
      <c r="F2108">
        <v>49.974475861000002</v>
      </c>
      <c r="G2108">
        <v>1306.0969238</v>
      </c>
      <c r="H2108">
        <v>1295.2635498</v>
      </c>
      <c r="I2108">
        <v>1385.0107422000001</v>
      </c>
      <c r="J2108">
        <v>1368.1676024999999</v>
      </c>
      <c r="K2108">
        <v>0</v>
      </c>
      <c r="L2108">
        <v>2050</v>
      </c>
      <c r="M2108">
        <v>2050</v>
      </c>
      <c r="N2108">
        <v>0</v>
      </c>
    </row>
    <row r="2109" spans="1:14" x14ac:dyDescent="0.25">
      <c r="A2109">
        <v>1677.4020869999999</v>
      </c>
      <c r="B2109" s="1">
        <f>DATE(2014,12,3) + TIME(9,39,0)</f>
        <v>41976.402083333334</v>
      </c>
      <c r="C2109">
        <v>80</v>
      </c>
      <c r="D2109">
        <v>75.661331176999994</v>
      </c>
      <c r="E2109">
        <v>50</v>
      </c>
      <c r="F2109">
        <v>49.974506378000001</v>
      </c>
      <c r="G2109">
        <v>1306.0576172000001</v>
      </c>
      <c r="H2109">
        <v>1295.2056885</v>
      </c>
      <c r="I2109">
        <v>1385.0018310999999</v>
      </c>
      <c r="J2109">
        <v>1368.1606445</v>
      </c>
      <c r="K2109">
        <v>0</v>
      </c>
      <c r="L2109">
        <v>2050</v>
      </c>
      <c r="M2109">
        <v>2050</v>
      </c>
      <c r="N2109">
        <v>0</v>
      </c>
    </row>
    <row r="2110" spans="1:14" x14ac:dyDescent="0.25">
      <c r="A2110">
        <v>1679.8701149999999</v>
      </c>
      <c r="B2110" s="1">
        <f>DATE(2014,12,5) + TIME(20,52,57)</f>
        <v>41978.870104166665</v>
      </c>
      <c r="C2110">
        <v>80</v>
      </c>
      <c r="D2110">
        <v>75.540168761999993</v>
      </c>
      <c r="E2110">
        <v>50</v>
      </c>
      <c r="F2110">
        <v>49.974533080999997</v>
      </c>
      <c r="G2110">
        <v>1305.9555664</v>
      </c>
      <c r="H2110">
        <v>1295.0780029</v>
      </c>
      <c r="I2110">
        <v>1384.9743652</v>
      </c>
      <c r="J2110">
        <v>1368.1391602000001</v>
      </c>
      <c r="K2110">
        <v>0</v>
      </c>
      <c r="L2110">
        <v>2050</v>
      </c>
      <c r="M2110">
        <v>2050</v>
      </c>
      <c r="N2110">
        <v>0</v>
      </c>
    </row>
    <row r="2111" spans="1:14" x14ac:dyDescent="0.25">
      <c r="A2111">
        <v>1682.363863</v>
      </c>
      <c r="B2111" s="1">
        <f>DATE(2014,12,8) + TIME(8,43,57)</f>
        <v>41981.363854166666</v>
      </c>
      <c r="C2111">
        <v>80</v>
      </c>
      <c r="D2111">
        <v>75.412414550999998</v>
      </c>
      <c r="E2111">
        <v>50</v>
      </c>
      <c r="F2111">
        <v>49.974563599</v>
      </c>
      <c r="G2111">
        <v>1305.8464355000001</v>
      </c>
      <c r="H2111">
        <v>1294.9398193</v>
      </c>
      <c r="I2111">
        <v>1384.9471435999999</v>
      </c>
      <c r="J2111">
        <v>1368.1177978999999</v>
      </c>
      <c r="K2111">
        <v>0</v>
      </c>
      <c r="L2111">
        <v>2050</v>
      </c>
      <c r="M2111">
        <v>2050</v>
      </c>
      <c r="N2111">
        <v>0</v>
      </c>
    </row>
    <row r="2112" spans="1:14" x14ac:dyDescent="0.25">
      <c r="A2112">
        <v>1684.8898819999999</v>
      </c>
      <c r="B2112" s="1">
        <f>DATE(2014,12,10) + TIME(21,21,25)</f>
        <v>41983.889872685184</v>
      </c>
      <c r="C2112">
        <v>80</v>
      </c>
      <c r="D2112">
        <v>75.282707213999998</v>
      </c>
      <c r="E2112">
        <v>50</v>
      </c>
      <c r="F2112">
        <v>49.974594115999999</v>
      </c>
      <c r="G2112">
        <v>1305.7330322</v>
      </c>
      <c r="H2112">
        <v>1294.7947998</v>
      </c>
      <c r="I2112">
        <v>1384.9204102000001</v>
      </c>
      <c r="J2112">
        <v>1368.0969238</v>
      </c>
      <c r="K2112">
        <v>0</v>
      </c>
      <c r="L2112">
        <v>2050</v>
      </c>
      <c r="M2112">
        <v>2050</v>
      </c>
      <c r="N2112">
        <v>0</v>
      </c>
    </row>
    <row r="2113" spans="1:14" x14ac:dyDescent="0.25">
      <c r="A2113">
        <v>1687.453927</v>
      </c>
      <c r="B2113" s="1">
        <f>DATE(2014,12,13) + TIME(10,53,39)</f>
        <v>41986.453923611109</v>
      </c>
      <c r="C2113">
        <v>80</v>
      </c>
      <c r="D2113">
        <v>75.152076721</v>
      </c>
      <c r="E2113">
        <v>50</v>
      </c>
      <c r="F2113">
        <v>49.974624634000001</v>
      </c>
      <c r="G2113">
        <v>1305.6149902</v>
      </c>
      <c r="H2113">
        <v>1294.6430664</v>
      </c>
      <c r="I2113">
        <v>1384.8941649999999</v>
      </c>
      <c r="J2113">
        <v>1368.0762939000001</v>
      </c>
      <c r="K2113">
        <v>0</v>
      </c>
      <c r="L2113">
        <v>2050</v>
      </c>
      <c r="M2113">
        <v>2050</v>
      </c>
      <c r="N2113">
        <v>0</v>
      </c>
    </row>
    <row r="2114" spans="1:14" x14ac:dyDescent="0.25">
      <c r="A2114">
        <v>1690.0586539999999</v>
      </c>
      <c r="B2114" s="1">
        <f>DATE(2014,12,16) + TIME(1,24,27)</f>
        <v>41989.058645833335</v>
      </c>
      <c r="C2114">
        <v>80</v>
      </c>
      <c r="D2114">
        <v>75.020652771000002</v>
      </c>
      <c r="E2114">
        <v>50</v>
      </c>
      <c r="F2114">
        <v>49.974655151</v>
      </c>
      <c r="G2114">
        <v>1305.4920654</v>
      </c>
      <c r="H2114">
        <v>1294.4844971</v>
      </c>
      <c r="I2114">
        <v>1384.8684082</v>
      </c>
      <c r="J2114">
        <v>1368.0560303</v>
      </c>
      <c r="K2114">
        <v>0</v>
      </c>
      <c r="L2114">
        <v>2050</v>
      </c>
      <c r="M2114">
        <v>2050</v>
      </c>
      <c r="N2114">
        <v>0</v>
      </c>
    </row>
    <row r="2115" spans="1:14" x14ac:dyDescent="0.25">
      <c r="A2115">
        <v>1692.690887</v>
      </c>
      <c r="B2115" s="1">
        <f>DATE(2014,12,18) + TIME(16,34,52)</f>
        <v>41991.690879629627</v>
      </c>
      <c r="C2115">
        <v>80</v>
      </c>
      <c r="D2115">
        <v>74.888397217000005</v>
      </c>
      <c r="E2115">
        <v>50</v>
      </c>
      <c r="F2115">
        <v>49.974685669000003</v>
      </c>
      <c r="G2115">
        <v>1305.3642577999999</v>
      </c>
      <c r="H2115">
        <v>1294.3184814000001</v>
      </c>
      <c r="I2115">
        <v>1384.8430175999999</v>
      </c>
      <c r="J2115">
        <v>1368.0360106999999</v>
      </c>
      <c r="K2115">
        <v>0</v>
      </c>
      <c r="L2115">
        <v>2050</v>
      </c>
      <c r="M2115">
        <v>2050</v>
      </c>
      <c r="N2115">
        <v>0</v>
      </c>
    </row>
    <row r="2116" spans="1:14" x14ac:dyDescent="0.25">
      <c r="A2116">
        <v>1695.3577230000001</v>
      </c>
      <c r="B2116" s="1">
        <f>DATE(2014,12,21) + TIME(8,35,7)</f>
        <v>41994.357719907406</v>
      </c>
      <c r="C2116">
        <v>80</v>
      </c>
      <c r="D2116">
        <v>74.755500792999996</v>
      </c>
      <c r="E2116">
        <v>50</v>
      </c>
      <c r="F2116">
        <v>49.974716186999999</v>
      </c>
      <c r="G2116">
        <v>1305.2318115</v>
      </c>
      <c r="H2116">
        <v>1294.1457519999999</v>
      </c>
      <c r="I2116">
        <v>1384.8179932</v>
      </c>
      <c r="J2116">
        <v>1368.0162353999999</v>
      </c>
      <c r="K2116">
        <v>0</v>
      </c>
      <c r="L2116">
        <v>2050</v>
      </c>
      <c r="M2116">
        <v>2050</v>
      </c>
      <c r="N2116">
        <v>0</v>
      </c>
    </row>
    <row r="2117" spans="1:14" x14ac:dyDescent="0.25">
      <c r="A2117">
        <v>1698.0654099999999</v>
      </c>
      <c r="B2117" s="1">
        <f>DATE(2014,12,24) + TIME(1,34,11)</f>
        <v>41997.065405092595</v>
      </c>
      <c r="C2117">
        <v>80</v>
      </c>
      <c r="D2117">
        <v>74.621650696000003</v>
      </c>
      <c r="E2117">
        <v>50</v>
      </c>
      <c r="F2117">
        <v>49.974750518999997</v>
      </c>
      <c r="G2117">
        <v>1305.0943603999999</v>
      </c>
      <c r="H2117">
        <v>1293.9658202999999</v>
      </c>
      <c r="I2117">
        <v>1384.793457</v>
      </c>
      <c r="J2117">
        <v>1367.9968262</v>
      </c>
      <c r="K2117">
        <v>0</v>
      </c>
      <c r="L2117">
        <v>2050</v>
      </c>
      <c r="M2117">
        <v>2050</v>
      </c>
      <c r="N2117">
        <v>0</v>
      </c>
    </row>
    <row r="2118" spans="1:14" x14ac:dyDescent="0.25">
      <c r="A2118">
        <v>1700.8199649999999</v>
      </c>
      <c r="B2118" s="1">
        <f>DATE(2014,12,26) + TIME(19,40,44)</f>
        <v>41999.819953703707</v>
      </c>
      <c r="C2118">
        <v>80</v>
      </c>
      <c r="D2118">
        <v>74.486427307</v>
      </c>
      <c r="E2118">
        <v>50</v>
      </c>
      <c r="F2118">
        <v>49.974781036000003</v>
      </c>
      <c r="G2118">
        <v>1304.9516602000001</v>
      </c>
      <c r="H2118">
        <v>1293.7779541</v>
      </c>
      <c r="I2118">
        <v>1384.769043</v>
      </c>
      <c r="J2118">
        <v>1367.9775391000001</v>
      </c>
      <c r="K2118">
        <v>0</v>
      </c>
      <c r="L2118">
        <v>2050</v>
      </c>
      <c r="M2118">
        <v>2050</v>
      </c>
      <c r="N2118">
        <v>0</v>
      </c>
    </row>
    <row r="2119" spans="1:14" x14ac:dyDescent="0.25">
      <c r="A2119">
        <v>1703.6273960000001</v>
      </c>
      <c r="B2119" s="1">
        <f>DATE(2014,12,29) + TIME(15,3,27)</f>
        <v>42002.627395833333</v>
      </c>
      <c r="C2119">
        <v>80</v>
      </c>
      <c r="D2119">
        <v>74.349365234000004</v>
      </c>
      <c r="E2119">
        <v>50</v>
      </c>
      <c r="F2119">
        <v>49.974815368999998</v>
      </c>
      <c r="G2119">
        <v>1304.8029785000001</v>
      </c>
      <c r="H2119">
        <v>1293.5816649999999</v>
      </c>
      <c r="I2119">
        <v>1384.7449951000001</v>
      </c>
      <c r="J2119">
        <v>1367.9584961</v>
      </c>
      <c r="K2119">
        <v>0</v>
      </c>
      <c r="L2119">
        <v>2050</v>
      </c>
      <c r="M2119">
        <v>2050</v>
      </c>
      <c r="N2119">
        <v>0</v>
      </c>
    </row>
    <row r="2120" spans="1:14" x14ac:dyDescent="0.25">
      <c r="A2120">
        <v>1706</v>
      </c>
      <c r="B2120" s="1">
        <f>DATE(2015,1,1) + TIME(0,0,0)</f>
        <v>42005</v>
      </c>
      <c r="C2120">
        <v>80</v>
      </c>
      <c r="D2120">
        <v>74.217079162999994</v>
      </c>
      <c r="E2120">
        <v>50</v>
      </c>
      <c r="F2120">
        <v>49.974842072000001</v>
      </c>
      <c r="G2120">
        <v>1304.6489257999999</v>
      </c>
      <c r="H2120">
        <v>1293.3785399999999</v>
      </c>
      <c r="I2120">
        <v>1384.7209473</v>
      </c>
      <c r="J2120">
        <v>1367.9393310999999</v>
      </c>
      <c r="K2120">
        <v>0</v>
      </c>
      <c r="L2120">
        <v>2050</v>
      </c>
      <c r="M2120">
        <v>2050</v>
      </c>
      <c r="N2120">
        <v>0</v>
      </c>
    </row>
    <row r="2121" spans="1:14" x14ac:dyDescent="0.25">
      <c r="A2121">
        <v>1708.8522009999999</v>
      </c>
      <c r="B2121" s="1">
        <f>DATE(2015,1,3) + TIME(20,27,10)</f>
        <v>42007.852199074077</v>
      </c>
      <c r="C2121">
        <v>80</v>
      </c>
      <c r="D2121">
        <v>74.088714600000003</v>
      </c>
      <c r="E2121">
        <v>50</v>
      </c>
      <c r="F2121">
        <v>49.974876404</v>
      </c>
      <c r="G2121">
        <v>1304.5120850000001</v>
      </c>
      <c r="H2121">
        <v>1293.1938477000001</v>
      </c>
      <c r="I2121">
        <v>1384.7014160000001</v>
      </c>
      <c r="J2121">
        <v>1367.9237060999999</v>
      </c>
      <c r="K2121">
        <v>0</v>
      </c>
      <c r="L2121">
        <v>2050</v>
      </c>
      <c r="M2121">
        <v>2050</v>
      </c>
      <c r="N2121">
        <v>0</v>
      </c>
    </row>
    <row r="2122" spans="1:14" x14ac:dyDescent="0.25">
      <c r="A2122">
        <v>1711.7736849999999</v>
      </c>
      <c r="B2122" s="1">
        <f>DATE(2015,1,6) + TIME(18,34,6)</f>
        <v>42010.773680555554</v>
      </c>
      <c r="C2122">
        <v>80</v>
      </c>
      <c r="D2122">
        <v>73.949729919000006</v>
      </c>
      <c r="E2122">
        <v>50</v>
      </c>
      <c r="F2122">
        <v>49.974910735999998</v>
      </c>
      <c r="G2122">
        <v>1304.3499756000001</v>
      </c>
      <c r="H2122">
        <v>1292.9780272999999</v>
      </c>
      <c r="I2122">
        <v>1384.6781006000001</v>
      </c>
      <c r="J2122">
        <v>1367.9052733999999</v>
      </c>
      <c r="K2122">
        <v>0</v>
      </c>
      <c r="L2122">
        <v>2050</v>
      </c>
      <c r="M2122">
        <v>2050</v>
      </c>
      <c r="N2122">
        <v>0</v>
      </c>
    </row>
    <row r="2123" spans="1:14" x14ac:dyDescent="0.25">
      <c r="A2123">
        <v>1714.7362599999999</v>
      </c>
      <c r="B2123" s="1">
        <f>DATE(2015,1,9) + TIME(17,40,12)</f>
        <v>42013.736250000002</v>
      </c>
      <c r="C2123">
        <v>80</v>
      </c>
      <c r="D2123">
        <v>73.805480957</v>
      </c>
      <c r="E2123">
        <v>50</v>
      </c>
      <c r="F2123">
        <v>49.974945067999997</v>
      </c>
      <c r="G2123">
        <v>1304.1791992000001</v>
      </c>
      <c r="H2123">
        <v>1292.7495117000001</v>
      </c>
      <c r="I2123">
        <v>1384.6549072</v>
      </c>
      <c r="J2123">
        <v>1367.8867187999999</v>
      </c>
      <c r="K2123">
        <v>0</v>
      </c>
      <c r="L2123">
        <v>2050</v>
      </c>
      <c r="M2123">
        <v>2050</v>
      </c>
      <c r="N2123">
        <v>0</v>
      </c>
    </row>
    <row r="2124" spans="1:14" x14ac:dyDescent="0.25">
      <c r="A2124">
        <v>1717.7468160000001</v>
      </c>
      <c r="B2124" s="1">
        <f>DATE(2015,1,12) + TIME(17,55,24)</f>
        <v>42016.746805555558</v>
      </c>
      <c r="C2124">
        <v>80</v>
      </c>
      <c r="D2124">
        <v>73.657775878999999</v>
      </c>
      <c r="E2124">
        <v>50</v>
      </c>
      <c r="F2124">
        <v>49.974983215000002</v>
      </c>
      <c r="G2124">
        <v>1304.0020752</v>
      </c>
      <c r="H2124">
        <v>1292.5111084</v>
      </c>
      <c r="I2124">
        <v>1384.6318358999999</v>
      </c>
      <c r="J2124">
        <v>1367.8682861</v>
      </c>
      <c r="K2124">
        <v>0</v>
      </c>
      <c r="L2124">
        <v>2050</v>
      </c>
      <c r="M2124">
        <v>2050</v>
      </c>
      <c r="N2124">
        <v>0</v>
      </c>
    </row>
    <row r="2125" spans="1:14" x14ac:dyDescent="0.25">
      <c r="A2125">
        <v>1720.81177</v>
      </c>
      <c r="B2125" s="1">
        <f>DATE(2015,1,15) + TIME(19,28,56)</f>
        <v>42019.811759259261</v>
      </c>
      <c r="C2125">
        <v>80</v>
      </c>
      <c r="D2125">
        <v>73.506591796999999</v>
      </c>
      <c r="E2125">
        <v>50</v>
      </c>
      <c r="F2125">
        <v>49.975017547999997</v>
      </c>
      <c r="G2125">
        <v>1303.8184814000001</v>
      </c>
      <c r="H2125">
        <v>1292.2630615</v>
      </c>
      <c r="I2125">
        <v>1384.6088867000001</v>
      </c>
      <c r="J2125">
        <v>1367.8499756000001</v>
      </c>
      <c r="K2125">
        <v>0</v>
      </c>
      <c r="L2125">
        <v>2050</v>
      </c>
      <c r="M2125">
        <v>2050</v>
      </c>
      <c r="N2125">
        <v>0</v>
      </c>
    </row>
    <row r="2126" spans="1:14" x14ac:dyDescent="0.25">
      <c r="A2126">
        <v>1723.932151</v>
      </c>
      <c r="B2126" s="1">
        <f>DATE(2015,1,18) + TIME(22,22,17)</f>
        <v>42022.932141203702</v>
      </c>
      <c r="C2126">
        <v>80</v>
      </c>
      <c r="D2126">
        <v>73.351501464999998</v>
      </c>
      <c r="E2126">
        <v>50</v>
      </c>
      <c r="F2126">
        <v>49.975055695000002</v>
      </c>
      <c r="G2126">
        <v>1303.6279297000001</v>
      </c>
      <c r="H2126">
        <v>1292.0048827999999</v>
      </c>
      <c r="I2126">
        <v>1384.5860596</v>
      </c>
      <c r="J2126">
        <v>1367.8316649999999</v>
      </c>
      <c r="K2126">
        <v>0</v>
      </c>
      <c r="L2126">
        <v>2050</v>
      </c>
      <c r="M2126">
        <v>2050</v>
      </c>
      <c r="N2126">
        <v>0</v>
      </c>
    </row>
    <row r="2127" spans="1:14" x14ac:dyDescent="0.25">
      <c r="A2127">
        <v>1727.111928</v>
      </c>
      <c r="B2127" s="1">
        <f>DATE(2015,1,22) + TIME(2,41,10)</f>
        <v>42026.111921296295</v>
      </c>
      <c r="C2127">
        <v>80</v>
      </c>
      <c r="D2127">
        <v>73.19203186</v>
      </c>
      <c r="E2127">
        <v>50</v>
      </c>
      <c r="F2127">
        <v>49.975090027</v>
      </c>
      <c r="G2127">
        <v>1303.4302978999999</v>
      </c>
      <c r="H2127">
        <v>1291.7360839999999</v>
      </c>
      <c r="I2127">
        <v>1384.5633545000001</v>
      </c>
      <c r="J2127">
        <v>1367.8133545000001</v>
      </c>
      <c r="K2127">
        <v>0</v>
      </c>
      <c r="L2127">
        <v>2050</v>
      </c>
      <c r="M2127">
        <v>2050</v>
      </c>
      <c r="N2127">
        <v>0</v>
      </c>
    </row>
    <row r="2128" spans="1:14" x14ac:dyDescent="0.25">
      <c r="A2128">
        <v>1730.340733</v>
      </c>
      <c r="B2128" s="1">
        <f>DATE(2015,1,25) + TIME(8,10,39)</f>
        <v>42029.340729166666</v>
      </c>
      <c r="C2128">
        <v>80</v>
      </c>
      <c r="D2128">
        <v>73.027770996000001</v>
      </c>
      <c r="E2128">
        <v>50</v>
      </c>
      <c r="F2128">
        <v>49.975128173999998</v>
      </c>
      <c r="G2128">
        <v>1303.2252197</v>
      </c>
      <c r="H2128">
        <v>1291.4564209</v>
      </c>
      <c r="I2128">
        <v>1384.5406493999999</v>
      </c>
      <c r="J2128">
        <v>1367.7949219</v>
      </c>
      <c r="K2128">
        <v>0</v>
      </c>
      <c r="L2128">
        <v>2050</v>
      </c>
      <c r="M2128">
        <v>2050</v>
      </c>
      <c r="N2128">
        <v>0</v>
      </c>
    </row>
    <row r="2129" spans="1:14" x14ac:dyDescent="0.25">
      <c r="A2129">
        <v>1733.6084129999999</v>
      </c>
      <c r="B2129" s="1">
        <f>DATE(2015,1,28) + TIME(14,36,6)</f>
        <v>42032.608402777776</v>
      </c>
      <c r="C2129">
        <v>80</v>
      </c>
      <c r="D2129">
        <v>72.858673096000004</v>
      </c>
      <c r="E2129">
        <v>50</v>
      </c>
      <c r="F2129">
        <v>49.975166321000003</v>
      </c>
      <c r="G2129">
        <v>1303.0134277</v>
      </c>
      <c r="H2129">
        <v>1291.1665039</v>
      </c>
      <c r="I2129">
        <v>1384.5179443</v>
      </c>
      <c r="J2129">
        <v>1367.7766113</v>
      </c>
      <c r="K2129">
        <v>0</v>
      </c>
      <c r="L2129">
        <v>2050</v>
      </c>
      <c r="M2129">
        <v>2050</v>
      </c>
      <c r="N2129">
        <v>0</v>
      </c>
    </row>
    <row r="2130" spans="1:14" x14ac:dyDescent="0.25">
      <c r="A2130">
        <v>1735.304206</v>
      </c>
      <c r="B2130" s="1">
        <f>DATE(2015,1,30) + TIME(7,18,3)</f>
        <v>42034.304201388892</v>
      </c>
      <c r="C2130">
        <v>80</v>
      </c>
      <c r="D2130">
        <v>72.715194702000005</v>
      </c>
      <c r="E2130">
        <v>50</v>
      </c>
      <c r="F2130">
        <v>49.975181579999997</v>
      </c>
      <c r="G2130">
        <v>1302.8006591999999</v>
      </c>
      <c r="H2130">
        <v>1290.8806152</v>
      </c>
      <c r="I2130">
        <v>1384.4949951000001</v>
      </c>
      <c r="J2130">
        <v>1367.7579346</v>
      </c>
      <c r="K2130">
        <v>0</v>
      </c>
      <c r="L2130">
        <v>2050</v>
      </c>
      <c r="M2130">
        <v>2050</v>
      </c>
      <c r="N2130">
        <v>0</v>
      </c>
    </row>
    <row r="2131" spans="1:14" x14ac:dyDescent="0.25">
      <c r="A2131">
        <v>1737</v>
      </c>
      <c r="B2131" s="1">
        <f>DATE(2015,2,1) + TIME(0,0,0)</f>
        <v>42036</v>
      </c>
      <c r="C2131">
        <v>80</v>
      </c>
      <c r="D2131">
        <v>72.604248046999999</v>
      </c>
      <c r="E2131">
        <v>50</v>
      </c>
      <c r="F2131">
        <v>49.975200653000002</v>
      </c>
      <c r="G2131">
        <v>1302.6740723</v>
      </c>
      <c r="H2131">
        <v>1290.7003173999999</v>
      </c>
      <c r="I2131">
        <v>1384.4835204999999</v>
      </c>
      <c r="J2131">
        <v>1367.7486572</v>
      </c>
      <c r="K2131">
        <v>0</v>
      </c>
      <c r="L2131">
        <v>2050</v>
      </c>
      <c r="M2131">
        <v>2050</v>
      </c>
      <c r="N2131">
        <v>0</v>
      </c>
    </row>
    <row r="2132" spans="1:14" x14ac:dyDescent="0.25">
      <c r="A2132">
        <v>1739.2595590000001</v>
      </c>
      <c r="B2132" s="1">
        <f>DATE(2015,2,3) + TIME(6,13,45)</f>
        <v>42038.259548611109</v>
      </c>
      <c r="C2132">
        <v>80</v>
      </c>
      <c r="D2132">
        <v>72.494560242000006</v>
      </c>
      <c r="E2132">
        <v>50</v>
      </c>
      <c r="F2132">
        <v>49.975227355999998</v>
      </c>
      <c r="G2132">
        <v>1302.5522461</v>
      </c>
      <c r="H2132">
        <v>1290.527832</v>
      </c>
      <c r="I2132">
        <v>1384.4722899999999</v>
      </c>
      <c r="J2132">
        <v>1367.7395019999999</v>
      </c>
      <c r="K2132">
        <v>0</v>
      </c>
      <c r="L2132">
        <v>2050</v>
      </c>
      <c r="M2132">
        <v>2050</v>
      </c>
      <c r="N2132">
        <v>0</v>
      </c>
    </row>
    <row r="2133" spans="1:14" x14ac:dyDescent="0.25">
      <c r="A2133">
        <v>1742.572357</v>
      </c>
      <c r="B2133" s="1">
        <f>DATE(2015,2,6) + TIME(13,44,11)</f>
        <v>42041.57234953704</v>
      </c>
      <c r="C2133">
        <v>80</v>
      </c>
      <c r="D2133">
        <v>72.360801696999999</v>
      </c>
      <c r="E2133">
        <v>50</v>
      </c>
      <c r="F2133">
        <v>49.975269318000002</v>
      </c>
      <c r="G2133">
        <v>1302.3972168</v>
      </c>
      <c r="H2133">
        <v>1290.3121338000001</v>
      </c>
      <c r="I2133">
        <v>1384.4573975000001</v>
      </c>
      <c r="J2133">
        <v>1367.7275391000001</v>
      </c>
      <c r="K2133">
        <v>0</v>
      </c>
      <c r="L2133">
        <v>2050</v>
      </c>
      <c r="M2133">
        <v>2050</v>
      </c>
      <c r="N2133">
        <v>0</v>
      </c>
    </row>
    <row r="2134" spans="1:14" x14ac:dyDescent="0.25">
      <c r="A2134">
        <v>1745.971859</v>
      </c>
      <c r="B2134" s="1">
        <f>DATE(2015,2,9) + TIME(23,19,28)</f>
        <v>42044.971851851849</v>
      </c>
      <c r="C2134">
        <v>80</v>
      </c>
      <c r="D2134">
        <v>72.184585571</v>
      </c>
      <c r="E2134">
        <v>50</v>
      </c>
      <c r="F2134">
        <v>49.975307465</v>
      </c>
      <c r="G2134">
        <v>1302.1760254000001</v>
      </c>
      <c r="H2134">
        <v>1290.0098877</v>
      </c>
      <c r="I2134">
        <v>1384.4354248</v>
      </c>
      <c r="J2134">
        <v>1367.7095947</v>
      </c>
      <c r="K2134">
        <v>0</v>
      </c>
      <c r="L2134">
        <v>2050</v>
      </c>
      <c r="M2134">
        <v>2050</v>
      </c>
      <c r="N2134">
        <v>0</v>
      </c>
    </row>
    <row r="2135" spans="1:14" x14ac:dyDescent="0.25">
      <c r="A2135">
        <v>1749.480687</v>
      </c>
      <c r="B2135" s="1">
        <f>DATE(2015,2,13) + TIME(11,32,11)</f>
        <v>42048.480682870373</v>
      </c>
      <c r="C2135">
        <v>80</v>
      </c>
      <c r="D2135">
        <v>71.991256714000002</v>
      </c>
      <c r="E2135">
        <v>50</v>
      </c>
      <c r="F2135">
        <v>49.975345611999998</v>
      </c>
      <c r="G2135">
        <v>1301.9389647999999</v>
      </c>
      <c r="H2135">
        <v>1289.6816406</v>
      </c>
      <c r="I2135">
        <v>1384.4132079999999</v>
      </c>
      <c r="J2135">
        <v>1367.6915283000001</v>
      </c>
      <c r="K2135">
        <v>0</v>
      </c>
      <c r="L2135">
        <v>2050</v>
      </c>
      <c r="M2135">
        <v>2050</v>
      </c>
      <c r="N2135">
        <v>0</v>
      </c>
    </row>
    <row r="2136" spans="1:14" x14ac:dyDescent="0.25">
      <c r="A2136">
        <v>1753.0634110000001</v>
      </c>
      <c r="B2136" s="1">
        <f>DATE(2015,2,17) + TIME(1,31,18)</f>
        <v>42052.063402777778</v>
      </c>
      <c r="C2136">
        <v>80</v>
      </c>
      <c r="D2136">
        <v>71.785728454999997</v>
      </c>
      <c r="E2136">
        <v>50</v>
      </c>
      <c r="F2136">
        <v>49.975387572999999</v>
      </c>
      <c r="G2136">
        <v>1301.6899414</v>
      </c>
      <c r="H2136">
        <v>1289.3350829999999</v>
      </c>
      <c r="I2136">
        <v>1384.390625</v>
      </c>
      <c r="J2136">
        <v>1367.6729736</v>
      </c>
      <c r="K2136">
        <v>0</v>
      </c>
      <c r="L2136">
        <v>2050</v>
      </c>
      <c r="M2136">
        <v>2050</v>
      </c>
      <c r="N2136">
        <v>0</v>
      </c>
    </row>
    <row r="2137" spans="1:14" x14ac:dyDescent="0.25">
      <c r="A2137">
        <v>1756.6964370000001</v>
      </c>
      <c r="B2137" s="1">
        <f>DATE(2015,2,20) + TIME(16,42,52)</f>
        <v>42055.696435185186</v>
      </c>
      <c r="C2137">
        <v>80</v>
      </c>
      <c r="D2137">
        <v>71.569976807000003</v>
      </c>
      <c r="E2137">
        <v>50</v>
      </c>
      <c r="F2137">
        <v>49.975429535000004</v>
      </c>
      <c r="G2137">
        <v>1301.4318848</v>
      </c>
      <c r="H2137">
        <v>1288.9748535000001</v>
      </c>
      <c r="I2137">
        <v>1384.3679199000001</v>
      </c>
      <c r="J2137">
        <v>1367.6542969</v>
      </c>
      <c r="K2137">
        <v>0</v>
      </c>
      <c r="L2137">
        <v>2050</v>
      </c>
      <c r="M2137">
        <v>2050</v>
      </c>
      <c r="N2137">
        <v>0</v>
      </c>
    </row>
    <row r="2138" spans="1:14" x14ac:dyDescent="0.25">
      <c r="A2138">
        <v>1760.388921</v>
      </c>
      <c r="B2138" s="1">
        <f>DATE(2015,2,24) + TIME(9,20,2)</f>
        <v>42059.388912037037</v>
      </c>
      <c r="C2138">
        <v>80</v>
      </c>
      <c r="D2138">
        <v>71.344650268999999</v>
      </c>
      <c r="E2138">
        <v>50</v>
      </c>
      <c r="F2138">
        <v>49.975467682000001</v>
      </c>
      <c r="G2138">
        <v>1301.1668701000001</v>
      </c>
      <c r="H2138">
        <v>1288.6035156</v>
      </c>
      <c r="I2138">
        <v>1384.3450928</v>
      </c>
      <c r="J2138">
        <v>1367.6354980000001</v>
      </c>
      <c r="K2138">
        <v>0</v>
      </c>
      <c r="L2138">
        <v>2050</v>
      </c>
      <c r="M2138">
        <v>2050</v>
      </c>
      <c r="N2138">
        <v>0</v>
      </c>
    </row>
    <row r="2139" spans="1:14" x14ac:dyDescent="0.25">
      <c r="A2139">
        <v>1764.1496970000001</v>
      </c>
      <c r="B2139" s="1">
        <f>DATE(2015,2,28) + TIME(3,35,33)</f>
        <v>42063.149687500001</v>
      </c>
      <c r="C2139">
        <v>80</v>
      </c>
      <c r="D2139">
        <v>71.108917235999996</v>
      </c>
      <c r="E2139">
        <v>50</v>
      </c>
      <c r="F2139">
        <v>49.975509643999999</v>
      </c>
      <c r="G2139">
        <v>1300.8946533000001</v>
      </c>
      <c r="H2139">
        <v>1288.2210693</v>
      </c>
      <c r="I2139">
        <v>1384.3220214999999</v>
      </c>
      <c r="J2139">
        <v>1367.6165771000001</v>
      </c>
      <c r="K2139">
        <v>0</v>
      </c>
      <c r="L2139">
        <v>2050</v>
      </c>
      <c r="M2139">
        <v>2050</v>
      </c>
      <c r="N2139">
        <v>0</v>
      </c>
    </row>
    <row r="2140" spans="1:14" x14ac:dyDescent="0.25">
      <c r="A2140">
        <v>1765</v>
      </c>
      <c r="B2140" s="1">
        <f>DATE(2015,3,1) + TIME(0,0,0)</f>
        <v>42064</v>
      </c>
      <c r="C2140">
        <v>80</v>
      </c>
      <c r="D2140">
        <v>70.961158752000003</v>
      </c>
      <c r="E2140">
        <v>50</v>
      </c>
      <c r="F2140">
        <v>49.975517273000001</v>
      </c>
      <c r="G2140">
        <v>1300.6318358999999</v>
      </c>
      <c r="H2140">
        <v>1287.8726807</v>
      </c>
      <c r="I2140">
        <v>1384.2980957</v>
      </c>
      <c r="J2140">
        <v>1367.5965576000001</v>
      </c>
      <c r="K2140">
        <v>0</v>
      </c>
      <c r="L2140">
        <v>2050</v>
      </c>
      <c r="M2140">
        <v>2050</v>
      </c>
      <c r="N2140">
        <v>0</v>
      </c>
    </row>
    <row r="2141" spans="1:14" x14ac:dyDescent="0.25">
      <c r="A2141">
        <v>1768.8201670000001</v>
      </c>
      <c r="B2141" s="1">
        <f>DATE(2015,3,4) + TIME(19,41,2)</f>
        <v>42067.820162037038</v>
      </c>
      <c r="C2141">
        <v>80</v>
      </c>
      <c r="D2141">
        <v>70.786430358999993</v>
      </c>
      <c r="E2141">
        <v>50</v>
      </c>
      <c r="F2141">
        <v>49.975563049000002</v>
      </c>
      <c r="G2141">
        <v>1300.5347899999999</v>
      </c>
      <c r="H2141">
        <v>1287.7062988</v>
      </c>
      <c r="I2141">
        <v>1384.2937012</v>
      </c>
      <c r="J2141">
        <v>1367.5930175999999</v>
      </c>
      <c r="K2141">
        <v>0</v>
      </c>
      <c r="L2141">
        <v>2050</v>
      </c>
      <c r="M2141">
        <v>2050</v>
      </c>
      <c r="N2141">
        <v>0</v>
      </c>
    </row>
    <row r="2142" spans="1:14" x14ac:dyDescent="0.25">
      <c r="A2142">
        <v>1772.7197209999999</v>
      </c>
      <c r="B2142" s="1">
        <f>DATE(2015,3,8) + TIME(17,16,23)</f>
        <v>42071.719710648147</v>
      </c>
      <c r="C2142">
        <v>80</v>
      </c>
      <c r="D2142">
        <v>70.539932250999996</v>
      </c>
      <c r="E2142">
        <v>50</v>
      </c>
      <c r="F2142">
        <v>49.975605010999999</v>
      </c>
      <c r="G2142">
        <v>1300.2607422000001</v>
      </c>
      <c r="H2142">
        <v>1287.3245850000001</v>
      </c>
      <c r="I2142">
        <v>1384.2703856999999</v>
      </c>
      <c r="J2142">
        <v>1367.5736084</v>
      </c>
      <c r="K2142">
        <v>0</v>
      </c>
      <c r="L2142">
        <v>2050</v>
      </c>
      <c r="M2142">
        <v>2050</v>
      </c>
      <c r="N2142">
        <v>0</v>
      </c>
    </row>
    <row r="2143" spans="1:14" x14ac:dyDescent="0.25">
      <c r="A2143">
        <v>1776.693233</v>
      </c>
      <c r="B2143" s="1">
        <f>DATE(2015,3,12) + TIME(16,38,15)</f>
        <v>42075.693229166667</v>
      </c>
      <c r="C2143">
        <v>80</v>
      </c>
      <c r="D2143">
        <v>70.268241881999998</v>
      </c>
      <c r="E2143">
        <v>50</v>
      </c>
      <c r="F2143">
        <v>49.975646973000003</v>
      </c>
      <c r="G2143">
        <v>1299.9682617000001</v>
      </c>
      <c r="H2143">
        <v>1286.9107666</v>
      </c>
      <c r="I2143">
        <v>1384.2467041</v>
      </c>
      <c r="J2143">
        <v>1367.5539550999999</v>
      </c>
      <c r="K2143">
        <v>0</v>
      </c>
      <c r="L2143">
        <v>2050</v>
      </c>
      <c r="M2143">
        <v>2050</v>
      </c>
      <c r="N2143">
        <v>0</v>
      </c>
    </row>
    <row r="2144" spans="1:14" x14ac:dyDescent="0.25">
      <c r="A2144">
        <v>1780.750892</v>
      </c>
      <c r="B2144" s="1">
        <f>DATE(2015,3,16) + TIME(18,1,17)</f>
        <v>42079.750891203701</v>
      </c>
      <c r="C2144">
        <v>80</v>
      </c>
      <c r="D2144">
        <v>69.980407714999998</v>
      </c>
      <c r="E2144">
        <v>50</v>
      </c>
      <c r="F2144">
        <v>49.975688933999997</v>
      </c>
      <c r="G2144">
        <v>1299.6660156</v>
      </c>
      <c r="H2144">
        <v>1286.4810791</v>
      </c>
      <c r="I2144">
        <v>1384.2226562000001</v>
      </c>
      <c r="J2144">
        <v>1367.5338135</v>
      </c>
      <c r="K2144">
        <v>0</v>
      </c>
      <c r="L2144">
        <v>2050</v>
      </c>
      <c r="M2144">
        <v>2050</v>
      </c>
      <c r="N2144">
        <v>0</v>
      </c>
    </row>
    <row r="2145" spans="1:14" x14ac:dyDescent="0.25">
      <c r="A2145">
        <v>1784.9031110000001</v>
      </c>
      <c r="B2145" s="1">
        <f>DATE(2015,3,20) + TIME(21,40,28)</f>
        <v>42083.903101851851</v>
      </c>
      <c r="C2145">
        <v>80</v>
      </c>
      <c r="D2145">
        <v>69.676048279</v>
      </c>
      <c r="E2145">
        <v>50</v>
      </c>
      <c r="F2145">
        <v>49.975734711000001</v>
      </c>
      <c r="G2145">
        <v>1299.3554687999999</v>
      </c>
      <c r="H2145">
        <v>1286.0379639</v>
      </c>
      <c r="I2145">
        <v>1384.1983643000001</v>
      </c>
      <c r="J2145">
        <v>1367.5134277</v>
      </c>
      <c r="K2145">
        <v>0</v>
      </c>
      <c r="L2145">
        <v>2050</v>
      </c>
      <c r="M2145">
        <v>2050</v>
      </c>
      <c r="N2145">
        <v>0</v>
      </c>
    </row>
    <row r="2146" spans="1:14" x14ac:dyDescent="0.25">
      <c r="A2146">
        <v>1789.1485540000001</v>
      </c>
      <c r="B2146" s="1">
        <f>DATE(2015,3,25) + TIME(3,33,55)</f>
        <v>42088.148553240739</v>
      </c>
      <c r="C2146">
        <v>80</v>
      </c>
      <c r="D2146">
        <v>69.354591369999994</v>
      </c>
      <c r="E2146">
        <v>50</v>
      </c>
      <c r="F2146">
        <v>49.975780487000002</v>
      </c>
      <c r="G2146">
        <v>1299.0362548999999</v>
      </c>
      <c r="H2146">
        <v>1285.5811768000001</v>
      </c>
      <c r="I2146">
        <v>1384.1734618999999</v>
      </c>
      <c r="J2146">
        <v>1367.4924315999999</v>
      </c>
      <c r="K2146">
        <v>0</v>
      </c>
      <c r="L2146">
        <v>2050</v>
      </c>
      <c r="M2146">
        <v>2050</v>
      </c>
      <c r="N2146">
        <v>0</v>
      </c>
    </row>
    <row r="2147" spans="1:14" x14ac:dyDescent="0.25">
      <c r="A2147">
        <v>1793.475199</v>
      </c>
      <c r="B2147" s="1">
        <f>DATE(2015,3,29) + TIME(11,24,17)</f>
        <v>42092.47519675926</v>
      </c>
      <c r="C2147">
        <v>80</v>
      </c>
      <c r="D2147">
        <v>69.015403747999997</v>
      </c>
      <c r="E2147">
        <v>50</v>
      </c>
      <c r="F2147">
        <v>49.975826263000002</v>
      </c>
      <c r="G2147">
        <v>1298.7087402</v>
      </c>
      <c r="H2147">
        <v>1285.1110839999999</v>
      </c>
      <c r="I2147">
        <v>1384.1481934000001</v>
      </c>
      <c r="J2147">
        <v>1367.4710693</v>
      </c>
      <c r="K2147">
        <v>0</v>
      </c>
      <c r="L2147">
        <v>2050</v>
      </c>
      <c r="M2147">
        <v>2050</v>
      </c>
      <c r="N2147">
        <v>0</v>
      </c>
    </row>
    <row r="2148" spans="1:14" x14ac:dyDescent="0.25">
      <c r="A2148">
        <v>1796</v>
      </c>
      <c r="B2148" s="1">
        <f>DATE(2015,4,1) + TIME(0,0,0)</f>
        <v>42095</v>
      </c>
      <c r="C2148">
        <v>80</v>
      </c>
      <c r="D2148">
        <v>68.697700499999996</v>
      </c>
      <c r="E2148">
        <v>50</v>
      </c>
      <c r="F2148">
        <v>49.975849152000002</v>
      </c>
      <c r="G2148">
        <v>1298.3797606999999</v>
      </c>
      <c r="H2148">
        <v>1284.6463623</v>
      </c>
      <c r="I2148">
        <v>1384.1219481999999</v>
      </c>
      <c r="J2148">
        <v>1367.4488524999999</v>
      </c>
      <c r="K2148">
        <v>0</v>
      </c>
      <c r="L2148">
        <v>2050</v>
      </c>
      <c r="M2148">
        <v>2050</v>
      </c>
      <c r="N2148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2022-06-01T10:37:38Z</dcterms:created>
  <dcterms:modified xsi:type="dcterms:W3CDTF">2022-06-01T10:38:33Z</dcterms:modified>
</cp:coreProperties>
</file>