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2_small_well_spacing/"/>
    </mc:Choice>
  </mc:AlternateContent>
  <xr:revisionPtr revIDLastSave="0" documentId="8_{BE5FB4D6-AB94-45DD-A7BF-99AFF9300CDE}" xr6:coauthVersionLast="47" xr6:coauthVersionMax="47" xr10:uidLastSave="{00000000-0000-0000-0000-000000000000}"/>
  <bookViews>
    <workbookView xWindow="1140" yWindow="960" windowWidth="18915" windowHeight="9960" xr2:uid="{B937A00A-2296-4BC9-83A4-4423404FD57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54" i="1" l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<sst xmlns="http://schemas.openxmlformats.org/spreadsheetml/2006/main" count="15" uniqueCount="15">
  <si>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MODEL\SCENARIOS\2022\S2_small_well_spacing\S2_small_well_spacing.sr3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</si>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</sst>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3A143-0A5F-405F-8F91-16E631904E58}" name="Table1" displayName="Table1" ref="A3:N2054" totalsRowShown="0">
  <autoFilter ref="A3:N2054" xr:uid="{3FD3A143-0A5F-405F-8F91-16E631904E58}"/>
  <tableColumns count="14">
    <tableColumn id="1" xr3:uid="{B9EB0BFE-CA70-4EE7-93F2-5D2D1D87E9C3}" name="Time (day)"/>
    <tableColumn id="2" xr3:uid="{034BC616-C8CA-448B-A80F-98C96652AEE6}" name="Date" dataDxfId="0"/>
    <tableColumn id="3" xr3:uid="{1BC9F8DB-753E-4079-AEA1-18E3B45EC21C}" name="Hot well INJ-Well Bottom-hole Pressure (kPa)"/>
    <tableColumn id="4" xr3:uid="{AFCD9017-DB2F-436C-87C1-CA4BE8FBDD48}" name="Hot well PROD-Well Bottom-hole Pressure (kPa)"/>
    <tableColumn id="5" xr3:uid="{6C1615D8-A158-45D0-8236-E91BE65DE89D}" name="Warm well INJ-Well Bottom-hole Pressure (kPa)"/>
    <tableColumn id="6" xr3:uid="{3EFCFD60-6913-4630-A72F-B0DCCFEB25AC}" name="Warm well PROD-Well Bottom-hole Pressure (kPa)"/>
    <tableColumn id="7" xr3:uid="{EE7F2737-0137-41D3-86FC-91154333FB34}" name="Hot well INJ-Well bottom hole temperature (C)"/>
    <tableColumn id="8" xr3:uid="{2EC31A70-6798-43B8-8AD0-D7A02249E3A9}" name="Hot well PROD-Well bottom hole temperature (C)"/>
    <tableColumn id="9" xr3:uid="{1F01FECD-870F-480B-B662-39E860EDDD7E}" name="Warm well INJ-Well bottom hole temperature (C)"/>
    <tableColumn id="10" xr3:uid="{BC02A7B5-ED56-4651-B623-76107154FF9D}" name="Warm well PROD-Well bottom hole temperature (C)"/>
    <tableColumn id="11" xr3:uid="{6FB25F1E-4998-4483-9BE5-308E4686255F}" name="Hot well INJ-Fluid Rate SC (m³/day)"/>
    <tableColumn id="12" xr3:uid="{3518417E-AE75-4D7F-AA5E-917E024045BC}" name="Hot well PROD-Fluid Rate SC (m³/day)"/>
    <tableColumn id="13" xr3:uid="{F7BC8D91-DB43-495B-824F-5C9D28732662}" name="Warm well INJ-Fluid Rate SC (m³/day)"/>
    <tableColumn id="14" xr3:uid="{0F3047DB-8611-4EC0-97EF-7ECEFD0E35A9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4127-FE3F-4F1D-8EE5-2841A45172DF}">
  <dimension ref="A1:N205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44.85546875" customWidth="1"/>
    <col min="8" max="9" width="47.140625" customWidth="1"/>
    <col min="10" max="10" width="49.425781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1369.2735596</v>
      </c>
      <c r="D4">
        <v>1329.8488769999999</v>
      </c>
      <c r="E4">
        <v>1328.9722899999999</v>
      </c>
      <c r="F4">
        <v>1289.5467529</v>
      </c>
      <c r="G4">
        <v>80</v>
      </c>
      <c r="H4">
        <v>15.000118256</v>
      </c>
      <c r="I4">
        <v>50</v>
      </c>
      <c r="J4">
        <v>14.999955177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1370.5152588000001</v>
      </c>
      <c r="D5">
        <v>1331.0908202999999</v>
      </c>
      <c r="E5">
        <v>1327.7358397999999</v>
      </c>
      <c r="F5">
        <v>1288.3100586</v>
      </c>
      <c r="G5">
        <v>80</v>
      </c>
      <c r="H5">
        <v>15.000466347</v>
      </c>
      <c r="I5">
        <v>50</v>
      </c>
      <c r="J5">
        <v>14.999828339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1373.6901855000001</v>
      </c>
      <c r="D6">
        <v>1334.2667236</v>
      </c>
      <c r="E6">
        <v>1324.5737305</v>
      </c>
      <c r="F6">
        <v>1285.1474608999999</v>
      </c>
      <c r="G6">
        <v>80</v>
      </c>
      <c r="H6">
        <v>15.001453400000001</v>
      </c>
      <c r="I6">
        <v>50</v>
      </c>
      <c r="J6">
        <v>14.999503136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1380.2470702999999</v>
      </c>
      <c r="D7">
        <v>1340.8261719</v>
      </c>
      <c r="E7">
        <v>1318.0427245999999</v>
      </c>
      <c r="F7">
        <v>1278.6154785000001</v>
      </c>
      <c r="G7">
        <v>80</v>
      </c>
      <c r="H7">
        <v>15.004107475</v>
      </c>
      <c r="I7">
        <v>50</v>
      </c>
      <c r="J7">
        <v>14.998830795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1390.0941161999999</v>
      </c>
      <c r="D8">
        <v>1350.6804199000001</v>
      </c>
      <c r="E8">
        <v>1308.2297363</v>
      </c>
      <c r="F8">
        <v>1268.8012695</v>
      </c>
      <c r="G8">
        <v>80</v>
      </c>
      <c r="H8">
        <v>15.011060714999999</v>
      </c>
      <c r="I8">
        <v>50</v>
      </c>
      <c r="J8">
        <v>14.997822762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1401.2493896000001</v>
      </c>
      <c r="D9">
        <v>1361.8554687999999</v>
      </c>
      <c r="E9">
        <v>1297.0947266000001</v>
      </c>
      <c r="F9">
        <v>1257.6650391000001</v>
      </c>
      <c r="G9">
        <v>80</v>
      </c>
      <c r="H9">
        <v>15.030024529</v>
      </c>
      <c r="I9">
        <v>50</v>
      </c>
      <c r="J9">
        <v>14.996678352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1412.4642334</v>
      </c>
      <c r="D10">
        <v>1373.1268310999999</v>
      </c>
      <c r="E10">
        <v>1285.8427733999999</v>
      </c>
      <c r="F10">
        <v>1246.4118652</v>
      </c>
      <c r="G10">
        <v>80</v>
      </c>
      <c r="H10">
        <v>15.084579467999999</v>
      </c>
      <c r="I10">
        <v>50</v>
      </c>
      <c r="J10">
        <v>14.995524405999999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1423.3710937999999</v>
      </c>
      <c r="D11">
        <v>1384.1995850000001</v>
      </c>
      <c r="E11">
        <v>1274.7299805</v>
      </c>
      <c r="F11">
        <v>1235.2978516000001</v>
      </c>
      <c r="G11">
        <v>80</v>
      </c>
      <c r="H11">
        <v>15.245531081999999</v>
      </c>
      <c r="I11">
        <v>50</v>
      </c>
      <c r="J11">
        <v>14.994389534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1432.7424315999999</v>
      </c>
      <c r="D12">
        <v>1394.0552978999999</v>
      </c>
      <c r="E12">
        <v>1264.6665039</v>
      </c>
      <c r="F12">
        <v>1225.2332764</v>
      </c>
      <c r="G12">
        <v>80</v>
      </c>
      <c r="H12">
        <v>15.722624779</v>
      </c>
      <c r="I12">
        <v>50</v>
      </c>
      <c r="J12">
        <v>14.993378638999999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2.3592999999999999E-2</v>
      </c>
      <c r="B13" s="1">
        <f>DATE(2010,5,1) + TIME(0,33,58)</f>
        <v>40299.023587962962</v>
      </c>
      <c r="C13">
        <v>1437.5606689000001</v>
      </c>
      <c r="D13">
        <v>1399.8413086</v>
      </c>
      <c r="E13">
        <v>1258.4669189000001</v>
      </c>
      <c r="F13">
        <v>1219.0329589999999</v>
      </c>
      <c r="G13">
        <v>80</v>
      </c>
      <c r="H13">
        <v>16.708219528000001</v>
      </c>
      <c r="I13">
        <v>50</v>
      </c>
      <c r="J13">
        <v>14.992785454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3.7546000000000003E-2</v>
      </c>
      <c r="B14" s="1">
        <f>DATE(2010,5,1) + TIME(0,54,3)</f>
        <v>40299.037534722222</v>
      </c>
      <c r="C14">
        <v>1438.7144774999999</v>
      </c>
      <c r="D14">
        <v>1401.9155272999999</v>
      </c>
      <c r="E14">
        <v>1256.0251464999999</v>
      </c>
      <c r="F14">
        <v>1216.5910644999999</v>
      </c>
      <c r="G14">
        <v>80</v>
      </c>
      <c r="H14">
        <v>17.694477080999999</v>
      </c>
      <c r="I14">
        <v>50</v>
      </c>
      <c r="J14">
        <v>14.992571830999999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5.1693000000000003E-2</v>
      </c>
      <c r="B15" s="1">
        <f>DATE(2010,5,1) + TIME(1,14,26)</f>
        <v>40299.051689814813</v>
      </c>
      <c r="C15">
        <v>1438.6163329999999</v>
      </c>
      <c r="D15">
        <v>1402.6999512</v>
      </c>
      <c r="E15">
        <v>1254.9138184000001</v>
      </c>
      <c r="F15">
        <v>1215.4794922000001</v>
      </c>
      <c r="G15">
        <v>80</v>
      </c>
      <c r="H15">
        <v>18.6810112</v>
      </c>
      <c r="I15">
        <v>50</v>
      </c>
      <c r="J15">
        <v>14.992492675999999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6.6033999999999995E-2</v>
      </c>
      <c r="B16" s="1">
        <f>DATE(2010,5,1) + TIME(1,35,5)</f>
        <v>40299.066030092596</v>
      </c>
      <c r="C16">
        <v>1438.0063477000001</v>
      </c>
      <c r="D16">
        <v>1402.9361572</v>
      </c>
      <c r="E16">
        <v>1254.3752440999999</v>
      </c>
      <c r="F16">
        <v>1214.9407959</v>
      </c>
      <c r="G16">
        <v>80</v>
      </c>
      <c r="H16">
        <v>19.667362213000001</v>
      </c>
      <c r="I16">
        <v>50</v>
      </c>
      <c r="J16">
        <v>14.992471695000001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8.0573000000000006E-2</v>
      </c>
      <c r="B17" s="1">
        <f>DATE(2010,5,1) + TIME(1,56,1)</f>
        <v>40299.080567129633</v>
      </c>
      <c r="C17">
        <v>1437.1665039</v>
      </c>
      <c r="D17">
        <v>1402.9085693</v>
      </c>
      <c r="E17">
        <v>1254.1121826000001</v>
      </c>
      <c r="F17">
        <v>1214.6776123</v>
      </c>
      <c r="G17">
        <v>80</v>
      </c>
      <c r="H17">
        <v>20.654058456000001</v>
      </c>
      <c r="I17">
        <v>50</v>
      </c>
      <c r="J17">
        <v>14.992478371000001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9.5308000000000004E-2</v>
      </c>
      <c r="B18" s="1">
        <f>DATE(2010,5,1) + TIME(2,17,14)</f>
        <v>40299.095300925925</v>
      </c>
      <c r="C18">
        <v>1436.223999</v>
      </c>
      <c r="D18">
        <v>1402.7452393000001</v>
      </c>
      <c r="E18">
        <v>1253.9886475000001</v>
      </c>
      <c r="F18">
        <v>1214.5539550999999</v>
      </c>
      <c r="G18">
        <v>80</v>
      </c>
      <c r="H18">
        <v>21.640232086000001</v>
      </c>
      <c r="I18">
        <v>50</v>
      </c>
      <c r="J18">
        <v>14.992499351999999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0.11025</v>
      </c>
      <c r="B19" s="1">
        <f>DATE(2010,5,1) + TIME(2,38,45)</f>
        <v>40299.110243055555</v>
      </c>
      <c r="C19">
        <v>1435.2412108999999</v>
      </c>
      <c r="D19">
        <v>1402.510376</v>
      </c>
      <c r="E19">
        <v>1253.9364014</v>
      </c>
      <c r="F19">
        <v>1214.5017089999999</v>
      </c>
      <c r="G19">
        <v>80</v>
      </c>
      <c r="H19">
        <v>22.625846863</v>
      </c>
      <c r="I19">
        <v>50</v>
      </c>
      <c r="J19">
        <v>14.992527008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0.12540899999999999</v>
      </c>
      <c r="B20" s="1">
        <f>DATE(2010,5,1) + TIME(3,0,35)</f>
        <v>40299.125405092593</v>
      </c>
      <c r="C20">
        <v>1434.2509766000001</v>
      </c>
      <c r="D20">
        <v>1402.2385254000001</v>
      </c>
      <c r="E20">
        <v>1253.9199219</v>
      </c>
      <c r="F20">
        <v>1214.4851074000001</v>
      </c>
      <c r="G20">
        <v>80</v>
      </c>
      <c r="H20">
        <v>23.61117363</v>
      </c>
      <c r="I20">
        <v>50</v>
      </c>
      <c r="J20">
        <v>14.992559433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0.140795</v>
      </c>
      <c r="B21" s="1">
        <f>DATE(2010,5,1) + TIME(3,22,44)</f>
        <v>40299.140787037039</v>
      </c>
      <c r="C21">
        <v>1433.2709961</v>
      </c>
      <c r="D21">
        <v>1401.9490966999999</v>
      </c>
      <c r="E21">
        <v>1253.9205322</v>
      </c>
      <c r="F21">
        <v>1214.4855957</v>
      </c>
      <c r="G21">
        <v>80</v>
      </c>
      <c r="H21">
        <v>24.596206665</v>
      </c>
      <c r="I21">
        <v>50</v>
      </c>
      <c r="J21">
        <v>14.992592812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0.156414</v>
      </c>
      <c r="B22" s="1">
        <f>DATE(2010,5,1) + TIME(3,45,14)</f>
        <v>40299.156412037039</v>
      </c>
      <c r="C22">
        <v>1432.3110352000001</v>
      </c>
      <c r="D22">
        <v>1401.6533202999999</v>
      </c>
      <c r="E22">
        <v>1253.9284668</v>
      </c>
      <c r="F22">
        <v>1214.4934082</v>
      </c>
      <c r="G22">
        <v>80</v>
      </c>
      <c r="H22">
        <v>25.581325531000001</v>
      </c>
      <c r="I22">
        <v>50</v>
      </c>
      <c r="J22">
        <v>14.992627144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0.17226900000000001</v>
      </c>
      <c r="B23" s="1">
        <f>DATE(2010,5,1) + TIME(4,8,4)</f>
        <v>40299.172268518516</v>
      </c>
      <c r="C23">
        <v>1431.3764647999999</v>
      </c>
      <c r="D23">
        <v>1401.3575439000001</v>
      </c>
      <c r="E23">
        <v>1253.9389647999999</v>
      </c>
      <c r="F23">
        <v>1214.5037841999999</v>
      </c>
      <c r="G23">
        <v>80</v>
      </c>
      <c r="H23">
        <v>26.566026688000001</v>
      </c>
      <c r="I23">
        <v>50</v>
      </c>
      <c r="J23">
        <v>14.992661476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0.18837000000000001</v>
      </c>
      <c r="B24" s="1">
        <f>DATE(2010,5,1) + TIME(4,31,15)</f>
        <v>40299.188368055555</v>
      </c>
      <c r="C24">
        <v>1430.4699707</v>
      </c>
      <c r="D24">
        <v>1401.0655518000001</v>
      </c>
      <c r="E24">
        <v>1253.9494629000001</v>
      </c>
      <c r="F24">
        <v>1214.5141602000001</v>
      </c>
      <c r="G24">
        <v>80</v>
      </c>
      <c r="H24">
        <v>27.550140380999999</v>
      </c>
      <c r="I24">
        <v>50</v>
      </c>
      <c r="J24">
        <v>14.992695808000001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0.204732</v>
      </c>
      <c r="B25" s="1">
        <f>DATE(2010,5,1) + TIME(4,54,48)</f>
        <v>40299.204722222225</v>
      </c>
      <c r="C25">
        <v>1429.5921631000001</v>
      </c>
      <c r="D25">
        <v>1400.7795410000001</v>
      </c>
      <c r="E25">
        <v>1253.9592285000001</v>
      </c>
      <c r="F25">
        <v>1214.5236815999999</v>
      </c>
      <c r="G25">
        <v>80</v>
      </c>
      <c r="H25">
        <v>28.533916473000001</v>
      </c>
      <c r="I25">
        <v>50</v>
      </c>
      <c r="J25">
        <v>14.992730140999999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0.221363</v>
      </c>
      <c r="B26" s="1">
        <f>DATE(2010,5,1) + TIME(5,18,45)</f>
        <v>40299.221354166664</v>
      </c>
      <c r="C26">
        <v>1428.7434082</v>
      </c>
      <c r="D26">
        <v>1400.5006103999999</v>
      </c>
      <c r="E26">
        <v>1253.9676514</v>
      </c>
      <c r="F26">
        <v>1214.5319824000001</v>
      </c>
      <c r="G26">
        <v>80</v>
      </c>
      <c r="H26">
        <v>29.517341613999999</v>
      </c>
      <c r="I26">
        <v>50</v>
      </c>
      <c r="J26">
        <v>14.992764472999999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0.23827499999999999</v>
      </c>
      <c r="B27" s="1">
        <f>DATE(2010,5,1) + TIME(5,43,6)</f>
        <v>40299.238263888888</v>
      </c>
      <c r="C27">
        <v>1427.9229736</v>
      </c>
      <c r="D27">
        <v>1400.2293701000001</v>
      </c>
      <c r="E27">
        <v>1253.9750977000001</v>
      </c>
      <c r="F27">
        <v>1214.5391846</v>
      </c>
      <c r="G27">
        <v>80</v>
      </c>
      <c r="H27">
        <v>30.500522614000001</v>
      </c>
      <c r="I27">
        <v>50</v>
      </c>
      <c r="J27">
        <v>14.992798805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0.25547500000000001</v>
      </c>
      <c r="B28" s="1">
        <f>DATE(2010,5,1) + TIME(6,7,53)</f>
        <v>40299.255474537036</v>
      </c>
      <c r="C28">
        <v>1427.1303711</v>
      </c>
      <c r="D28">
        <v>1399.9660644999999</v>
      </c>
      <c r="E28">
        <v>1253.9813231999999</v>
      </c>
      <c r="F28">
        <v>1214.5454102000001</v>
      </c>
      <c r="G28">
        <v>80</v>
      </c>
      <c r="H28">
        <v>31.483327866</v>
      </c>
      <c r="I28">
        <v>50</v>
      </c>
      <c r="J28">
        <v>14.992833138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0.27297700000000003</v>
      </c>
      <c r="B29" s="1">
        <f>DATE(2010,5,1) + TIME(6,33,5)</f>
        <v>40299.272974537038</v>
      </c>
      <c r="C29">
        <v>1426.364624</v>
      </c>
      <c r="D29">
        <v>1399.7108154</v>
      </c>
      <c r="E29">
        <v>1253.9868164</v>
      </c>
      <c r="F29">
        <v>1214.5506591999999</v>
      </c>
      <c r="G29">
        <v>80</v>
      </c>
      <c r="H29">
        <v>32.465641022</v>
      </c>
      <c r="I29">
        <v>50</v>
      </c>
      <c r="J29">
        <v>14.99286747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0.290794</v>
      </c>
      <c r="B30" s="1">
        <f>DATE(2010,5,1) + TIME(6,58,44)</f>
        <v>40299.29078703704</v>
      </c>
      <c r="C30">
        <v>1425.6247559000001</v>
      </c>
      <c r="D30">
        <v>1399.4632568</v>
      </c>
      <c r="E30">
        <v>1253.9915771000001</v>
      </c>
      <c r="F30">
        <v>1214.5551757999999</v>
      </c>
      <c r="G30">
        <v>80</v>
      </c>
      <c r="H30">
        <v>33.447547913000001</v>
      </c>
      <c r="I30">
        <v>50</v>
      </c>
      <c r="J30">
        <v>14.992901802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0.30893900000000002</v>
      </c>
      <c r="B31" s="1">
        <f>DATE(2010,5,1) + TIME(7,24,52)</f>
        <v>40299.308935185189</v>
      </c>
      <c r="C31">
        <v>1424.909668</v>
      </c>
      <c r="D31">
        <v>1399.2233887</v>
      </c>
      <c r="E31">
        <v>1253.9958495999999</v>
      </c>
      <c r="F31">
        <v>1214.5592041</v>
      </c>
      <c r="G31">
        <v>80</v>
      </c>
      <c r="H31">
        <v>34.429035186999997</v>
      </c>
      <c r="I31">
        <v>50</v>
      </c>
      <c r="J31">
        <v>14.992936134000001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0.32742700000000002</v>
      </c>
      <c r="B32" s="1">
        <f>DATE(2010,5,1) + TIME(7,51,29)</f>
        <v>40299.327418981484</v>
      </c>
      <c r="C32">
        <v>1424.2182617000001</v>
      </c>
      <c r="D32">
        <v>1398.9907227000001</v>
      </c>
      <c r="E32">
        <v>1253.9996338000001</v>
      </c>
      <c r="F32">
        <v>1214.5627440999999</v>
      </c>
      <c r="G32">
        <v>80</v>
      </c>
      <c r="H32">
        <v>35.410087584999999</v>
      </c>
      <c r="I32">
        <v>50</v>
      </c>
      <c r="J32">
        <v>14.992970466999999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0.346271</v>
      </c>
      <c r="B33" s="1">
        <f>DATE(2010,5,1) + TIME(8,18,37)</f>
        <v>40299.346261574072</v>
      </c>
      <c r="C33">
        <v>1423.5496826000001</v>
      </c>
      <c r="D33">
        <v>1398.7651367000001</v>
      </c>
      <c r="E33">
        <v>1254.0029297000001</v>
      </c>
      <c r="F33">
        <v>1214.565918</v>
      </c>
      <c r="G33">
        <v>80</v>
      </c>
      <c r="H33">
        <v>36.390678405999999</v>
      </c>
      <c r="I33">
        <v>50</v>
      </c>
      <c r="J33">
        <v>14.993004798999999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0.36548900000000001</v>
      </c>
      <c r="B34" s="1">
        <f>DATE(2010,5,1) + TIME(8,46,18)</f>
        <v>40299.365486111114</v>
      </c>
      <c r="C34">
        <v>1422.902832</v>
      </c>
      <c r="D34">
        <v>1398.5461425999999</v>
      </c>
      <c r="E34">
        <v>1254.0061035000001</v>
      </c>
      <c r="F34">
        <v>1214.5687256000001</v>
      </c>
      <c r="G34">
        <v>80</v>
      </c>
      <c r="H34">
        <v>37.370800017999997</v>
      </c>
      <c r="I34">
        <v>50</v>
      </c>
      <c r="J34">
        <v>14.993039131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0.38509599999999999</v>
      </c>
      <c r="B35" s="1">
        <f>DATE(2010,5,1) + TIME(9,14,32)</f>
        <v>40299.385092592594</v>
      </c>
      <c r="C35">
        <v>1422.2767334</v>
      </c>
      <c r="D35">
        <v>1398.3336182</v>
      </c>
      <c r="E35">
        <v>1254.0089111</v>
      </c>
      <c r="F35">
        <v>1214.5714111</v>
      </c>
      <c r="G35">
        <v>80</v>
      </c>
      <c r="H35">
        <v>38.350418091000002</v>
      </c>
      <c r="I35">
        <v>50</v>
      </c>
      <c r="J35">
        <v>14.993073463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0.405111</v>
      </c>
      <c r="B36" s="1">
        <f>DATE(2010,5,1) + TIME(9,43,21)</f>
        <v>40299.405104166668</v>
      </c>
      <c r="C36">
        <v>1421.6704102000001</v>
      </c>
      <c r="D36">
        <v>1398.1270752</v>
      </c>
      <c r="E36">
        <v>1254.0115966999999</v>
      </c>
      <c r="F36">
        <v>1214.5737305</v>
      </c>
      <c r="G36">
        <v>80</v>
      </c>
      <c r="H36">
        <v>39.329521178999997</v>
      </c>
      <c r="I36">
        <v>50</v>
      </c>
      <c r="J36">
        <v>14.993107796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0.42555399999999999</v>
      </c>
      <c r="B37" s="1">
        <f>DATE(2010,5,1) + TIME(10,12,47)</f>
        <v>40299.425543981481</v>
      </c>
      <c r="C37">
        <v>1421.0828856999999</v>
      </c>
      <c r="D37">
        <v>1397.9261475000001</v>
      </c>
      <c r="E37">
        <v>1254.0141602000001</v>
      </c>
      <c r="F37">
        <v>1214.5760498</v>
      </c>
      <c r="G37">
        <v>80</v>
      </c>
      <c r="H37">
        <v>40.308151244999998</v>
      </c>
      <c r="I37">
        <v>50</v>
      </c>
      <c r="J37">
        <v>14.993142128000001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0.44644200000000001</v>
      </c>
      <c r="B38" s="1">
        <f>DATE(2010,5,1) + TIME(10,42,52)</f>
        <v>40299.446435185186</v>
      </c>
      <c r="C38">
        <v>1420.5135498</v>
      </c>
      <c r="D38">
        <v>1397.7307129000001</v>
      </c>
      <c r="E38">
        <v>1254.0166016000001</v>
      </c>
      <c r="F38">
        <v>1214.578125</v>
      </c>
      <c r="G38">
        <v>80</v>
      </c>
      <c r="H38">
        <v>41.286300658999998</v>
      </c>
      <c r="I38">
        <v>50</v>
      </c>
      <c r="J38">
        <v>14.993177414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0.46779799999999999</v>
      </c>
      <c r="B39" s="1">
        <f>DATE(2010,5,1) + TIME(11,13,37)</f>
        <v>40299.467789351853</v>
      </c>
      <c r="C39">
        <v>1419.9613036999999</v>
      </c>
      <c r="D39">
        <v>1397.5402832</v>
      </c>
      <c r="E39">
        <v>1254.0187988</v>
      </c>
      <c r="F39">
        <v>1214.5800781</v>
      </c>
      <c r="G39">
        <v>80</v>
      </c>
      <c r="H39">
        <v>42.263702393000003</v>
      </c>
      <c r="I39">
        <v>50</v>
      </c>
      <c r="J39">
        <v>14.993211746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0.489647</v>
      </c>
      <c r="B40" s="1">
        <f>DATE(2010,5,1) + TIME(11,45,5)</f>
        <v>40299.489641203705</v>
      </c>
      <c r="C40">
        <v>1419.4254149999999</v>
      </c>
      <c r="D40">
        <v>1397.3544922000001</v>
      </c>
      <c r="E40">
        <v>1254.0209961</v>
      </c>
      <c r="F40">
        <v>1214.5819091999999</v>
      </c>
      <c r="G40">
        <v>80</v>
      </c>
      <c r="H40">
        <v>43.240474700999997</v>
      </c>
      <c r="I40">
        <v>50</v>
      </c>
      <c r="J40">
        <v>14.993247031999999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0.51201600000000003</v>
      </c>
      <c r="B41" s="1">
        <f>DATE(2010,5,1) + TIME(12,17,18)</f>
        <v>40299.512013888889</v>
      </c>
      <c r="C41">
        <v>1418.9050293</v>
      </c>
      <c r="D41">
        <v>1397.1730957</v>
      </c>
      <c r="E41">
        <v>1254.0230713000001</v>
      </c>
      <c r="F41">
        <v>1214.5837402</v>
      </c>
      <c r="G41">
        <v>80</v>
      </c>
      <c r="H41">
        <v>44.216590881000002</v>
      </c>
      <c r="I41">
        <v>50</v>
      </c>
      <c r="J41">
        <v>14.993281364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0.53493199999999996</v>
      </c>
      <c r="B42" s="1">
        <f>DATE(2010,5,1) + TIME(12,50,18)</f>
        <v>40299.534930555557</v>
      </c>
      <c r="C42">
        <v>1418.3996582</v>
      </c>
      <c r="D42">
        <v>1396.9958495999999</v>
      </c>
      <c r="E42">
        <v>1254.0250243999999</v>
      </c>
      <c r="F42">
        <v>1214.5853271000001</v>
      </c>
      <c r="G42">
        <v>80</v>
      </c>
      <c r="H42">
        <v>45.192008971999996</v>
      </c>
      <c r="I42">
        <v>50</v>
      </c>
      <c r="J42">
        <v>14.993316650000001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0.55842499999999995</v>
      </c>
      <c r="B43" s="1">
        <f>DATE(2010,5,1) + TIME(13,24,7)</f>
        <v>40299.55841435185</v>
      </c>
      <c r="C43">
        <v>1417.9083252</v>
      </c>
      <c r="D43">
        <v>1396.8223877</v>
      </c>
      <c r="E43">
        <v>1254.0269774999999</v>
      </c>
      <c r="F43">
        <v>1214.5869141000001</v>
      </c>
      <c r="G43">
        <v>80</v>
      </c>
      <c r="H43">
        <v>46.166698455999999</v>
      </c>
      <c r="I43">
        <v>50</v>
      </c>
      <c r="J43">
        <v>14.993351936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0.58252899999999996</v>
      </c>
      <c r="B44" s="1">
        <f>DATE(2010,5,1) + TIME(13,58,50)</f>
        <v>40299.58252314815</v>
      </c>
      <c r="C44">
        <v>1417.4302978999999</v>
      </c>
      <c r="D44">
        <v>1396.6524658000001</v>
      </c>
      <c r="E44">
        <v>1254.0288086</v>
      </c>
      <c r="F44">
        <v>1214.588501</v>
      </c>
      <c r="G44">
        <v>80</v>
      </c>
      <c r="H44">
        <v>47.140609740999999</v>
      </c>
      <c r="I44">
        <v>50</v>
      </c>
      <c r="J44">
        <v>14.993387222000001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0.60727799999999998</v>
      </c>
      <c r="B45" s="1">
        <f>DATE(2010,5,1) + TIME(14,34,28)</f>
        <v>40299.607268518521</v>
      </c>
      <c r="C45">
        <v>1416.9652100000001</v>
      </c>
      <c r="D45">
        <v>1396.4858397999999</v>
      </c>
      <c r="E45">
        <v>1254.0305175999999</v>
      </c>
      <c r="F45">
        <v>1214.5898437999999</v>
      </c>
      <c r="G45">
        <v>80</v>
      </c>
      <c r="H45">
        <v>48.113700866999999</v>
      </c>
      <c r="I45">
        <v>50</v>
      </c>
      <c r="J45">
        <v>14.993423462000001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0.63271200000000005</v>
      </c>
      <c r="B46" s="1">
        <f>DATE(2010,5,1) + TIME(15,11,6)</f>
        <v>40299.632708333331</v>
      </c>
      <c r="C46">
        <v>1416.512207</v>
      </c>
      <c r="D46">
        <v>1396.3220214999999</v>
      </c>
      <c r="E46">
        <v>1254.0323486</v>
      </c>
      <c r="F46">
        <v>1214.5913086</v>
      </c>
      <c r="G46">
        <v>80</v>
      </c>
      <c r="H46">
        <v>49.085926055999998</v>
      </c>
      <c r="I46">
        <v>50</v>
      </c>
      <c r="J46">
        <v>14.993458748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0.65887200000000001</v>
      </c>
      <c r="B47" s="1">
        <f>DATE(2010,5,1) + TIME(15,48,46)</f>
        <v>40299.658865740741</v>
      </c>
      <c r="C47">
        <v>1416.0706786999999</v>
      </c>
      <c r="D47">
        <v>1396.1608887</v>
      </c>
      <c r="E47">
        <v>1254.0340576000001</v>
      </c>
      <c r="F47">
        <v>1214.5925293</v>
      </c>
      <c r="G47">
        <v>80</v>
      </c>
      <c r="H47">
        <v>50.057205199999999</v>
      </c>
      <c r="I47">
        <v>50</v>
      </c>
      <c r="J47">
        <v>14.993494987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0.68580600000000003</v>
      </c>
      <c r="B48" s="1">
        <f>DATE(2010,5,1) + TIME(16,27,33)</f>
        <v>40299.685798611114</v>
      </c>
      <c r="C48">
        <v>1415.6401367000001</v>
      </c>
      <c r="D48">
        <v>1396.0020752</v>
      </c>
      <c r="E48">
        <v>1254.0356445</v>
      </c>
      <c r="F48">
        <v>1214.5938721</v>
      </c>
      <c r="G48">
        <v>80</v>
      </c>
      <c r="H48">
        <v>51.027095795000001</v>
      </c>
      <c r="I48">
        <v>50</v>
      </c>
      <c r="J48">
        <v>14.993531227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0.71357599999999999</v>
      </c>
      <c r="B49" s="1">
        <f>DATE(2010,5,1) + TIME(17,7,32)</f>
        <v>40299.713564814818</v>
      </c>
      <c r="C49">
        <v>1415.2197266000001</v>
      </c>
      <c r="D49">
        <v>1395.8454589999999</v>
      </c>
      <c r="E49">
        <v>1254.0372314000001</v>
      </c>
      <c r="F49">
        <v>1214.5950928</v>
      </c>
      <c r="G49">
        <v>80</v>
      </c>
      <c r="H49">
        <v>51.996349334999998</v>
      </c>
      <c r="I49">
        <v>50</v>
      </c>
      <c r="J49">
        <v>14.993567467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0.74222699999999997</v>
      </c>
      <c r="B50" s="1">
        <f>DATE(2010,5,1) + TIME(17,48,48)</f>
        <v>40299.742222222223</v>
      </c>
      <c r="C50">
        <v>1414.809082</v>
      </c>
      <c r="D50">
        <v>1395.6905518000001</v>
      </c>
      <c r="E50">
        <v>1254.0389404</v>
      </c>
      <c r="F50">
        <v>1214.5963135</v>
      </c>
      <c r="G50">
        <v>80</v>
      </c>
      <c r="H50">
        <v>52.964488983000003</v>
      </c>
      <c r="I50">
        <v>50</v>
      </c>
      <c r="J50">
        <v>14.993604660000001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0.77182099999999998</v>
      </c>
      <c r="B51" s="1">
        <f>DATE(2010,5,1) + TIME(18,31,25)</f>
        <v>40299.771817129629</v>
      </c>
      <c r="C51">
        <v>1414.4075928</v>
      </c>
      <c r="D51">
        <v>1395.5372314000001</v>
      </c>
      <c r="E51">
        <v>1254.0405272999999</v>
      </c>
      <c r="F51">
        <v>1214.5975341999999</v>
      </c>
      <c r="G51">
        <v>80</v>
      </c>
      <c r="H51">
        <v>53.931438446000001</v>
      </c>
      <c r="I51">
        <v>50</v>
      </c>
      <c r="J51">
        <v>14.993641853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0.80242599999999997</v>
      </c>
      <c r="B52" s="1">
        <f>DATE(2010,5,1) + TIME(19,15,29)</f>
        <v>40299.802418981482</v>
      </c>
      <c r="C52">
        <v>1414.0147704999999</v>
      </c>
      <c r="D52">
        <v>1395.3851318</v>
      </c>
      <c r="E52">
        <v>1254.0421143000001</v>
      </c>
      <c r="F52">
        <v>1214.5987548999999</v>
      </c>
      <c r="G52">
        <v>80</v>
      </c>
      <c r="H52">
        <v>54.8971138</v>
      </c>
      <c r="I52">
        <v>50</v>
      </c>
      <c r="J52">
        <v>14.993679047000001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0.83411900000000005</v>
      </c>
      <c r="B53" s="1">
        <f>DATE(2010,5,1) + TIME(20,1,7)</f>
        <v>40299.834108796298</v>
      </c>
      <c r="C53">
        <v>1413.6301269999999</v>
      </c>
      <c r="D53">
        <v>1395.2340088000001</v>
      </c>
      <c r="E53">
        <v>1254.0437012</v>
      </c>
      <c r="F53">
        <v>1214.5998535000001</v>
      </c>
      <c r="G53">
        <v>80</v>
      </c>
      <c r="H53">
        <v>55.861419677999997</v>
      </c>
      <c r="I53">
        <v>50</v>
      </c>
      <c r="J53">
        <v>14.993717194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0.86698600000000003</v>
      </c>
      <c r="B54" s="1">
        <f>DATE(2010,5,1) + TIME(20,48,27)</f>
        <v>40299.866979166669</v>
      </c>
      <c r="C54">
        <v>1413.2529297000001</v>
      </c>
      <c r="D54">
        <v>1395.0834961</v>
      </c>
      <c r="E54">
        <v>1254.0452881000001</v>
      </c>
      <c r="F54">
        <v>1214.6010742000001</v>
      </c>
      <c r="G54">
        <v>80</v>
      </c>
      <c r="H54">
        <v>56.824253081999998</v>
      </c>
      <c r="I54">
        <v>50</v>
      </c>
      <c r="J54">
        <v>14.993755341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0.90112099999999995</v>
      </c>
      <c r="B55" s="1">
        <f>DATE(2010,5,1) + TIME(21,37,36)</f>
        <v>40299.90111111111</v>
      </c>
      <c r="C55">
        <v>1412.8826904</v>
      </c>
      <c r="D55">
        <v>1394.9333495999999</v>
      </c>
      <c r="E55">
        <v>1254.0469971</v>
      </c>
      <c r="F55">
        <v>1214.6022949000001</v>
      </c>
      <c r="G55">
        <v>80</v>
      </c>
      <c r="H55">
        <v>57.785491942999997</v>
      </c>
      <c r="I55">
        <v>50</v>
      </c>
      <c r="J55">
        <v>14.993793488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0.93663200000000002</v>
      </c>
      <c r="B56" s="1">
        <f>DATE(2010,5,1) + TIME(22,28,45)</f>
        <v>40299.936631944445</v>
      </c>
      <c r="C56">
        <v>1412.519043</v>
      </c>
      <c r="D56">
        <v>1394.7830810999999</v>
      </c>
      <c r="E56">
        <v>1254.0485839999999</v>
      </c>
      <c r="F56">
        <v>1214.6033935999999</v>
      </c>
      <c r="G56">
        <v>80</v>
      </c>
      <c r="H56">
        <v>58.745010376000003</v>
      </c>
      <c r="I56">
        <v>50</v>
      </c>
      <c r="J56">
        <v>14.993832588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0.97364200000000001</v>
      </c>
      <c r="B57" s="1">
        <f>DATE(2010,5,1) + TIME(23,22,2)</f>
        <v>40299.973634259259</v>
      </c>
      <c r="C57">
        <v>1412.1612548999999</v>
      </c>
      <c r="D57">
        <v>1394.6325684000001</v>
      </c>
      <c r="E57">
        <v>1254.050293</v>
      </c>
      <c r="F57">
        <v>1214.6046143000001</v>
      </c>
      <c r="G57">
        <v>80</v>
      </c>
      <c r="H57">
        <v>59.702659607000001</v>
      </c>
      <c r="I57">
        <v>50</v>
      </c>
      <c r="J57">
        <v>14.993871689000001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1.0122880000000001</v>
      </c>
      <c r="B58" s="1">
        <f>DATE(2010,5,2) + TIME(0,17,41)</f>
        <v>40300.012280092589</v>
      </c>
      <c r="C58">
        <v>1411.8089600000001</v>
      </c>
      <c r="D58">
        <v>1394.4812012</v>
      </c>
      <c r="E58">
        <v>1254.0520019999999</v>
      </c>
      <c r="F58">
        <v>1214.605957</v>
      </c>
      <c r="G58">
        <v>80</v>
      </c>
      <c r="H58">
        <v>60.657791138</v>
      </c>
      <c r="I58">
        <v>50</v>
      </c>
      <c r="J58">
        <v>14.993911743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1.0527500000000001</v>
      </c>
      <c r="B59" s="1">
        <f>DATE(2010,5,2) + TIME(1,15,57)</f>
        <v>40300.052743055552</v>
      </c>
      <c r="C59">
        <v>1411.4613036999999</v>
      </c>
      <c r="D59">
        <v>1394.3287353999999</v>
      </c>
      <c r="E59">
        <v>1254.0538329999999</v>
      </c>
      <c r="F59">
        <v>1214.6071777</v>
      </c>
      <c r="G59">
        <v>80</v>
      </c>
      <c r="H59">
        <v>61.610908508000001</v>
      </c>
      <c r="I59">
        <v>50</v>
      </c>
      <c r="J59">
        <v>14.993951796999999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1.0952029999999999</v>
      </c>
      <c r="B60" s="1">
        <f>DATE(2010,5,2) + TIME(2,17,5)</f>
        <v>40300.095196759263</v>
      </c>
      <c r="C60">
        <v>1411.1177978999999</v>
      </c>
      <c r="D60">
        <v>1394.1746826000001</v>
      </c>
      <c r="E60">
        <v>1254.0556641000001</v>
      </c>
      <c r="F60">
        <v>1214.6086425999999</v>
      </c>
      <c r="G60">
        <v>80</v>
      </c>
      <c r="H60">
        <v>62.561775208</v>
      </c>
      <c r="I60">
        <v>50</v>
      </c>
      <c r="J60">
        <v>14.993993759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1.139848</v>
      </c>
      <c r="B61" s="1">
        <f>DATE(2010,5,2) + TIME(3,21,22)</f>
        <v>40300.139837962961</v>
      </c>
      <c r="C61">
        <v>1410.7779541</v>
      </c>
      <c r="D61">
        <v>1394.0185547000001</v>
      </c>
      <c r="E61">
        <v>1254.0576172000001</v>
      </c>
      <c r="F61">
        <v>1214.6099853999999</v>
      </c>
      <c r="G61">
        <v>80</v>
      </c>
      <c r="H61">
        <v>63.509941101000003</v>
      </c>
      <c r="I61">
        <v>50</v>
      </c>
      <c r="J61">
        <v>14.994035720999999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1.1869350000000001</v>
      </c>
      <c r="B62" s="1">
        <f>DATE(2010,5,2) + TIME(4,29,11)</f>
        <v>40300.186932870369</v>
      </c>
      <c r="C62">
        <v>1410.4410399999999</v>
      </c>
      <c r="D62">
        <v>1393.8598632999999</v>
      </c>
      <c r="E62">
        <v>1254.0596923999999</v>
      </c>
      <c r="F62">
        <v>1214.6115723</v>
      </c>
      <c r="G62">
        <v>80</v>
      </c>
      <c r="H62">
        <v>64.455123900999993</v>
      </c>
      <c r="I62">
        <v>50</v>
      </c>
      <c r="J62">
        <v>14.994077682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1.2367520000000001</v>
      </c>
      <c r="B63" s="1">
        <f>DATE(2010,5,2) + TIME(5,40,55)</f>
        <v>40300.236747685187</v>
      </c>
      <c r="C63">
        <v>1410.1063231999999</v>
      </c>
      <c r="D63">
        <v>1393.6981201000001</v>
      </c>
      <c r="E63">
        <v>1254.0617675999999</v>
      </c>
      <c r="F63">
        <v>1214.6131591999999</v>
      </c>
      <c r="G63">
        <v>80</v>
      </c>
      <c r="H63">
        <v>65.397071838000002</v>
      </c>
      <c r="I63">
        <v>50</v>
      </c>
      <c r="J63">
        <v>14.994121551999999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1.2896399999999999</v>
      </c>
      <c r="B64" s="1">
        <f>DATE(2010,5,2) + TIME(6,57,4)</f>
        <v>40300.289629629631</v>
      </c>
      <c r="C64">
        <v>1409.7730713000001</v>
      </c>
      <c r="D64">
        <v>1393.5324707</v>
      </c>
      <c r="E64">
        <v>1254.0640868999999</v>
      </c>
      <c r="F64">
        <v>1214.6148682</v>
      </c>
      <c r="G64">
        <v>80</v>
      </c>
      <c r="H64">
        <v>66.335357665999993</v>
      </c>
      <c r="I64">
        <v>50</v>
      </c>
      <c r="J64">
        <v>14.994165421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1.317823</v>
      </c>
      <c r="B65" s="1">
        <f>DATE(2010,5,2) + TIME(7,37,39)</f>
        <v>40300.317812499998</v>
      </c>
      <c r="C65">
        <v>1409.5816649999999</v>
      </c>
      <c r="D65">
        <v>1393.4007568</v>
      </c>
      <c r="E65">
        <v>1254.0660399999999</v>
      </c>
      <c r="F65">
        <v>1214.6163329999999</v>
      </c>
      <c r="G65">
        <v>80</v>
      </c>
      <c r="H65">
        <v>66.819152832</v>
      </c>
      <c r="I65">
        <v>50</v>
      </c>
      <c r="J65">
        <v>14.994189262000001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1.346006</v>
      </c>
      <c r="B66" s="1">
        <f>DATE(2010,5,2) + TIME(8,18,14)</f>
        <v>40300.345995370371</v>
      </c>
      <c r="C66">
        <v>1409.4136963000001</v>
      </c>
      <c r="D66">
        <v>1393.3133545000001</v>
      </c>
      <c r="E66">
        <v>1254.0675048999999</v>
      </c>
      <c r="F66">
        <v>1214.6175536999999</v>
      </c>
      <c r="G66">
        <v>80</v>
      </c>
      <c r="H66">
        <v>67.286392211999996</v>
      </c>
      <c r="I66">
        <v>50</v>
      </c>
      <c r="J66">
        <v>14.994212150999999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1.3741890000000001</v>
      </c>
      <c r="B67" s="1">
        <f>DATE(2010,5,2) + TIME(8,58,49)</f>
        <v>40300.374178240738</v>
      </c>
      <c r="C67">
        <v>1409.2518310999999</v>
      </c>
      <c r="D67">
        <v>1393.2276611</v>
      </c>
      <c r="E67">
        <v>1254.0688477000001</v>
      </c>
      <c r="F67">
        <v>1214.6185303</v>
      </c>
      <c r="G67">
        <v>80</v>
      </c>
      <c r="H67">
        <v>67.737602233999993</v>
      </c>
      <c r="I67">
        <v>50</v>
      </c>
      <c r="J67">
        <v>14.994235038999999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1.402372</v>
      </c>
      <c r="B68" s="1">
        <f>DATE(2010,5,2) + TIME(9,39,24)</f>
        <v>40300.402361111112</v>
      </c>
      <c r="C68">
        <v>1409.0948486</v>
      </c>
      <c r="D68">
        <v>1393.1434326000001</v>
      </c>
      <c r="E68">
        <v>1254.0701904</v>
      </c>
      <c r="F68">
        <v>1214.6196289</v>
      </c>
      <c r="G68">
        <v>80</v>
      </c>
      <c r="H68">
        <v>68.173294067</v>
      </c>
      <c r="I68">
        <v>50</v>
      </c>
      <c r="J68">
        <v>14.994256973000001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1.430555</v>
      </c>
      <c r="B69" s="1">
        <f>DATE(2010,5,2) + TIME(10,19,59)</f>
        <v>40300.430543981478</v>
      </c>
      <c r="C69">
        <v>1408.9423827999999</v>
      </c>
      <c r="D69">
        <v>1393.0604248</v>
      </c>
      <c r="E69">
        <v>1254.0714111</v>
      </c>
      <c r="F69">
        <v>1214.6206055</v>
      </c>
      <c r="G69">
        <v>80</v>
      </c>
      <c r="H69">
        <v>68.593948363999999</v>
      </c>
      <c r="I69">
        <v>50</v>
      </c>
      <c r="J69">
        <v>14.994278908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1.4587380000000001</v>
      </c>
      <c r="B70" s="1">
        <f>DATE(2010,5,2) + TIME(11,0,34)</f>
        <v>40300.458726851852</v>
      </c>
      <c r="C70">
        <v>1408.7944336</v>
      </c>
      <c r="D70">
        <v>1392.9785156</v>
      </c>
      <c r="E70">
        <v>1254.0726318</v>
      </c>
      <c r="F70">
        <v>1214.6214600000001</v>
      </c>
      <c r="G70">
        <v>80</v>
      </c>
      <c r="H70">
        <v>69.000053406000006</v>
      </c>
      <c r="I70">
        <v>50</v>
      </c>
      <c r="J70">
        <v>14.994299889000001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1.4869209999999999</v>
      </c>
      <c r="B71" s="1">
        <f>DATE(2010,5,2) + TIME(11,41,9)</f>
        <v>40300.486909722225</v>
      </c>
      <c r="C71">
        <v>1408.6505127</v>
      </c>
      <c r="D71">
        <v>1392.8978271000001</v>
      </c>
      <c r="E71">
        <v>1254.0738524999999</v>
      </c>
      <c r="F71">
        <v>1214.6224365</v>
      </c>
      <c r="G71">
        <v>80</v>
      </c>
      <c r="H71">
        <v>69.392066955999994</v>
      </c>
      <c r="I71">
        <v>50</v>
      </c>
      <c r="J71">
        <v>14.994320868999999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1.543288</v>
      </c>
      <c r="B72" s="1">
        <f>DATE(2010,5,2) + TIME(13,2,20)</f>
        <v>40300.543287037035</v>
      </c>
      <c r="C72">
        <v>1408.4073486</v>
      </c>
      <c r="D72">
        <v>1392.7915039</v>
      </c>
      <c r="E72">
        <v>1254.0754394999999</v>
      </c>
      <c r="F72">
        <v>1214.6237793</v>
      </c>
      <c r="G72">
        <v>80</v>
      </c>
      <c r="H72">
        <v>70.122161864999995</v>
      </c>
      <c r="I72">
        <v>50</v>
      </c>
      <c r="J72">
        <v>14.994360924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1.59972</v>
      </c>
      <c r="B73" s="1">
        <f>DATE(2010,5,2) + TIME(14,23,35)</f>
        <v>40300.599710648145</v>
      </c>
      <c r="C73">
        <v>1408.1485596</v>
      </c>
      <c r="D73">
        <v>1392.6370850000001</v>
      </c>
      <c r="E73">
        <v>1254.0776367000001</v>
      </c>
      <c r="F73">
        <v>1214.6254882999999</v>
      </c>
      <c r="G73">
        <v>80</v>
      </c>
      <c r="H73">
        <v>70.803337096999996</v>
      </c>
      <c r="I73">
        <v>50</v>
      </c>
      <c r="J73">
        <v>14.994399071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1.6564639999999999</v>
      </c>
      <c r="B74" s="1">
        <f>DATE(2010,5,2) + TIME(15,45,18)</f>
        <v>40300.656458333331</v>
      </c>
      <c r="C74">
        <v>1407.9007568</v>
      </c>
      <c r="D74">
        <v>1392.4854736</v>
      </c>
      <c r="E74">
        <v>1254.0800781</v>
      </c>
      <c r="F74">
        <v>1214.6275635</v>
      </c>
      <c r="G74">
        <v>80</v>
      </c>
      <c r="H74">
        <v>71.441543578999998</v>
      </c>
      <c r="I74">
        <v>50</v>
      </c>
      <c r="J74">
        <v>14.994436264000001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1.7136</v>
      </c>
      <c r="B75" s="1">
        <f>DATE(2010,5,2) + TIME(17,7,35)</f>
        <v>40300.713599537034</v>
      </c>
      <c r="C75">
        <v>1407.6632079999999</v>
      </c>
      <c r="D75">
        <v>1392.3363036999999</v>
      </c>
      <c r="E75">
        <v>1254.0825195</v>
      </c>
      <c r="F75">
        <v>1214.6295166</v>
      </c>
      <c r="G75">
        <v>80</v>
      </c>
      <c r="H75">
        <v>72.039848328000005</v>
      </c>
      <c r="I75">
        <v>50</v>
      </c>
      <c r="J75">
        <v>14.994472504000001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1.7712110000000001</v>
      </c>
      <c r="B76" s="1">
        <f>DATE(2010,5,2) + TIME(18,30,32)</f>
        <v>40300.771203703705</v>
      </c>
      <c r="C76">
        <v>1407.4346923999999</v>
      </c>
      <c r="D76">
        <v>1392.1892089999999</v>
      </c>
      <c r="E76">
        <v>1254.0849608999999</v>
      </c>
      <c r="F76">
        <v>1214.6315918</v>
      </c>
      <c r="G76">
        <v>80</v>
      </c>
      <c r="H76">
        <v>72.601051330999994</v>
      </c>
      <c r="I76">
        <v>50</v>
      </c>
      <c r="J76">
        <v>14.99450779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1.82938</v>
      </c>
      <c r="B77" s="1">
        <f>DATE(2010,5,2) + TIME(19,54,18)</f>
        <v>40300.829375000001</v>
      </c>
      <c r="C77">
        <v>1407.2142334</v>
      </c>
      <c r="D77">
        <v>1392.0439452999999</v>
      </c>
      <c r="E77">
        <v>1254.0874022999999</v>
      </c>
      <c r="F77">
        <v>1214.6335449000001</v>
      </c>
      <c r="G77">
        <v>80</v>
      </c>
      <c r="H77">
        <v>73.127639771000005</v>
      </c>
      <c r="I77">
        <v>50</v>
      </c>
      <c r="J77">
        <v>14.994542122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1.8881870000000001</v>
      </c>
      <c r="B78" s="1">
        <f>DATE(2010,5,2) + TIME(21,18,59)</f>
        <v>40300.888182870367</v>
      </c>
      <c r="C78">
        <v>1407.0009766000001</v>
      </c>
      <c r="D78">
        <v>1391.9000243999999</v>
      </c>
      <c r="E78">
        <v>1254.0898437999999</v>
      </c>
      <c r="F78">
        <v>1214.6356201000001</v>
      </c>
      <c r="G78">
        <v>80</v>
      </c>
      <c r="H78">
        <v>73.621887207</v>
      </c>
      <c r="I78">
        <v>50</v>
      </c>
      <c r="J78">
        <v>14.9945755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1.9477040000000001</v>
      </c>
      <c r="B79" s="1">
        <f>DATE(2010,5,2) + TIME(22,44,41)</f>
        <v>40300.947696759256</v>
      </c>
      <c r="C79">
        <v>1406.7941894999999</v>
      </c>
      <c r="D79">
        <v>1391.7574463000001</v>
      </c>
      <c r="E79">
        <v>1254.0922852000001</v>
      </c>
      <c r="F79">
        <v>1214.6376952999999</v>
      </c>
      <c r="G79">
        <v>80</v>
      </c>
      <c r="H79">
        <v>74.085754394999995</v>
      </c>
      <c r="I79">
        <v>50</v>
      </c>
      <c r="J79">
        <v>14.994608878999999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2.0080260000000001</v>
      </c>
      <c r="B80" s="1">
        <f>DATE(2010,5,3) + TIME(0,11,33)</f>
        <v>40301.008020833331</v>
      </c>
      <c r="C80">
        <v>1406.5932617000001</v>
      </c>
      <c r="D80">
        <v>1391.6157227000001</v>
      </c>
      <c r="E80">
        <v>1254.0947266000001</v>
      </c>
      <c r="F80">
        <v>1214.6397704999999</v>
      </c>
      <c r="G80">
        <v>80</v>
      </c>
      <c r="H80">
        <v>74.521202087000006</v>
      </c>
      <c r="I80">
        <v>50</v>
      </c>
      <c r="J80">
        <v>14.994641304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2.0692400000000002</v>
      </c>
      <c r="B81" s="1">
        <f>DATE(2010,5,3) + TIME(1,39,42)</f>
        <v>40301.069236111114</v>
      </c>
      <c r="C81">
        <v>1406.3973389</v>
      </c>
      <c r="D81">
        <v>1391.4747314000001</v>
      </c>
      <c r="E81">
        <v>1254.0972899999999</v>
      </c>
      <c r="F81">
        <v>1214.6419678</v>
      </c>
      <c r="G81">
        <v>80</v>
      </c>
      <c r="H81">
        <v>74.929939270000006</v>
      </c>
      <c r="I81">
        <v>50</v>
      </c>
      <c r="J81">
        <v>14.994672775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2.1314359999999999</v>
      </c>
      <c r="B82" s="1">
        <f>DATE(2010,5,3) + TIME(3,9,16)</f>
        <v>40301.131435185183</v>
      </c>
      <c r="C82">
        <v>1406.2060547000001</v>
      </c>
      <c r="D82">
        <v>1391.3341064000001</v>
      </c>
      <c r="E82">
        <v>1254.0997314000001</v>
      </c>
      <c r="F82">
        <v>1214.644043</v>
      </c>
      <c r="G82">
        <v>80</v>
      </c>
      <c r="H82">
        <v>75.313293457</v>
      </c>
      <c r="I82">
        <v>50</v>
      </c>
      <c r="J82">
        <v>14.994704247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2.1947070000000002</v>
      </c>
      <c r="B83" s="1">
        <f>DATE(2010,5,3) + TIME(4,40,22)</f>
        <v>40301.194699074076</v>
      </c>
      <c r="C83">
        <v>1406.0187988</v>
      </c>
      <c r="D83">
        <v>1391.1938477000001</v>
      </c>
      <c r="E83">
        <v>1254.1021728999999</v>
      </c>
      <c r="F83">
        <v>1214.6462402</v>
      </c>
      <c r="G83">
        <v>80</v>
      </c>
      <c r="H83">
        <v>75.672889709000003</v>
      </c>
      <c r="I83">
        <v>50</v>
      </c>
      <c r="J83">
        <v>14.994734764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2.2591519999999998</v>
      </c>
      <c r="B84" s="1">
        <f>DATE(2010,5,3) + TIME(6,13,10)</f>
        <v>40301.259143518517</v>
      </c>
      <c r="C84">
        <v>1405.8350829999999</v>
      </c>
      <c r="D84">
        <v>1391.0535889</v>
      </c>
      <c r="E84">
        <v>1254.1047363</v>
      </c>
      <c r="F84">
        <v>1214.6484375</v>
      </c>
      <c r="G84">
        <v>80</v>
      </c>
      <c r="H84">
        <v>76.010101317999997</v>
      </c>
      <c r="I84">
        <v>50</v>
      </c>
      <c r="J84">
        <v>14.994765281999999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2.324875</v>
      </c>
      <c r="B85" s="1">
        <f>DATE(2010,5,3) + TIME(7,47,49)</f>
        <v>40301.324872685182</v>
      </c>
      <c r="C85">
        <v>1405.6545410000001</v>
      </c>
      <c r="D85">
        <v>1390.9132079999999</v>
      </c>
      <c r="E85">
        <v>1254.1072998</v>
      </c>
      <c r="F85">
        <v>1214.6507568</v>
      </c>
      <c r="G85">
        <v>80</v>
      </c>
      <c r="H85">
        <v>76.326171875</v>
      </c>
      <c r="I85">
        <v>50</v>
      </c>
      <c r="J85">
        <v>14.994794846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2.391985</v>
      </c>
      <c r="B86" s="1">
        <f>DATE(2010,5,3) + TIME(9,24,27)</f>
        <v>40301.391979166663</v>
      </c>
      <c r="C86">
        <v>1405.4765625</v>
      </c>
      <c r="D86">
        <v>1390.7725829999999</v>
      </c>
      <c r="E86">
        <v>1254.1098632999999</v>
      </c>
      <c r="F86">
        <v>1214.6529541</v>
      </c>
      <c r="G86">
        <v>80</v>
      </c>
      <c r="H86">
        <v>76.622230529999996</v>
      </c>
      <c r="I86">
        <v>50</v>
      </c>
      <c r="J86">
        <v>14.994824409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2.460601</v>
      </c>
      <c r="B87" s="1">
        <f>DATE(2010,5,3) + TIME(11,3,15)</f>
        <v>40301.460590277777</v>
      </c>
      <c r="C87">
        <v>1405.3010254000001</v>
      </c>
      <c r="D87">
        <v>1390.6313477000001</v>
      </c>
      <c r="E87">
        <v>1254.1124268000001</v>
      </c>
      <c r="F87">
        <v>1214.6552733999999</v>
      </c>
      <c r="G87">
        <v>80</v>
      </c>
      <c r="H87">
        <v>76.899353027000004</v>
      </c>
      <c r="I87">
        <v>50</v>
      </c>
      <c r="J87">
        <v>14.994853020000001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2.5308489999999999</v>
      </c>
      <c r="B88" s="1">
        <f>DATE(2010,5,3) + TIME(12,44,25)</f>
        <v>40301.530844907407</v>
      </c>
      <c r="C88">
        <v>1405.1273193</v>
      </c>
      <c r="D88">
        <v>1390.489624</v>
      </c>
      <c r="E88">
        <v>1254.1149902</v>
      </c>
      <c r="F88">
        <v>1214.6575928</v>
      </c>
      <c r="G88">
        <v>80</v>
      </c>
      <c r="H88">
        <v>77.158523560000006</v>
      </c>
      <c r="I88">
        <v>50</v>
      </c>
      <c r="J88">
        <v>14.994882584000001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2.6028910000000001</v>
      </c>
      <c r="B89" s="1">
        <f>DATE(2010,5,3) + TIME(14,28,9)</f>
        <v>40301.602881944447</v>
      </c>
      <c r="C89">
        <v>1404.9553223</v>
      </c>
      <c r="D89">
        <v>1390.3469238</v>
      </c>
      <c r="E89">
        <v>1254.1176757999999</v>
      </c>
      <c r="F89">
        <v>1214.6600341999999</v>
      </c>
      <c r="G89">
        <v>80</v>
      </c>
      <c r="H89">
        <v>77.400756835999999</v>
      </c>
      <c r="I89">
        <v>50</v>
      </c>
      <c r="J89">
        <v>14.994911194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2.6768589999999999</v>
      </c>
      <c r="B90" s="1">
        <f>DATE(2010,5,3) + TIME(16,14,40)</f>
        <v>40301.676851851851</v>
      </c>
      <c r="C90">
        <v>1404.7845459</v>
      </c>
      <c r="D90">
        <v>1390.2032471</v>
      </c>
      <c r="E90">
        <v>1254.1203613</v>
      </c>
      <c r="F90">
        <v>1214.6624756000001</v>
      </c>
      <c r="G90">
        <v>80</v>
      </c>
      <c r="H90">
        <v>77.626846313000001</v>
      </c>
      <c r="I90">
        <v>50</v>
      </c>
      <c r="J90">
        <v>14.994939803999999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2.7529080000000001</v>
      </c>
      <c r="B91" s="1">
        <f>DATE(2010,5,3) + TIME(18,4,11)</f>
        <v>40301.752905092595</v>
      </c>
      <c r="C91">
        <v>1404.614624</v>
      </c>
      <c r="D91">
        <v>1390.0583495999999</v>
      </c>
      <c r="E91">
        <v>1254.1231689000001</v>
      </c>
      <c r="F91">
        <v>1214.6649170000001</v>
      </c>
      <c r="G91">
        <v>80</v>
      </c>
      <c r="H91">
        <v>77.837600707999997</v>
      </c>
      <c r="I91">
        <v>50</v>
      </c>
      <c r="J91">
        <v>14.994968414000001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2.831216</v>
      </c>
      <c r="B92" s="1">
        <f>DATE(2010,5,3) + TIME(19,56,57)</f>
        <v>40301.83121527778</v>
      </c>
      <c r="C92">
        <v>1404.4454346</v>
      </c>
      <c r="D92">
        <v>1389.9121094</v>
      </c>
      <c r="E92">
        <v>1254.1258545000001</v>
      </c>
      <c r="F92">
        <v>1214.6674805</v>
      </c>
      <c r="G92">
        <v>80</v>
      </c>
      <c r="H92">
        <v>78.033798218000001</v>
      </c>
      <c r="I92">
        <v>50</v>
      </c>
      <c r="J92">
        <v>14.994997025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2.911978</v>
      </c>
      <c r="B93" s="1">
        <f>DATE(2010,5,3) + TIME(21,53,14)</f>
        <v>40301.91196759259</v>
      </c>
      <c r="C93">
        <v>1404.2764893000001</v>
      </c>
      <c r="D93">
        <v>1389.7642822</v>
      </c>
      <c r="E93">
        <v>1254.1287841999999</v>
      </c>
      <c r="F93">
        <v>1214.6700439000001</v>
      </c>
      <c r="G93">
        <v>80</v>
      </c>
      <c r="H93">
        <v>78.216156006000006</v>
      </c>
      <c r="I93">
        <v>50</v>
      </c>
      <c r="J93">
        <v>14.995024681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2.995409</v>
      </c>
      <c r="B94" s="1">
        <f>DATE(2010,5,3) + TIME(23,53,23)</f>
        <v>40301.995405092595</v>
      </c>
      <c r="C94">
        <v>1404.1075439000001</v>
      </c>
      <c r="D94">
        <v>1389.6147461</v>
      </c>
      <c r="E94">
        <v>1254.1315918</v>
      </c>
      <c r="F94">
        <v>1214.6727295000001</v>
      </c>
      <c r="G94">
        <v>80</v>
      </c>
      <c r="H94">
        <v>78.385368346999996</v>
      </c>
      <c r="I94">
        <v>50</v>
      </c>
      <c r="J94">
        <v>14.995053291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3.081677</v>
      </c>
      <c r="B95" s="1">
        <f>DATE(2010,5,4) + TIME(1,57,36)</f>
        <v>40302.081666666665</v>
      </c>
      <c r="C95">
        <v>1403.9383545000001</v>
      </c>
      <c r="D95">
        <v>1389.4632568</v>
      </c>
      <c r="E95">
        <v>1254.1346435999999</v>
      </c>
      <c r="F95">
        <v>1214.6754149999999</v>
      </c>
      <c r="G95">
        <v>80</v>
      </c>
      <c r="H95">
        <v>78.541984557999996</v>
      </c>
      <c r="I95">
        <v>50</v>
      </c>
      <c r="J95">
        <v>14.995081902000001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3.170563</v>
      </c>
      <c r="B96" s="1">
        <f>DATE(2010,5,4) + TIME(4,5,36)</f>
        <v>40302.170555555553</v>
      </c>
      <c r="C96">
        <v>1403.7687988</v>
      </c>
      <c r="D96">
        <v>1389.3096923999999</v>
      </c>
      <c r="E96">
        <v>1254.1375731999999</v>
      </c>
      <c r="F96">
        <v>1214.6782227000001</v>
      </c>
      <c r="G96">
        <v>80</v>
      </c>
      <c r="H96">
        <v>78.685958862000007</v>
      </c>
      <c r="I96">
        <v>50</v>
      </c>
      <c r="J96">
        <v>14.995110512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3.2623090000000001</v>
      </c>
      <c r="B97" s="1">
        <f>DATE(2010,5,4) + TIME(6,17,43)</f>
        <v>40302.262303240743</v>
      </c>
      <c r="C97">
        <v>1403.5993652</v>
      </c>
      <c r="D97">
        <v>1389.1546631000001</v>
      </c>
      <c r="E97">
        <v>1254.1407471</v>
      </c>
      <c r="F97">
        <v>1214.6811522999999</v>
      </c>
      <c r="G97">
        <v>80</v>
      </c>
      <c r="H97">
        <v>78.818084717000005</v>
      </c>
      <c r="I97">
        <v>50</v>
      </c>
      <c r="J97">
        <v>14.995139121999999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3.357097</v>
      </c>
      <c r="B98" s="1">
        <f>DATE(2010,5,4) + TIME(8,34,13)</f>
        <v>40302.357094907406</v>
      </c>
      <c r="C98">
        <v>1403.4295654</v>
      </c>
      <c r="D98">
        <v>1388.9980469</v>
      </c>
      <c r="E98">
        <v>1254.1439209</v>
      </c>
      <c r="F98">
        <v>1214.684082</v>
      </c>
      <c r="G98">
        <v>80</v>
      </c>
      <c r="H98">
        <v>78.939010620000005</v>
      </c>
      <c r="I98">
        <v>50</v>
      </c>
      <c r="J98">
        <v>14.995167732000001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3.4551029999999998</v>
      </c>
      <c r="B99" s="1">
        <f>DATE(2010,5,4) + TIME(10,55,20)</f>
        <v>40302.455092592594</v>
      </c>
      <c r="C99">
        <v>1403.2592772999999</v>
      </c>
      <c r="D99">
        <v>1388.8394774999999</v>
      </c>
      <c r="E99">
        <v>1254.1472168</v>
      </c>
      <c r="F99">
        <v>1214.6871338000001</v>
      </c>
      <c r="G99">
        <v>80</v>
      </c>
      <c r="H99">
        <v>79.049354553000001</v>
      </c>
      <c r="I99">
        <v>50</v>
      </c>
      <c r="J99">
        <v>14.995196342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3.5566149999999999</v>
      </c>
      <c r="B100" s="1">
        <f>DATE(2010,5,4) + TIME(13,21,31)</f>
        <v>40302.556608796294</v>
      </c>
      <c r="C100">
        <v>1403.0882568</v>
      </c>
      <c r="D100">
        <v>1388.6790771000001</v>
      </c>
      <c r="E100">
        <v>1254.1505127</v>
      </c>
      <c r="F100">
        <v>1214.6901855000001</v>
      </c>
      <c r="G100">
        <v>80</v>
      </c>
      <c r="H100">
        <v>79.149787903000004</v>
      </c>
      <c r="I100">
        <v>50</v>
      </c>
      <c r="J100">
        <v>14.995224952999999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3.6619570000000001</v>
      </c>
      <c r="B101" s="1">
        <f>DATE(2010,5,4) + TIME(15,53,13)</f>
        <v>40302.661956018521</v>
      </c>
      <c r="C101">
        <v>1402.9163818</v>
      </c>
      <c r="D101">
        <v>1388.5166016000001</v>
      </c>
      <c r="E101">
        <v>1254.1539307</v>
      </c>
      <c r="F101">
        <v>1214.6934814000001</v>
      </c>
      <c r="G101">
        <v>80</v>
      </c>
      <c r="H101">
        <v>79.240974425999994</v>
      </c>
      <c r="I101">
        <v>50</v>
      </c>
      <c r="J101">
        <v>14.995253563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3.7714889999999999</v>
      </c>
      <c r="B102" s="1">
        <f>DATE(2010,5,4) + TIME(18,30,56)</f>
        <v>40302.771481481483</v>
      </c>
      <c r="C102">
        <v>1402.7431641000001</v>
      </c>
      <c r="D102">
        <v>1388.3516846</v>
      </c>
      <c r="E102">
        <v>1254.1574707</v>
      </c>
      <c r="F102">
        <v>1214.6967772999999</v>
      </c>
      <c r="G102">
        <v>80</v>
      </c>
      <c r="H102">
        <v>79.323532103999995</v>
      </c>
      <c r="I102">
        <v>50</v>
      </c>
      <c r="J102">
        <v>14.995282173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3.885497</v>
      </c>
      <c r="B103" s="1">
        <f>DATE(2010,5,4) + TIME(21,15,6)</f>
        <v>40302.88548611111</v>
      </c>
      <c r="C103">
        <v>1402.5682373</v>
      </c>
      <c r="D103">
        <v>1388.1843262</v>
      </c>
      <c r="E103">
        <v>1254.1611327999999</v>
      </c>
      <c r="F103">
        <v>1214.7001952999999</v>
      </c>
      <c r="G103">
        <v>80</v>
      </c>
      <c r="H103">
        <v>79.397972107000001</v>
      </c>
      <c r="I103">
        <v>50</v>
      </c>
      <c r="J103">
        <v>14.995311737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3.9436450000000001</v>
      </c>
      <c r="B104" s="1">
        <f>DATE(2010,5,4) + TIME(22,38,50)</f>
        <v>40302.94363425926</v>
      </c>
      <c r="C104">
        <v>1402.3997803</v>
      </c>
      <c r="D104">
        <v>1388.0140381000001</v>
      </c>
      <c r="E104">
        <v>1254.1643065999999</v>
      </c>
      <c r="F104">
        <v>1214.703125</v>
      </c>
      <c r="G104">
        <v>80</v>
      </c>
      <c r="H104">
        <v>79.433174132999994</v>
      </c>
      <c r="I104">
        <v>50</v>
      </c>
      <c r="J104">
        <v>14.995326995999999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4.0017930000000002</v>
      </c>
      <c r="B105" s="1">
        <f>DATE(2010,5,5) + TIME(0,2,34)</f>
        <v>40303.001782407409</v>
      </c>
      <c r="C105">
        <v>1402.3099365</v>
      </c>
      <c r="D105">
        <v>1387.9276123</v>
      </c>
      <c r="E105">
        <v>1254.1662598</v>
      </c>
      <c r="F105">
        <v>1214.7049560999999</v>
      </c>
      <c r="G105">
        <v>80</v>
      </c>
      <c r="H105">
        <v>79.465812682999996</v>
      </c>
      <c r="I105">
        <v>50</v>
      </c>
      <c r="J105">
        <v>14.995342255000001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4.1180899999999996</v>
      </c>
      <c r="B106" s="1">
        <f>DATE(2010,5,5) + TIME(2,50,2)</f>
        <v>40303.118078703701</v>
      </c>
      <c r="C106">
        <v>1402.2165527</v>
      </c>
      <c r="D106">
        <v>1387.8443603999999</v>
      </c>
      <c r="E106">
        <v>1254.1687012</v>
      </c>
      <c r="F106">
        <v>1214.7072754000001</v>
      </c>
      <c r="G106">
        <v>80</v>
      </c>
      <c r="H106">
        <v>79.522239685000002</v>
      </c>
      <c r="I106">
        <v>50</v>
      </c>
      <c r="J106">
        <v>14.995370865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4.2344730000000004</v>
      </c>
      <c r="B107" s="1">
        <f>DATE(2010,5,5) + TIME(5,37,38)</f>
        <v>40303.234467592592</v>
      </c>
      <c r="C107">
        <v>1402.0474853999999</v>
      </c>
      <c r="D107">
        <v>1387.6796875</v>
      </c>
      <c r="E107">
        <v>1254.1723632999999</v>
      </c>
      <c r="F107">
        <v>1214.7108154</v>
      </c>
      <c r="G107">
        <v>80</v>
      </c>
      <c r="H107">
        <v>79.571044921999999</v>
      </c>
      <c r="I107">
        <v>50</v>
      </c>
      <c r="J107">
        <v>14.995398521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4.3511850000000001</v>
      </c>
      <c r="B108" s="1">
        <f>DATE(2010,5,5) + TIME(8,25,42)</f>
        <v>40303.351180555554</v>
      </c>
      <c r="C108">
        <v>1401.8822021000001</v>
      </c>
      <c r="D108">
        <v>1387.5180664</v>
      </c>
      <c r="E108">
        <v>1254.1761475000001</v>
      </c>
      <c r="F108">
        <v>1214.7143555</v>
      </c>
      <c r="G108">
        <v>80</v>
      </c>
      <c r="H108">
        <v>79.613365173000005</v>
      </c>
      <c r="I108">
        <v>50</v>
      </c>
      <c r="J108">
        <v>14.995425224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4.4684080000000002</v>
      </c>
      <c r="B109" s="1">
        <f>DATE(2010,5,5) + TIME(11,14,30)</f>
        <v>40303.468402777777</v>
      </c>
      <c r="C109">
        <v>1401.7207031</v>
      </c>
      <c r="D109">
        <v>1387.3597411999999</v>
      </c>
      <c r="E109">
        <v>1254.1798096</v>
      </c>
      <c r="F109">
        <v>1214.7178954999999</v>
      </c>
      <c r="G109">
        <v>80</v>
      </c>
      <c r="H109">
        <v>79.650108337000006</v>
      </c>
      <c r="I109">
        <v>50</v>
      </c>
      <c r="J109">
        <v>14.995451927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4.5863160000000001</v>
      </c>
      <c r="B110" s="1">
        <f>DATE(2010,5,5) + TIME(14,4,17)</f>
        <v>40303.58630787037</v>
      </c>
      <c r="C110">
        <v>1401.5625</v>
      </c>
      <c r="D110">
        <v>1387.2043457</v>
      </c>
      <c r="E110">
        <v>1254.1835937999999</v>
      </c>
      <c r="F110">
        <v>1214.7214355000001</v>
      </c>
      <c r="G110">
        <v>80</v>
      </c>
      <c r="H110">
        <v>79.682044982999997</v>
      </c>
      <c r="I110">
        <v>50</v>
      </c>
      <c r="J110">
        <v>14.995477676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4.7050559999999999</v>
      </c>
      <c r="B111" s="1">
        <f>DATE(2010,5,5) + TIME(16,55,16)</f>
        <v>40303.705046296294</v>
      </c>
      <c r="C111">
        <v>1401.4073486</v>
      </c>
      <c r="D111">
        <v>1387.0515137</v>
      </c>
      <c r="E111">
        <v>1254.1873779</v>
      </c>
      <c r="F111">
        <v>1214.7249756000001</v>
      </c>
      <c r="G111">
        <v>80</v>
      </c>
      <c r="H111">
        <v>79.709823607999994</v>
      </c>
      <c r="I111">
        <v>50</v>
      </c>
      <c r="J111">
        <v>14.995503426000001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4.8248179999999996</v>
      </c>
      <c r="B112" s="1">
        <f>DATE(2010,5,5) + TIME(19,47,44)</f>
        <v>40303.824814814812</v>
      </c>
      <c r="C112">
        <v>1401.2547606999999</v>
      </c>
      <c r="D112">
        <v>1386.901001</v>
      </c>
      <c r="E112">
        <v>1254.1910399999999</v>
      </c>
      <c r="F112">
        <v>1214.7286377</v>
      </c>
      <c r="G112">
        <v>80</v>
      </c>
      <c r="H112">
        <v>79.734016417999996</v>
      </c>
      <c r="I112">
        <v>50</v>
      </c>
      <c r="J112">
        <v>14.995528221000001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4.9457740000000001</v>
      </c>
      <c r="B113" s="1">
        <f>DATE(2010,5,5) + TIME(22,41,54)</f>
        <v>40303.945763888885</v>
      </c>
      <c r="C113">
        <v>1401.1046143000001</v>
      </c>
      <c r="D113">
        <v>1386.7526855000001</v>
      </c>
      <c r="E113">
        <v>1254.1948242000001</v>
      </c>
      <c r="F113">
        <v>1214.7321777</v>
      </c>
      <c r="G113">
        <v>80</v>
      </c>
      <c r="H113">
        <v>79.755096436000002</v>
      </c>
      <c r="I113">
        <v>50</v>
      </c>
      <c r="J113">
        <v>14.99555397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5.0680940000000003</v>
      </c>
      <c r="B114" s="1">
        <f>DATE(2010,5,6) + TIME(1,38,3)</f>
        <v>40304.068090277775</v>
      </c>
      <c r="C114">
        <v>1400.956543</v>
      </c>
      <c r="D114">
        <v>1386.6060791</v>
      </c>
      <c r="E114">
        <v>1254.1987305</v>
      </c>
      <c r="F114">
        <v>1214.7358397999999</v>
      </c>
      <c r="G114">
        <v>80</v>
      </c>
      <c r="H114">
        <v>79.773475646999998</v>
      </c>
      <c r="I114">
        <v>50</v>
      </c>
      <c r="J114">
        <v>14.995578766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5.1919519999999997</v>
      </c>
      <c r="B115" s="1">
        <f>DATE(2010,5,6) + TIME(4,36,24)</f>
        <v>40304.191944444443</v>
      </c>
      <c r="C115">
        <v>1400.8101807</v>
      </c>
      <c r="D115">
        <v>1386.4609375</v>
      </c>
      <c r="E115">
        <v>1254.2025146000001</v>
      </c>
      <c r="F115">
        <v>1214.7395019999999</v>
      </c>
      <c r="G115">
        <v>80</v>
      </c>
      <c r="H115">
        <v>79.789497374999996</v>
      </c>
      <c r="I115">
        <v>50</v>
      </c>
      <c r="J115">
        <v>14.995602608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5.3175309999999998</v>
      </c>
      <c r="B116" s="1">
        <f>DATE(2010,5,6) + TIME(7,37,14)</f>
        <v>40304.317523148151</v>
      </c>
      <c r="C116">
        <v>1400.6652832</v>
      </c>
      <c r="D116">
        <v>1386.3172606999999</v>
      </c>
      <c r="E116">
        <v>1254.2064209</v>
      </c>
      <c r="F116">
        <v>1214.7431641000001</v>
      </c>
      <c r="G116">
        <v>80</v>
      </c>
      <c r="H116">
        <v>79.803482056000007</v>
      </c>
      <c r="I116">
        <v>50</v>
      </c>
      <c r="J116">
        <v>14.995627403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5.445017</v>
      </c>
      <c r="B117" s="1">
        <f>DATE(2010,5,6) + TIME(10,40,49)</f>
        <v>40304.445011574076</v>
      </c>
      <c r="C117">
        <v>1400.5217285000001</v>
      </c>
      <c r="D117">
        <v>1386.1748047000001</v>
      </c>
      <c r="E117">
        <v>1254.2103271000001</v>
      </c>
      <c r="F117">
        <v>1214.7469481999999</v>
      </c>
      <c r="G117">
        <v>80</v>
      </c>
      <c r="H117">
        <v>79.815681458</v>
      </c>
      <c r="I117">
        <v>50</v>
      </c>
      <c r="J117">
        <v>14.995651244999999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5.5746060000000002</v>
      </c>
      <c r="B118" s="1">
        <f>DATE(2010,5,6) + TIME(13,47,25)</f>
        <v>40304.574594907404</v>
      </c>
      <c r="C118">
        <v>1400.3791504000001</v>
      </c>
      <c r="D118">
        <v>1386.0332031</v>
      </c>
      <c r="E118">
        <v>1254.2143555</v>
      </c>
      <c r="F118">
        <v>1214.7507324000001</v>
      </c>
      <c r="G118">
        <v>80</v>
      </c>
      <c r="H118">
        <v>79.826332092000001</v>
      </c>
      <c r="I118">
        <v>50</v>
      </c>
      <c r="J118">
        <v>14.995675087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5.7065070000000002</v>
      </c>
      <c r="B119" s="1">
        <f>DATE(2010,5,6) + TIME(16,57,22)</f>
        <v>40304.706504629627</v>
      </c>
      <c r="C119">
        <v>1400.2375488</v>
      </c>
      <c r="D119">
        <v>1385.8923339999999</v>
      </c>
      <c r="E119">
        <v>1254.2183838000001</v>
      </c>
      <c r="F119">
        <v>1214.7546387</v>
      </c>
      <c r="G119">
        <v>80</v>
      </c>
      <c r="H119">
        <v>79.835624695000007</v>
      </c>
      <c r="I119">
        <v>50</v>
      </c>
      <c r="J119">
        <v>14.995698929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5.8409420000000001</v>
      </c>
      <c r="B120" s="1">
        <f>DATE(2010,5,6) + TIME(20,10,57)</f>
        <v>40304.840937499997</v>
      </c>
      <c r="C120">
        <v>1400.0964355000001</v>
      </c>
      <c r="D120">
        <v>1385.7519531</v>
      </c>
      <c r="E120">
        <v>1254.2224120999999</v>
      </c>
      <c r="F120">
        <v>1214.7585449000001</v>
      </c>
      <c r="G120">
        <v>80</v>
      </c>
      <c r="H120">
        <v>79.843742371000005</v>
      </c>
      <c r="I120">
        <v>50</v>
      </c>
      <c r="J120">
        <v>14.995723723999999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5.9781959999999996</v>
      </c>
      <c r="B121" s="1">
        <f>DATE(2010,5,6) + TIME(23,28,36)</f>
        <v>40304.978194444448</v>
      </c>
      <c r="C121">
        <v>1399.9556885</v>
      </c>
      <c r="D121">
        <v>1385.6120605000001</v>
      </c>
      <c r="E121">
        <v>1254.2266846</v>
      </c>
      <c r="F121">
        <v>1214.7624512</v>
      </c>
      <c r="G121">
        <v>80</v>
      </c>
      <c r="H121">
        <v>79.850830078000001</v>
      </c>
      <c r="I121">
        <v>50</v>
      </c>
      <c r="J121">
        <v>14.995747566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6.11836</v>
      </c>
      <c r="B122" s="1">
        <f>DATE(2010,5,7) + TIME(2,50,26)</f>
        <v>40305.118356481478</v>
      </c>
      <c r="C122">
        <v>1399.8151855000001</v>
      </c>
      <c r="D122">
        <v>1385.4722899999999</v>
      </c>
      <c r="E122">
        <v>1254.2308350000001</v>
      </c>
      <c r="F122">
        <v>1214.7666016000001</v>
      </c>
      <c r="G122">
        <v>80</v>
      </c>
      <c r="H122">
        <v>79.857017517000003</v>
      </c>
      <c r="I122">
        <v>50</v>
      </c>
      <c r="J122">
        <v>14.995771408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6.2614989999999997</v>
      </c>
      <c r="B123" s="1">
        <f>DATE(2010,5,7) + TIME(6,16,33)</f>
        <v>40305.261493055557</v>
      </c>
      <c r="C123">
        <v>1399.6746826000001</v>
      </c>
      <c r="D123">
        <v>1385.3325195</v>
      </c>
      <c r="E123">
        <v>1254.2352295000001</v>
      </c>
      <c r="F123">
        <v>1214.7707519999999</v>
      </c>
      <c r="G123">
        <v>80</v>
      </c>
      <c r="H123">
        <v>79.862411499000004</v>
      </c>
      <c r="I123">
        <v>50</v>
      </c>
      <c r="J123">
        <v>14.99579525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6.4078759999999999</v>
      </c>
      <c r="B124" s="1">
        <f>DATE(2010,5,7) + TIME(9,47,20)</f>
        <v>40305.407870370371</v>
      </c>
      <c r="C124">
        <v>1399.5343018000001</v>
      </c>
      <c r="D124">
        <v>1385.1928711</v>
      </c>
      <c r="E124">
        <v>1254.239624</v>
      </c>
      <c r="F124">
        <v>1214.7749022999999</v>
      </c>
      <c r="G124">
        <v>80</v>
      </c>
      <c r="H124">
        <v>79.867118834999999</v>
      </c>
      <c r="I124">
        <v>50</v>
      </c>
      <c r="J124">
        <v>14.995819092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6.5577819999999996</v>
      </c>
      <c r="B125" s="1">
        <f>DATE(2010,5,7) + TIME(13,23,12)</f>
        <v>40305.55777777778</v>
      </c>
      <c r="C125">
        <v>1399.3937988</v>
      </c>
      <c r="D125">
        <v>1385.0531006000001</v>
      </c>
      <c r="E125">
        <v>1254.2441406</v>
      </c>
      <c r="F125">
        <v>1214.7792969</v>
      </c>
      <c r="G125">
        <v>80</v>
      </c>
      <c r="H125">
        <v>79.871223450000002</v>
      </c>
      <c r="I125">
        <v>50</v>
      </c>
      <c r="J125">
        <v>14.995842934000001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6.7115299999999998</v>
      </c>
      <c r="B126" s="1">
        <f>DATE(2010,5,7) + TIME(17,4,36)</f>
        <v>40305.711527777778</v>
      </c>
      <c r="C126">
        <v>1399.2530518000001</v>
      </c>
      <c r="D126">
        <v>1384.9130858999999</v>
      </c>
      <c r="E126">
        <v>1254.2487793</v>
      </c>
      <c r="F126">
        <v>1214.7836914</v>
      </c>
      <c r="G126">
        <v>80</v>
      </c>
      <c r="H126">
        <v>79.874809264999996</v>
      </c>
      <c r="I126">
        <v>50</v>
      </c>
      <c r="J126">
        <v>14.995866776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6.8694709999999999</v>
      </c>
      <c r="B127" s="1">
        <f>DATE(2010,5,7) + TIME(20,52,2)</f>
        <v>40305.869467592594</v>
      </c>
      <c r="C127">
        <v>1399.1116943</v>
      </c>
      <c r="D127">
        <v>1384.7725829999999</v>
      </c>
      <c r="E127">
        <v>1254.2535399999999</v>
      </c>
      <c r="F127">
        <v>1214.7882079999999</v>
      </c>
      <c r="G127">
        <v>80</v>
      </c>
      <c r="H127">
        <v>79.877944946</v>
      </c>
      <c r="I127">
        <v>50</v>
      </c>
      <c r="J127">
        <v>14.995891571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7.0319929999999999</v>
      </c>
      <c r="B128" s="1">
        <f>DATE(2010,5,8) + TIME(0,46,4)</f>
        <v>40306.031990740739</v>
      </c>
      <c r="C128">
        <v>1398.9697266000001</v>
      </c>
      <c r="D128">
        <v>1384.6314697</v>
      </c>
      <c r="E128">
        <v>1254.2583007999999</v>
      </c>
      <c r="F128">
        <v>1214.7928466999999</v>
      </c>
      <c r="G128">
        <v>80</v>
      </c>
      <c r="H128">
        <v>79.880691528</v>
      </c>
      <c r="I128">
        <v>50</v>
      </c>
      <c r="J128">
        <v>14.995916367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7.1993359999999997</v>
      </c>
      <c r="B129" s="1">
        <f>DATE(2010,5,8) + TIME(4,47,2)</f>
        <v>40306.199328703704</v>
      </c>
      <c r="C129">
        <v>1398.8266602000001</v>
      </c>
      <c r="D129">
        <v>1384.4893798999999</v>
      </c>
      <c r="E129">
        <v>1254.2633057</v>
      </c>
      <c r="F129">
        <v>1214.7976074000001</v>
      </c>
      <c r="G129">
        <v>80</v>
      </c>
      <c r="H129">
        <v>79.883094787999994</v>
      </c>
      <c r="I129">
        <v>50</v>
      </c>
      <c r="J129">
        <v>14.995940208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7.3717139999999999</v>
      </c>
      <c r="B130" s="1">
        <f>DATE(2010,5,8) + TIME(8,55,16)</f>
        <v>40306.371712962966</v>
      </c>
      <c r="C130">
        <v>1398.6826172000001</v>
      </c>
      <c r="D130">
        <v>1384.3463135</v>
      </c>
      <c r="E130">
        <v>1254.2684326000001</v>
      </c>
      <c r="F130">
        <v>1214.8024902</v>
      </c>
      <c r="G130">
        <v>80</v>
      </c>
      <c r="H130">
        <v>79.885200499999996</v>
      </c>
      <c r="I130">
        <v>50</v>
      </c>
      <c r="J130">
        <v>14.995965004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7.5493189999999997</v>
      </c>
      <c r="B131" s="1">
        <f>DATE(2010,5,8) + TIME(13,11,1)</f>
        <v>40306.549317129633</v>
      </c>
      <c r="C131">
        <v>1398.5374756000001</v>
      </c>
      <c r="D131">
        <v>1384.2022704999999</v>
      </c>
      <c r="E131">
        <v>1254.2738036999999</v>
      </c>
      <c r="F131">
        <v>1214.8076172000001</v>
      </c>
      <c r="G131">
        <v>80</v>
      </c>
      <c r="H131">
        <v>79.887039185000006</v>
      </c>
      <c r="I131">
        <v>50</v>
      </c>
      <c r="J131">
        <v>14.995990752999999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7.6401110000000001</v>
      </c>
      <c r="B132" s="1">
        <f>DATE(2010,5,8) + TIME(15,21,45)</f>
        <v>40306.640104166669</v>
      </c>
      <c r="C132">
        <v>1398.3902588000001</v>
      </c>
      <c r="D132">
        <v>1384.0550536999999</v>
      </c>
      <c r="E132">
        <v>1254.2785644999999</v>
      </c>
      <c r="F132">
        <v>1214.8121338000001</v>
      </c>
      <c r="G132">
        <v>80</v>
      </c>
      <c r="H132">
        <v>79.887901306000003</v>
      </c>
      <c r="I132">
        <v>50</v>
      </c>
      <c r="J132">
        <v>14.996004105000001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7.7309029999999996</v>
      </c>
      <c r="B133" s="1">
        <f>DATE(2010,5,8) + TIME(17,32,30)</f>
        <v>40306.730902777781</v>
      </c>
      <c r="C133">
        <v>1398.3155518000001</v>
      </c>
      <c r="D133">
        <v>1383.980957</v>
      </c>
      <c r="E133">
        <v>1254.2814940999999</v>
      </c>
      <c r="F133">
        <v>1214.8149414</v>
      </c>
      <c r="G133">
        <v>80</v>
      </c>
      <c r="H133">
        <v>79.888694763000004</v>
      </c>
      <c r="I133">
        <v>50</v>
      </c>
      <c r="J133">
        <v>14.99601841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7.8216950000000001</v>
      </c>
      <c r="B134" s="1">
        <f>DATE(2010,5,8) + TIME(19,43,14)</f>
        <v>40306.821689814817</v>
      </c>
      <c r="C134">
        <v>1398.2426757999999</v>
      </c>
      <c r="D134">
        <v>1383.9086914</v>
      </c>
      <c r="E134">
        <v>1254.2841797000001</v>
      </c>
      <c r="F134">
        <v>1214.8175048999999</v>
      </c>
      <c r="G134">
        <v>80</v>
      </c>
      <c r="H134">
        <v>79.889427185000002</v>
      </c>
      <c r="I134">
        <v>50</v>
      </c>
      <c r="J134">
        <v>14.996031760999999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8.0032789999999991</v>
      </c>
      <c r="B135" s="1">
        <f>DATE(2010,5,9) + TIME(0,4,43)</f>
        <v>40307.003275462965</v>
      </c>
      <c r="C135">
        <v>1398.1724853999999</v>
      </c>
      <c r="D135">
        <v>1383.8400879000001</v>
      </c>
      <c r="E135">
        <v>1254.2874756000001</v>
      </c>
      <c r="F135">
        <v>1214.8208007999999</v>
      </c>
      <c r="G135">
        <v>80</v>
      </c>
      <c r="H135">
        <v>79.890701293999996</v>
      </c>
      <c r="I135">
        <v>50</v>
      </c>
      <c r="J135">
        <v>14.996054649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8.1850210000000008</v>
      </c>
      <c r="B136" s="1">
        <f>DATE(2010,5,9) + TIME(4,26,25)</f>
        <v>40307.185011574074</v>
      </c>
      <c r="C136">
        <v>1398.0314940999999</v>
      </c>
      <c r="D136">
        <v>1383.7005615</v>
      </c>
      <c r="E136">
        <v>1254.2929687999999</v>
      </c>
      <c r="F136">
        <v>1214.8260498</v>
      </c>
      <c r="G136">
        <v>80</v>
      </c>
      <c r="H136">
        <v>79.891784668</v>
      </c>
      <c r="I136">
        <v>50</v>
      </c>
      <c r="J136">
        <v>14.996078491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8.3673660000000005</v>
      </c>
      <c r="B137" s="1">
        <f>DATE(2010,5,9) + TIME(8,49,0)</f>
        <v>40307.367361111108</v>
      </c>
      <c r="C137">
        <v>1397.8928223</v>
      </c>
      <c r="D137">
        <v>1383.5632324000001</v>
      </c>
      <c r="E137">
        <v>1254.2985839999999</v>
      </c>
      <c r="F137">
        <v>1214.8312988</v>
      </c>
      <c r="G137">
        <v>80</v>
      </c>
      <c r="H137">
        <v>79.892738342000001</v>
      </c>
      <c r="I137">
        <v>50</v>
      </c>
      <c r="J137">
        <v>14.996102333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8.5505809999999993</v>
      </c>
      <c r="B138" s="1">
        <f>DATE(2010,5,9) + TIME(13,12,50)</f>
        <v>40307.550578703704</v>
      </c>
      <c r="C138">
        <v>1397.7565918</v>
      </c>
      <c r="D138">
        <v>1383.4283447</v>
      </c>
      <c r="E138">
        <v>1254.3040771000001</v>
      </c>
      <c r="F138">
        <v>1214.8366699000001</v>
      </c>
      <c r="G138">
        <v>80</v>
      </c>
      <c r="H138">
        <v>79.893569946</v>
      </c>
      <c r="I138">
        <v>50</v>
      </c>
      <c r="J138">
        <v>14.996125221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8.7349709999999998</v>
      </c>
      <c r="B139" s="1">
        <f>DATE(2010,5,9) + TIME(17,38,21)</f>
        <v>40307.734965277778</v>
      </c>
      <c r="C139">
        <v>1397.6224365</v>
      </c>
      <c r="D139">
        <v>1383.2956543</v>
      </c>
      <c r="E139">
        <v>1254.3096923999999</v>
      </c>
      <c r="F139">
        <v>1214.8419189000001</v>
      </c>
      <c r="G139">
        <v>80</v>
      </c>
      <c r="H139">
        <v>79.894302367999998</v>
      </c>
      <c r="I139">
        <v>50</v>
      </c>
      <c r="J139">
        <v>14.996148109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8.9208110000000005</v>
      </c>
      <c r="B140" s="1">
        <f>DATE(2010,5,9) + TIME(22,5,58)</f>
        <v>40307.920810185184</v>
      </c>
      <c r="C140">
        <v>1397.4901123</v>
      </c>
      <c r="D140">
        <v>1383.1649170000001</v>
      </c>
      <c r="E140">
        <v>1254.3153076000001</v>
      </c>
      <c r="F140">
        <v>1214.8472899999999</v>
      </c>
      <c r="G140">
        <v>80</v>
      </c>
      <c r="H140">
        <v>79.894950867000006</v>
      </c>
      <c r="I140">
        <v>50</v>
      </c>
      <c r="J140">
        <v>14.996170998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9.1083800000000004</v>
      </c>
      <c r="B141" s="1">
        <f>DATE(2010,5,10) + TIME(2,36,3)</f>
        <v>40308.108368055553</v>
      </c>
      <c r="C141">
        <v>1397.359375</v>
      </c>
      <c r="D141">
        <v>1383.0357666</v>
      </c>
      <c r="E141">
        <v>1254.3209228999999</v>
      </c>
      <c r="F141">
        <v>1214.8526611</v>
      </c>
      <c r="G141">
        <v>80</v>
      </c>
      <c r="H141">
        <v>79.895530700999998</v>
      </c>
      <c r="I141">
        <v>50</v>
      </c>
      <c r="J141">
        <v>14.996193886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9.2979590000000005</v>
      </c>
      <c r="B142" s="1">
        <f>DATE(2010,5,10) + TIME(7,9,3)</f>
        <v>40308.297951388886</v>
      </c>
      <c r="C142">
        <v>1397.2301024999999</v>
      </c>
      <c r="D142">
        <v>1382.9080810999999</v>
      </c>
      <c r="E142">
        <v>1254.3266602000001</v>
      </c>
      <c r="F142">
        <v>1214.8581543</v>
      </c>
      <c r="G142">
        <v>80</v>
      </c>
      <c r="H142">
        <v>79.896049500000004</v>
      </c>
      <c r="I142">
        <v>50</v>
      </c>
      <c r="J142">
        <v>14.99621582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9.4898380000000007</v>
      </c>
      <c r="B143" s="1">
        <f>DATE(2010,5,10) + TIME(11,45,21)</f>
        <v>40308.48982638889</v>
      </c>
      <c r="C143">
        <v>1397.1019286999999</v>
      </c>
      <c r="D143">
        <v>1382.7816161999999</v>
      </c>
      <c r="E143">
        <v>1254.3323975000001</v>
      </c>
      <c r="F143">
        <v>1214.8636475000001</v>
      </c>
      <c r="G143">
        <v>80</v>
      </c>
      <c r="H143">
        <v>79.896514893000003</v>
      </c>
      <c r="I143">
        <v>50</v>
      </c>
      <c r="J143">
        <v>14.996238708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9.6843170000000001</v>
      </c>
      <c r="B144" s="1">
        <f>DATE(2010,5,10) + TIME(16,25,25)</f>
        <v>40308.684317129628</v>
      </c>
      <c r="C144">
        <v>1396.9746094</v>
      </c>
      <c r="D144">
        <v>1382.65625</v>
      </c>
      <c r="E144">
        <v>1254.3382568</v>
      </c>
      <c r="F144">
        <v>1214.8692627</v>
      </c>
      <c r="G144">
        <v>80</v>
      </c>
      <c r="H144">
        <v>79.896934509000005</v>
      </c>
      <c r="I144">
        <v>50</v>
      </c>
      <c r="J144">
        <v>14.996260642999999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9.88171</v>
      </c>
      <c r="B145" s="1">
        <f>DATE(2010,5,10) + TIME(21,9,39)</f>
        <v>40308.881701388891</v>
      </c>
      <c r="C145">
        <v>1396.8481445</v>
      </c>
      <c r="D145">
        <v>1382.5314940999999</v>
      </c>
      <c r="E145">
        <v>1254.3442382999999</v>
      </c>
      <c r="F145">
        <v>1214.875</v>
      </c>
      <c r="G145">
        <v>80</v>
      </c>
      <c r="H145">
        <v>79.897315978999998</v>
      </c>
      <c r="I145">
        <v>50</v>
      </c>
      <c r="J145">
        <v>14.996282578000001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10.081946</v>
      </c>
      <c r="B146" s="1">
        <f>DATE(2010,5,11) + TIME(1,58,0)</f>
        <v>40309.081944444442</v>
      </c>
      <c r="C146">
        <v>1396.722168</v>
      </c>
      <c r="D146">
        <v>1382.4074707</v>
      </c>
      <c r="E146">
        <v>1254.3502197</v>
      </c>
      <c r="F146">
        <v>1214.8807373</v>
      </c>
      <c r="G146">
        <v>80</v>
      </c>
      <c r="H146">
        <v>79.897666931000003</v>
      </c>
      <c r="I146">
        <v>50</v>
      </c>
      <c r="J146">
        <v>14.996304512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10.28514</v>
      </c>
      <c r="B147" s="1">
        <f>DATE(2010,5,11) + TIME(6,50,36)</f>
        <v>40309.285138888888</v>
      </c>
      <c r="C147">
        <v>1396.5968018000001</v>
      </c>
      <c r="D147">
        <v>1382.2841797000001</v>
      </c>
      <c r="E147">
        <v>1254.3563231999999</v>
      </c>
      <c r="F147">
        <v>1214.8865966999999</v>
      </c>
      <c r="G147">
        <v>80</v>
      </c>
      <c r="H147">
        <v>79.897987365999995</v>
      </c>
      <c r="I147">
        <v>50</v>
      </c>
      <c r="J147">
        <v>14.9963274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10.491628</v>
      </c>
      <c r="B148" s="1">
        <f>DATE(2010,5,11) + TIME(11,47,56)</f>
        <v>40309.491620370369</v>
      </c>
      <c r="C148">
        <v>1396.4719238</v>
      </c>
      <c r="D148">
        <v>1382.1613769999999</v>
      </c>
      <c r="E148">
        <v>1254.3625488</v>
      </c>
      <c r="F148">
        <v>1214.8924560999999</v>
      </c>
      <c r="G148">
        <v>80</v>
      </c>
      <c r="H148">
        <v>79.898269653</v>
      </c>
      <c r="I148">
        <v>50</v>
      </c>
      <c r="J148">
        <v>14.996349335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10.701833000000001</v>
      </c>
      <c r="B149" s="1">
        <f>DATE(2010,5,11) + TIME(16,50,38)</f>
        <v>40309.701828703706</v>
      </c>
      <c r="C149">
        <v>1396.3474120999999</v>
      </c>
      <c r="D149">
        <v>1382.0389404</v>
      </c>
      <c r="E149">
        <v>1254.3688964999999</v>
      </c>
      <c r="F149">
        <v>1214.8985596</v>
      </c>
      <c r="G149">
        <v>80</v>
      </c>
      <c r="H149">
        <v>79.898536682</v>
      </c>
      <c r="I149">
        <v>50</v>
      </c>
      <c r="J149">
        <v>14.996371269000001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10.916043999999999</v>
      </c>
      <c r="B150" s="1">
        <f>DATE(2010,5,11) + TIME(21,59,6)</f>
        <v>40309.916041666664</v>
      </c>
      <c r="C150">
        <v>1396.2230225000001</v>
      </c>
      <c r="D150">
        <v>1381.9168701000001</v>
      </c>
      <c r="E150">
        <v>1254.3752440999999</v>
      </c>
      <c r="F150">
        <v>1214.9046631000001</v>
      </c>
      <c r="G150">
        <v>80</v>
      </c>
      <c r="H150">
        <v>79.898780822999996</v>
      </c>
      <c r="I150">
        <v>50</v>
      </c>
      <c r="J150">
        <v>14.996393204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11.134655</v>
      </c>
      <c r="B151" s="1">
        <f>DATE(2010,5,12) + TIME(3,13,54)</f>
        <v>40310.134652777779</v>
      </c>
      <c r="C151">
        <v>1396.0986327999999</v>
      </c>
      <c r="D151">
        <v>1381.7947998</v>
      </c>
      <c r="E151">
        <v>1254.3818358999999</v>
      </c>
      <c r="F151">
        <v>1214.9108887</v>
      </c>
      <c r="G151">
        <v>80</v>
      </c>
      <c r="H151">
        <v>79.899009704999997</v>
      </c>
      <c r="I151">
        <v>50</v>
      </c>
      <c r="J151">
        <v>14.996415138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11.358090000000001</v>
      </c>
      <c r="B152" s="1">
        <f>DATE(2010,5,12) + TIME(8,35,38)</f>
        <v>40310.358078703706</v>
      </c>
      <c r="C152">
        <v>1395.9741211</v>
      </c>
      <c r="D152">
        <v>1381.6724853999999</v>
      </c>
      <c r="E152">
        <v>1254.3885498</v>
      </c>
      <c r="F152">
        <v>1214.9173584</v>
      </c>
      <c r="G152">
        <v>80</v>
      </c>
      <c r="H152">
        <v>79.899215698000006</v>
      </c>
      <c r="I152">
        <v>50</v>
      </c>
      <c r="J152">
        <v>14.996437072999999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11.586828000000001</v>
      </c>
      <c r="B153" s="1">
        <f>DATE(2010,5,12) + TIME(14,5,1)</f>
        <v>40310.586817129632</v>
      </c>
      <c r="C153">
        <v>1395.8491211</v>
      </c>
      <c r="D153">
        <v>1381.5500488</v>
      </c>
      <c r="E153">
        <v>1254.3953856999999</v>
      </c>
      <c r="F153">
        <v>1214.9239502</v>
      </c>
      <c r="G153">
        <v>80</v>
      </c>
      <c r="H153">
        <v>79.899406432999996</v>
      </c>
      <c r="I153">
        <v>50</v>
      </c>
      <c r="J153">
        <v>14.996459007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11.821063000000001</v>
      </c>
      <c r="B154" s="1">
        <f>DATE(2010,5,12) + TIME(19,42,19)</f>
        <v>40310.821053240739</v>
      </c>
      <c r="C154">
        <v>1395.7236327999999</v>
      </c>
      <c r="D154">
        <v>1381.4270019999999</v>
      </c>
      <c r="E154">
        <v>1254.4024658000001</v>
      </c>
      <c r="F154">
        <v>1214.9305420000001</v>
      </c>
      <c r="G154">
        <v>80</v>
      </c>
      <c r="H154">
        <v>79.899589539000004</v>
      </c>
      <c r="I154">
        <v>50</v>
      </c>
      <c r="J154">
        <v>14.996481895000001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12.060912</v>
      </c>
      <c r="B155" s="1">
        <f>DATE(2010,5,13) + TIME(1,27,42)</f>
        <v>40311.060902777775</v>
      </c>
      <c r="C155">
        <v>1395.5975341999999</v>
      </c>
      <c r="D155">
        <v>1381.3035889</v>
      </c>
      <c r="E155">
        <v>1254.409668</v>
      </c>
      <c r="F155">
        <v>1214.9375</v>
      </c>
      <c r="G155">
        <v>80</v>
      </c>
      <c r="H155">
        <v>79.899749756000006</v>
      </c>
      <c r="I155">
        <v>50</v>
      </c>
      <c r="J155">
        <v>14.99650383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12.306533</v>
      </c>
      <c r="B156" s="1">
        <f>DATE(2010,5,13) + TIME(7,21,24)</f>
        <v>40311.306527777779</v>
      </c>
      <c r="C156">
        <v>1395.4707031</v>
      </c>
      <c r="D156">
        <v>1381.1795654</v>
      </c>
      <c r="E156">
        <v>1254.4169922000001</v>
      </c>
      <c r="F156">
        <v>1214.9445800999999</v>
      </c>
      <c r="G156">
        <v>80</v>
      </c>
      <c r="H156">
        <v>79.899902343999997</v>
      </c>
      <c r="I156">
        <v>50</v>
      </c>
      <c r="J156">
        <v>14.996526718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12.557788</v>
      </c>
      <c r="B157" s="1">
        <f>DATE(2010,5,13) + TIME(13,23,12)</f>
        <v>40311.55777777778</v>
      </c>
      <c r="C157">
        <v>1395.3433838000001</v>
      </c>
      <c r="D157">
        <v>1381.0550536999999</v>
      </c>
      <c r="E157">
        <v>1254.4245605000001</v>
      </c>
      <c r="F157">
        <v>1214.9517822</v>
      </c>
      <c r="G157">
        <v>80</v>
      </c>
      <c r="H157">
        <v>79.900047302000004</v>
      </c>
      <c r="I157">
        <v>50</v>
      </c>
      <c r="J157">
        <v>14.996549606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12.809144</v>
      </c>
      <c r="B158" s="1">
        <f>DATE(2010,5,13) + TIME(19,25,10)</f>
        <v>40311.80914351852</v>
      </c>
      <c r="C158">
        <v>1395.2155762</v>
      </c>
      <c r="D158">
        <v>1380.9301757999999</v>
      </c>
      <c r="E158">
        <v>1254.432251</v>
      </c>
      <c r="F158">
        <v>1214.9591064000001</v>
      </c>
      <c r="G158">
        <v>80</v>
      </c>
      <c r="H158">
        <v>79.900177002000007</v>
      </c>
      <c r="I158">
        <v>50</v>
      </c>
      <c r="J158">
        <v>14.996571541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13.060973000000001</v>
      </c>
      <c r="B159" s="1">
        <f>DATE(2010,5,14) + TIME(1,27,48)</f>
        <v>40312.060972222222</v>
      </c>
      <c r="C159">
        <v>1395.0900879000001</v>
      </c>
      <c r="D159">
        <v>1380.8076172000001</v>
      </c>
      <c r="E159">
        <v>1254.4399414</v>
      </c>
      <c r="F159">
        <v>1214.9664307</v>
      </c>
      <c r="G159">
        <v>80</v>
      </c>
      <c r="H159">
        <v>79.900291443</v>
      </c>
      <c r="I159">
        <v>50</v>
      </c>
      <c r="J159">
        <v>14.996593474999999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13.313701999999999</v>
      </c>
      <c r="B160" s="1">
        <f>DATE(2010,5,14) + TIME(7,31,43)</f>
        <v>40312.313692129632</v>
      </c>
      <c r="C160">
        <v>1394.9666748</v>
      </c>
      <c r="D160">
        <v>1380.6871338000001</v>
      </c>
      <c r="E160">
        <v>1254.4477539</v>
      </c>
      <c r="F160">
        <v>1214.9738769999999</v>
      </c>
      <c r="G160">
        <v>80</v>
      </c>
      <c r="H160">
        <v>79.900405883999994</v>
      </c>
      <c r="I160">
        <v>50</v>
      </c>
      <c r="J160">
        <v>14.99661541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13.567747000000001</v>
      </c>
      <c r="B161" s="1">
        <f>DATE(2010,5,14) + TIME(13,37,33)</f>
        <v>40312.567743055559</v>
      </c>
      <c r="C161">
        <v>1394.8450928</v>
      </c>
      <c r="D161">
        <v>1380.5686035000001</v>
      </c>
      <c r="E161">
        <v>1254.4555664</v>
      </c>
      <c r="F161">
        <v>1214.9813231999999</v>
      </c>
      <c r="G161">
        <v>80</v>
      </c>
      <c r="H161">
        <v>79.900505065999994</v>
      </c>
      <c r="I161">
        <v>50</v>
      </c>
      <c r="J161">
        <v>14.996637344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13.823506999999999</v>
      </c>
      <c r="B162" s="1">
        <f>DATE(2010,5,14) + TIME(19,45,51)</f>
        <v>40312.823506944442</v>
      </c>
      <c r="C162">
        <v>1394.7250977000001</v>
      </c>
      <c r="D162">
        <v>1380.4516602000001</v>
      </c>
      <c r="E162">
        <v>1254.4633789</v>
      </c>
      <c r="F162">
        <v>1214.9888916</v>
      </c>
      <c r="G162">
        <v>80</v>
      </c>
      <c r="H162">
        <v>79.900596618999998</v>
      </c>
      <c r="I162">
        <v>50</v>
      </c>
      <c r="J162">
        <v>14.996659278999999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14.081382</v>
      </c>
      <c r="B163" s="1">
        <f>DATE(2010,5,15) + TIME(1,57,11)</f>
        <v>40313.081377314818</v>
      </c>
      <c r="C163">
        <v>1394.6064452999999</v>
      </c>
      <c r="D163">
        <v>1380.3359375</v>
      </c>
      <c r="E163">
        <v>1254.4713135</v>
      </c>
      <c r="F163">
        <v>1214.9963379000001</v>
      </c>
      <c r="G163">
        <v>80</v>
      </c>
      <c r="H163">
        <v>79.900680542000003</v>
      </c>
      <c r="I163">
        <v>50</v>
      </c>
      <c r="J163">
        <v>14.99668026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14.341777</v>
      </c>
      <c r="B164" s="1">
        <f>DATE(2010,5,15) + TIME(8,12,9)</f>
        <v>40313.341770833336</v>
      </c>
      <c r="C164">
        <v>1394.4888916</v>
      </c>
      <c r="D164">
        <v>1380.2215576000001</v>
      </c>
      <c r="E164">
        <v>1254.4793701000001</v>
      </c>
      <c r="F164">
        <v>1215.0040283000001</v>
      </c>
      <c r="G164">
        <v>80</v>
      </c>
      <c r="H164">
        <v>79.900756835999999</v>
      </c>
      <c r="I164">
        <v>50</v>
      </c>
      <c r="J164">
        <v>14.996701241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14.605107</v>
      </c>
      <c r="B165" s="1">
        <f>DATE(2010,5,15) + TIME(14,31,21)</f>
        <v>40313.605104166665</v>
      </c>
      <c r="C165">
        <v>1394.3721923999999</v>
      </c>
      <c r="D165">
        <v>1380.1080322</v>
      </c>
      <c r="E165">
        <v>1254.4874268000001</v>
      </c>
      <c r="F165">
        <v>1215.0117187999999</v>
      </c>
      <c r="G165">
        <v>80</v>
      </c>
      <c r="H165">
        <v>79.900833129999995</v>
      </c>
      <c r="I165">
        <v>50</v>
      </c>
      <c r="J165">
        <v>14.996722221000001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14.870926000000001</v>
      </c>
      <c r="B166" s="1">
        <f>DATE(2010,5,15) + TIME(20,54,8)</f>
        <v>40313.870925925927</v>
      </c>
      <c r="C166">
        <v>1394.2563477000001</v>
      </c>
      <c r="D166">
        <v>1379.9952393000001</v>
      </c>
      <c r="E166">
        <v>1254.4957274999999</v>
      </c>
      <c r="F166">
        <v>1215.0195312000001</v>
      </c>
      <c r="G166">
        <v>80</v>
      </c>
      <c r="H166">
        <v>79.900901794000006</v>
      </c>
      <c r="I166">
        <v>50</v>
      </c>
      <c r="J166">
        <v>14.996743201999999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15.139483999999999</v>
      </c>
      <c r="B167" s="1">
        <f>DATE(2010,5,16) + TIME(3,20,51)</f>
        <v>40314.139479166668</v>
      </c>
      <c r="C167">
        <v>1394.1412353999999</v>
      </c>
      <c r="D167">
        <v>1379.8834228999999</v>
      </c>
      <c r="E167">
        <v>1254.5040283000001</v>
      </c>
      <c r="F167">
        <v>1215.0274658000001</v>
      </c>
      <c r="G167">
        <v>80</v>
      </c>
      <c r="H167">
        <v>79.900970459000007</v>
      </c>
      <c r="I167">
        <v>50</v>
      </c>
      <c r="J167">
        <v>14.996764183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15.411184</v>
      </c>
      <c r="B168" s="1">
        <f>DATE(2010,5,16) + TIME(9,52,6)</f>
        <v>40314.411180555559</v>
      </c>
      <c r="C168">
        <v>1394.0269774999999</v>
      </c>
      <c r="D168">
        <v>1379.7724608999999</v>
      </c>
      <c r="E168">
        <v>1254.5123291</v>
      </c>
      <c r="F168">
        <v>1215.0355225000001</v>
      </c>
      <c r="G168">
        <v>80</v>
      </c>
      <c r="H168">
        <v>79.901031493999994</v>
      </c>
      <c r="I168">
        <v>50</v>
      </c>
      <c r="J168">
        <v>14.99678421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15.686442</v>
      </c>
      <c r="B169" s="1">
        <f>DATE(2010,5,16) + TIME(16,28,28)</f>
        <v>40314.686435185184</v>
      </c>
      <c r="C169">
        <v>1393.9132079999999</v>
      </c>
      <c r="D169">
        <v>1379.6621094</v>
      </c>
      <c r="E169">
        <v>1254.520874</v>
      </c>
      <c r="F169">
        <v>1215.0435791</v>
      </c>
      <c r="G169">
        <v>80</v>
      </c>
      <c r="H169">
        <v>79.901084900000001</v>
      </c>
      <c r="I169">
        <v>50</v>
      </c>
      <c r="J169">
        <v>14.996805191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15.965719999999999</v>
      </c>
      <c r="B170" s="1">
        <f>DATE(2010,5,16) + TIME(23,10,38)</f>
        <v>40314.965717592589</v>
      </c>
      <c r="C170">
        <v>1393.7999268000001</v>
      </c>
      <c r="D170">
        <v>1379.552124</v>
      </c>
      <c r="E170">
        <v>1254.5294189000001</v>
      </c>
      <c r="F170">
        <v>1215.0517577999999</v>
      </c>
      <c r="G170">
        <v>80</v>
      </c>
      <c r="H170">
        <v>79.901145935000002</v>
      </c>
      <c r="I170">
        <v>50</v>
      </c>
      <c r="J170">
        <v>14.996826172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16.249563999999999</v>
      </c>
      <c r="B171" s="1">
        <f>DATE(2010,5,17) + TIME(5,59,22)</f>
        <v>40315.249560185184</v>
      </c>
      <c r="C171">
        <v>1393.6870117000001</v>
      </c>
      <c r="D171">
        <v>1379.4426269999999</v>
      </c>
      <c r="E171">
        <v>1254.5382079999999</v>
      </c>
      <c r="F171">
        <v>1215.0600586</v>
      </c>
      <c r="G171">
        <v>80</v>
      </c>
      <c r="H171">
        <v>79.901199340999995</v>
      </c>
      <c r="I171">
        <v>50</v>
      </c>
      <c r="J171">
        <v>14.996846199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16.53837</v>
      </c>
      <c r="B172" s="1">
        <f>DATE(2010,5,17) + TIME(12,55,15)</f>
        <v>40315.538368055553</v>
      </c>
      <c r="C172">
        <v>1393.5739745999999</v>
      </c>
      <c r="D172">
        <v>1379.3331298999999</v>
      </c>
      <c r="E172">
        <v>1254.5471190999999</v>
      </c>
      <c r="F172">
        <v>1215.0686035000001</v>
      </c>
      <c r="G172">
        <v>80</v>
      </c>
      <c r="H172">
        <v>79.901245117000002</v>
      </c>
      <c r="I172">
        <v>50</v>
      </c>
      <c r="J172">
        <v>14.996867180000001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16.832647000000001</v>
      </c>
      <c r="B173" s="1">
        <f>DATE(2010,5,17) + TIME(19,59,0)</f>
        <v>40315.832638888889</v>
      </c>
      <c r="C173">
        <v>1393.4610596</v>
      </c>
      <c r="D173">
        <v>1379.2237548999999</v>
      </c>
      <c r="E173">
        <v>1254.5561522999999</v>
      </c>
      <c r="F173">
        <v>1215.0771483999999</v>
      </c>
      <c r="G173">
        <v>80</v>
      </c>
      <c r="H173">
        <v>79.901298522999994</v>
      </c>
      <c r="I173">
        <v>50</v>
      </c>
      <c r="J173">
        <v>14.996887207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17.132988000000001</v>
      </c>
      <c r="B174" s="1">
        <f>DATE(2010,5,18) + TIME(3,11,30)</f>
        <v>40316.132986111108</v>
      </c>
      <c r="C174">
        <v>1393.3477783000001</v>
      </c>
      <c r="D174">
        <v>1379.1141356999999</v>
      </c>
      <c r="E174">
        <v>1254.5654297000001</v>
      </c>
      <c r="F174">
        <v>1215.0860596</v>
      </c>
      <c r="G174">
        <v>80</v>
      </c>
      <c r="H174">
        <v>79.901344299000002</v>
      </c>
      <c r="I174">
        <v>50</v>
      </c>
      <c r="J174">
        <v>14.996908188000001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17.439871</v>
      </c>
      <c r="B175" s="1">
        <f>DATE(2010,5,18) + TIME(10,33,24)</f>
        <v>40316.43986111111</v>
      </c>
      <c r="C175">
        <v>1393.2341309000001</v>
      </c>
      <c r="D175">
        <v>1379.0041504000001</v>
      </c>
      <c r="E175">
        <v>1254.5749512</v>
      </c>
      <c r="F175">
        <v>1215.0950928</v>
      </c>
      <c r="G175">
        <v>80</v>
      </c>
      <c r="H175">
        <v>79.901390075999998</v>
      </c>
      <c r="I175">
        <v>50</v>
      </c>
      <c r="J175">
        <v>14.996929169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17.753236000000001</v>
      </c>
      <c r="B176" s="1">
        <f>DATE(2010,5,18) + TIME(18,4,39)</f>
        <v>40316.753229166665</v>
      </c>
      <c r="C176">
        <v>1393.1199951000001</v>
      </c>
      <c r="D176">
        <v>1378.8937988</v>
      </c>
      <c r="E176">
        <v>1254.5847168</v>
      </c>
      <c r="F176">
        <v>1215.1043701000001</v>
      </c>
      <c r="G176">
        <v>80</v>
      </c>
      <c r="H176">
        <v>79.901435852000006</v>
      </c>
      <c r="I176">
        <v>50</v>
      </c>
      <c r="J176">
        <v>14.99695015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18.073087999999998</v>
      </c>
      <c r="B177" s="1">
        <f>DATE(2010,5,19) + TIME(1,45,14)</f>
        <v>40317.073078703703</v>
      </c>
      <c r="C177">
        <v>1393.0053711</v>
      </c>
      <c r="D177">
        <v>1378.7829589999999</v>
      </c>
      <c r="E177">
        <v>1254.5947266000001</v>
      </c>
      <c r="F177">
        <v>1215.1137695</v>
      </c>
      <c r="G177">
        <v>80</v>
      </c>
      <c r="H177">
        <v>79.901481627999999</v>
      </c>
      <c r="I177">
        <v>50</v>
      </c>
      <c r="J177">
        <v>14.99697113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18.394538000000001</v>
      </c>
      <c r="B178" s="1">
        <f>DATE(2010,5,19) + TIME(9,28,8)</f>
        <v>40317.394537037035</v>
      </c>
      <c r="C178">
        <v>1392.8902588000001</v>
      </c>
      <c r="D178">
        <v>1378.671875</v>
      </c>
      <c r="E178">
        <v>1254.6048584</v>
      </c>
      <c r="F178">
        <v>1215.1235352000001</v>
      </c>
      <c r="G178">
        <v>80</v>
      </c>
      <c r="H178">
        <v>79.901527404999996</v>
      </c>
      <c r="I178">
        <v>50</v>
      </c>
      <c r="J178">
        <v>14.996992111000001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18.716588000000002</v>
      </c>
      <c r="B179" s="1">
        <f>DATE(2010,5,19) + TIME(17,11,53)</f>
        <v>40317.716585648152</v>
      </c>
      <c r="C179">
        <v>1392.7766113</v>
      </c>
      <c r="D179">
        <v>1378.5621338000001</v>
      </c>
      <c r="E179">
        <v>1254.6151123</v>
      </c>
      <c r="F179">
        <v>1215.1333007999999</v>
      </c>
      <c r="G179">
        <v>80</v>
      </c>
      <c r="H179">
        <v>79.901565551999994</v>
      </c>
      <c r="I179">
        <v>50</v>
      </c>
      <c r="J179">
        <v>14.997013092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19.039821</v>
      </c>
      <c r="B180" s="1">
        <f>DATE(2010,5,20) + TIME(0,57,20)</f>
        <v>40318.039814814816</v>
      </c>
      <c r="C180">
        <v>1392.6644286999999</v>
      </c>
      <c r="D180">
        <v>1378.4539795000001</v>
      </c>
      <c r="E180">
        <v>1254.6253661999999</v>
      </c>
      <c r="F180">
        <v>1215.1430664</v>
      </c>
      <c r="G180">
        <v>80</v>
      </c>
      <c r="H180">
        <v>79.901603699000006</v>
      </c>
      <c r="I180">
        <v>50</v>
      </c>
      <c r="J180">
        <v>14.997033118999999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19.36476</v>
      </c>
      <c r="B181" s="1">
        <f>DATE(2010,5,20) + TIME(8,45,15)</f>
        <v>40318.364756944444</v>
      </c>
      <c r="C181">
        <v>1392.5538329999999</v>
      </c>
      <c r="D181">
        <v>1378.347168</v>
      </c>
      <c r="E181">
        <v>1254.6357422000001</v>
      </c>
      <c r="F181">
        <v>1215.152832</v>
      </c>
      <c r="G181">
        <v>80</v>
      </c>
      <c r="H181">
        <v>79.901649474999999</v>
      </c>
      <c r="I181">
        <v>50</v>
      </c>
      <c r="J181">
        <v>14.997053146000001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19.691929999999999</v>
      </c>
      <c r="B182" s="1">
        <f>DATE(2010,5,20) + TIME(16,36,22)</f>
        <v>40318.691921296297</v>
      </c>
      <c r="C182">
        <v>1392.4443358999999</v>
      </c>
      <c r="D182">
        <v>1378.2416992000001</v>
      </c>
      <c r="E182">
        <v>1254.6462402</v>
      </c>
      <c r="F182">
        <v>1215.1627197</v>
      </c>
      <c r="G182">
        <v>80</v>
      </c>
      <c r="H182">
        <v>79.901687621999997</v>
      </c>
      <c r="I182">
        <v>50</v>
      </c>
      <c r="J182">
        <v>14.997073174000001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20.021809999999999</v>
      </c>
      <c r="B183" s="1">
        <f>DATE(2010,5,21) + TIME(0,31,24)</f>
        <v>40319.021805555552</v>
      </c>
      <c r="C183">
        <v>1392.3358154</v>
      </c>
      <c r="D183">
        <v>1378.137207</v>
      </c>
      <c r="E183">
        <v>1254.6567382999999</v>
      </c>
      <c r="F183">
        <v>1215.1727295000001</v>
      </c>
      <c r="G183">
        <v>80</v>
      </c>
      <c r="H183">
        <v>79.901725768999995</v>
      </c>
      <c r="I183">
        <v>50</v>
      </c>
      <c r="J183">
        <v>14.997094153999999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20.353431</v>
      </c>
      <c r="B184" s="1">
        <f>DATE(2010,5,21) + TIME(8,28,56)</f>
        <v>40319.353425925925</v>
      </c>
      <c r="C184">
        <v>1392.2281493999999</v>
      </c>
      <c r="D184">
        <v>1378.0334473</v>
      </c>
      <c r="E184">
        <v>1254.6673584</v>
      </c>
      <c r="F184">
        <v>1215.1828613</v>
      </c>
      <c r="G184">
        <v>80</v>
      </c>
      <c r="H184">
        <v>79.901763915999993</v>
      </c>
      <c r="I184">
        <v>50</v>
      </c>
      <c r="J184">
        <v>14.997113228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20.687290000000001</v>
      </c>
      <c r="B185" s="1">
        <f>DATE(2010,5,21) + TIME(16,29,41)</f>
        <v>40319.687280092592</v>
      </c>
      <c r="C185">
        <v>1392.121582</v>
      </c>
      <c r="D185">
        <v>1377.9309082</v>
      </c>
      <c r="E185">
        <v>1254.6781006000001</v>
      </c>
      <c r="F185">
        <v>1215.1931152</v>
      </c>
      <c r="G185">
        <v>80</v>
      </c>
      <c r="H185">
        <v>79.901802063000005</v>
      </c>
      <c r="I185">
        <v>50</v>
      </c>
      <c r="J185">
        <v>14.997133255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21.023879000000001</v>
      </c>
      <c r="B186" s="1">
        <f>DATE(2010,5,22) + TIME(0,34,23)</f>
        <v>40320.023877314816</v>
      </c>
      <c r="C186">
        <v>1392.0158690999999</v>
      </c>
      <c r="D186">
        <v>1377.8293457</v>
      </c>
      <c r="E186">
        <v>1254.6889647999999</v>
      </c>
      <c r="F186">
        <v>1215.2033690999999</v>
      </c>
      <c r="G186">
        <v>80</v>
      </c>
      <c r="H186">
        <v>79.901832580999994</v>
      </c>
      <c r="I186">
        <v>50</v>
      </c>
      <c r="J186">
        <v>14.997153281999999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21.363700999999999</v>
      </c>
      <c r="B187" s="1">
        <f>DATE(2010,5,22) + TIME(8,43,43)</f>
        <v>40320.363692129627</v>
      </c>
      <c r="C187">
        <v>1391.9110106999999</v>
      </c>
      <c r="D187">
        <v>1377.7285156</v>
      </c>
      <c r="E187">
        <v>1254.6999512</v>
      </c>
      <c r="F187">
        <v>1215.2138672000001</v>
      </c>
      <c r="G187">
        <v>80</v>
      </c>
      <c r="H187">
        <v>79.901870728000006</v>
      </c>
      <c r="I187">
        <v>50</v>
      </c>
      <c r="J187">
        <v>14.997172356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21.707274000000002</v>
      </c>
      <c r="B188" s="1">
        <f>DATE(2010,5,22) + TIME(16,58,28)</f>
        <v>40320.707268518519</v>
      </c>
      <c r="C188">
        <v>1391.8067627</v>
      </c>
      <c r="D188">
        <v>1377.628418</v>
      </c>
      <c r="E188">
        <v>1254.7111815999999</v>
      </c>
      <c r="F188">
        <v>1215.2243652</v>
      </c>
      <c r="G188">
        <v>80</v>
      </c>
      <c r="H188">
        <v>79.901908875000004</v>
      </c>
      <c r="I188">
        <v>50</v>
      </c>
      <c r="J188">
        <v>14.997192383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22.055137999999999</v>
      </c>
      <c r="B189" s="1">
        <f>DATE(2010,5,23) + TIME(1,19,23)</f>
        <v>40321.055127314816</v>
      </c>
      <c r="C189">
        <v>1391.7030029</v>
      </c>
      <c r="D189">
        <v>1377.5286865</v>
      </c>
      <c r="E189">
        <v>1254.7224120999999</v>
      </c>
      <c r="F189">
        <v>1215.2351074000001</v>
      </c>
      <c r="G189">
        <v>80</v>
      </c>
      <c r="H189">
        <v>79.901947020999998</v>
      </c>
      <c r="I189">
        <v>50</v>
      </c>
      <c r="J189">
        <v>14.997211456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22.407955000000001</v>
      </c>
      <c r="B190" s="1">
        <f>DATE(2010,5,23) + TIME(9,47,27)</f>
        <v>40321.407951388886</v>
      </c>
      <c r="C190">
        <v>1391.5994873</v>
      </c>
      <c r="D190">
        <v>1377.4293213000001</v>
      </c>
      <c r="E190">
        <v>1254.7338867000001</v>
      </c>
      <c r="F190">
        <v>1215.2459716999999</v>
      </c>
      <c r="G190">
        <v>80</v>
      </c>
      <c r="H190">
        <v>79.901985167999996</v>
      </c>
      <c r="I190">
        <v>50</v>
      </c>
      <c r="J190">
        <v>14.99723053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22.766283000000001</v>
      </c>
      <c r="B191" s="1">
        <f>DATE(2010,5,23) + TIME(18,23,26)</f>
        <v>40321.766273148147</v>
      </c>
      <c r="C191">
        <v>1391.4959716999999</v>
      </c>
      <c r="D191">
        <v>1377.3300781</v>
      </c>
      <c r="E191">
        <v>1254.7456055</v>
      </c>
      <c r="F191">
        <v>1215.2570800999999</v>
      </c>
      <c r="G191">
        <v>80</v>
      </c>
      <c r="H191">
        <v>79.902023314999994</v>
      </c>
      <c r="I191">
        <v>50</v>
      </c>
      <c r="J191">
        <v>14.997250556999999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23.130685</v>
      </c>
      <c r="B192" s="1">
        <f>DATE(2010,5,24) + TIME(3,8,11)</f>
        <v>40322.130682870367</v>
      </c>
      <c r="C192">
        <v>1391.3925781</v>
      </c>
      <c r="D192">
        <v>1377.2308350000001</v>
      </c>
      <c r="E192">
        <v>1254.7575684000001</v>
      </c>
      <c r="F192">
        <v>1215.2684326000001</v>
      </c>
      <c r="G192">
        <v>80</v>
      </c>
      <c r="H192">
        <v>79.902061462000006</v>
      </c>
      <c r="I192">
        <v>50</v>
      </c>
      <c r="J192">
        <v>14.99726963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23.501860000000001</v>
      </c>
      <c r="B193" s="1">
        <f>DATE(2010,5,24) + TIME(12,2,40)</f>
        <v>40322.501851851855</v>
      </c>
      <c r="C193">
        <v>1391.2888184000001</v>
      </c>
      <c r="D193">
        <v>1377.1314697</v>
      </c>
      <c r="E193">
        <v>1254.7697754000001</v>
      </c>
      <c r="F193">
        <v>1215.2799072</v>
      </c>
      <c r="G193">
        <v>80</v>
      </c>
      <c r="H193">
        <v>79.902099609000004</v>
      </c>
      <c r="I193">
        <v>50</v>
      </c>
      <c r="J193">
        <v>14.997289658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23.880548999999998</v>
      </c>
      <c r="B194" s="1">
        <f>DATE(2010,5,24) + TIME(21,7,59)</f>
        <v>40322.880543981482</v>
      </c>
      <c r="C194">
        <v>1391.1848144999999</v>
      </c>
      <c r="D194">
        <v>1377.0318603999999</v>
      </c>
      <c r="E194">
        <v>1254.7822266000001</v>
      </c>
      <c r="F194">
        <v>1215.2917480000001</v>
      </c>
      <c r="G194">
        <v>80</v>
      </c>
      <c r="H194">
        <v>79.902145386000001</v>
      </c>
      <c r="I194">
        <v>50</v>
      </c>
      <c r="J194">
        <v>14.997308731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24.266414000000001</v>
      </c>
      <c r="B195" s="1">
        <f>DATE(2010,5,25) + TIME(6,23,38)</f>
        <v>40323.266412037039</v>
      </c>
      <c r="C195">
        <v>1391.0803223</v>
      </c>
      <c r="D195">
        <v>1376.9316406</v>
      </c>
      <c r="E195">
        <v>1254.7949219</v>
      </c>
      <c r="F195">
        <v>1215.3038329999999</v>
      </c>
      <c r="G195">
        <v>80</v>
      </c>
      <c r="H195">
        <v>79.902183532999999</v>
      </c>
      <c r="I195">
        <v>50</v>
      </c>
      <c r="J195">
        <v>14.997328758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24.659479999999999</v>
      </c>
      <c r="B196" s="1">
        <f>DATE(2010,5,25) + TIME(15,49,39)</f>
        <v>40323.659479166665</v>
      </c>
      <c r="C196">
        <v>1390.9753418</v>
      </c>
      <c r="D196">
        <v>1376.8312988</v>
      </c>
      <c r="E196">
        <v>1254.8079834</v>
      </c>
      <c r="F196">
        <v>1215.3161620999999</v>
      </c>
      <c r="G196">
        <v>80</v>
      </c>
      <c r="H196">
        <v>79.902221679999997</v>
      </c>
      <c r="I196">
        <v>50</v>
      </c>
      <c r="J196">
        <v>14.997348785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25.056505999999999</v>
      </c>
      <c r="B197" s="1">
        <f>DATE(2010,5,26) + TIME(1,21,22)</f>
        <v>40324.056504629632</v>
      </c>
      <c r="C197">
        <v>1390.8701172000001</v>
      </c>
      <c r="D197">
        <v>1376.7304687999999</v>
      </c>
      <c r="E197">
        <v>1254.8212891000001</v>
      </c>
      <c r="F197">
        <v>1215.3287353999999</v>
      </c>
      <c r="G197">
        <v>80</v>
      </c>
      <c r="H197">
        <v>79.902267456000004</v>
      </c>
      <c r="I197">
        <v>50</v>
      </c>
      <c r="J197">
        <v>14.997368813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25.454749</v>
      </c>
      <c r="B198" s="1">
        <f>DATE(2010,5,26) + TIME(10,54,50)</f>
        <v>40324.454745370371</v>
      </c>
      <c r="C198">
        <v>1390.7652588000001</v>
      </c>
      <c r="D198">
        <v>1376.630249</v>
      </c>
      <c r="E198">
        <v>1254.8348389</v>
      </c>
      <c r="F198">
        <v>1215.3415527</v>
      </c>
      <c r="G198">
        <v>80</v>
      </c>
      <c r="H198">
        <v>79.902305603000002</v>
      </c>
      <c r="I198">
        <v>50</v>
      </c>
      <c r="J198">
        <v>14.997387886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25.854896</v>
      </c>
      <c r="B199" s="1">
        <f>DATE(2010,5,26) + TIME(20,31,2)</f>
        <v>40324.854884259257</v>
      </c>
      <c r="C199">
        <v>1390.6617432</v>
      </c>
      <c r="D199">
        <v>1376.53125</v>
      </c>
      <c r="E199">
        <v>1254.8483887</v>
      </c>
      <c r="F199">
        <v>1215.3543701000001</v>
      </c>
      <c r="G199">
        <v>80</v>
      </c>
      <c r="H199">
        <v>79.902351378999995</v>
      </c>
      <c r="I199">
        <v>50</v>
      </c>
      <c r="J199">
        <v>14.997407913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26.256429000000001</v>
      </c>
      <c r="B200" s="1">
        <f>DATE(2010,5,27) + TIME(6,9,15)</f>
        <v>40325.256423611114</v>
      </c>
      <c r="C200">
        <v>1390.5592041</v>
      </c>
      <c r="D200">
        <v>1376.4333495999999</v>
      </c>
      <c r="E200">
        <v>1254.8621826000001</v>
      </c>
      <c r="F200">
        <v>1215.3674315999999</v>
      </c>
      <c r="G200">
        <v>80</v>
      </c>
      <c r="H200">
        <v>79.902389525999993</v>
      </c>
      <c r="I200">
        <v>50</v>
      </c>
      <c r="J200">
        <v>14.99742794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26.658988000000001</v>
      </c>
      <c r="B201" s="1">
        <f>DATE(2010,5,27) + TIME(15,48,56)</f>
        <v>40325.65898148148</v>
      </c>
      <c r="C201">
        <v>1390.4577637</v>
      </c>
      <c r="D201">
        <v>1376.3365478999999</v>
      </c>
      <c r="E201">
        <v>1254.8760986</v>
      </c>
      <c r="F201">
        <v>1215.3804932</v>
      </c>
      <c r="G201">
        <v>80</v>
      </c>
      <c r="H201">
        <v>79.902435303000004</v>
      </c>
      <c r="I201">
        <v>50</v>
      </c>
      <c r="J201">
        <v>14.997447014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27.063179000000002</v>
      </c>
      <c r="B202" s="1">
        <f>DATE(2010,5,28) + TIME(1,30,58)</f>
        <v>40326.063171296293</v>
      </c>
      <c r="C202">
        <v>1390.3576660000001</v>
      </c>
      <c r="D202">
        <v>1376.2408447</v>
      </c>
      <c r="E202">
        <v>1254.8900146000001</v>
      </c>
      <c r="F202">
        <v>1215.3936768000001</v>
      </c>
      <c r="G202">
        <v>80</v>
      </c>
      <c r="H202">
        <v>79.902473450000002</v>
      </c>
      <c r="I202">
        <v>50</v>
      </c>
      <c r="J202">
        <v>14.997466086999999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27.469608999999998</v>
      </c>
      <c r="B203" s="1">
        <f>DATE(2010,5,28) + TIME(11,16,14)</f>
        <v>40326.469606481478</v>
      </c>
      <c r="C203">
        <v>1390.2584228999999</v>
      </c>
      <c r="D203">
        <v>1376.1462402</v>
      </c>
      <c r="E203">
        <v>1254.9040527</v>
      </c>
      <c r="F203">
        <v>1215.4069824000001</v>
      </c>
      <c r="G203">
        <v>80</v>
      </c>
      <c r="H203">
        <v>79.902519225999995</v>
      </c>
      <c r="I203">
        <v>50</v>
      </c>
      <c r="J203">
        <v>14.997485161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27.878883999999999</v>
      </c>
      <c r="B204" s="1">
        <f>DATE(2010,5,28) + TIME(21,5,35)</f>
        <v>40326.878877314812</v>
      </c>
      <c r="C204">
        <v>1390.1601562000001</v>
      </c>
      <c r="D204">
        <v>1376.0524902</v>
      </c>
      <c r="E204">
        <v>1254.9183350000001</v>
      </c>
      <c r="F204">
        <v>1215.4204102000001</v>
      </c>
      <c r="G204">
        <v>80</v>
      </c>
      <c r="H204">
        <v>79.902557372999993</v>
      </c>
      <c r="I204">
        <v>50</v>
      </c>
      <c r="J204">
        <v>14.997504234000001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28.291620999999999</v>
      </c>
      <c r="B205" s="1">
        <f>DATE(2010,5,29) + TIME(6,59,56)</f>
        <v>40327.291620370372</v>
      </c>
      <c r="C205">
        <v>1390.0625</v>
      </c>
      <c r="D205">
        <v>1375.9593506000001</v>
      </c>
      <c r="E205">
        <v>1254.9327393000001</v>
      </c>
      <c r="F205">
        <v>1215.4339600000001</v>
      </c>
      <c r="G205">
        <v>80</v>
      </c>
      <c r="H205">
        <v>79.902603149000001</v>
      </c>
      <c r="I205">
        <v>50</v>
      </c>
      <c r="J205">
        <v>14.997523308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28.708449999999999</v>
      </c>
      <c r="B206" s="1">
        <f>DATE(2010,5,29) + TIME(17,0,10)</f>
        <v>40327.708449074074</v>
      </c>
      <c r="C206">
        <v>1389.9654541</v>
      </c>
      <c r="D206">
        <v>1375.8668213000001</v>
      </c>
      <c r="E206">
        <v>1254.9472656</v>
      </c>
      <c r="F206">
        <v>1215.4477539</v>
      </c>
      <c r="G206">
        <v>80</v>
      </c>
      <c r="H206">
        <v>79.902648925999998</v>
      </c>
      <c r="I206">
        <v>50</v>
      </c>
      <c r="J206">
        <v>14.997541428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29.130025</v>
      </c>
      <c r="B207" s="1">
        <f>DATE(2010,5,30) + TIME(3,7,14)</f>
        <v>40328.130023148151</v>
      </c>
      <c r="C207">
        <v>1389.8687743999999</v>
      </c>
      <c r="D207">
        <v>1375.7747803</v>
      </c>
      <c r="E207">
        <v>1254.9621582</v>
      </c>
      <c r="F207">
        <v>1215.4616699000001</v>
      </c>
      <c r="G207">
        <v>80</v>
      </c>
      <c r="H207">
        <v>79.902687072999996</v>
      </c>
      <c r="I207">
        <v>50</v>
      </c>
      <c r="J207">
        <v>14.997560501000001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29.557095</v>
      </c>
      <c r="B208" s="1">
        <f>DATE(2010,5,30) + TIME(13,22,12)</f>
        <v>40328.557083333333</v>
      </c>
      <c r="C208">
        <v>1389.7722168</v>
      </c>
      <c r="D208">
        <v>1375.6828613</v>
      </c>
      <c r="E208">
        <v>1254.9771728999999</v>
      </c>
      <c r="F208">
        <v>1215.4759521000001</v>
      </c>
      <c r="G208">
        <v>80</v>
      </c>
      <c r="H208">
        <v>79.902732849000003</v>
      </c>
      <c r="I208">
        <v>50</v>
      </c>
      <c r="J208">
        <v>14.997579575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29.990431999999998</v>
      </c>
      <c r="B209" s="1">
        <f>DATE(2010,5,30) + TIME(23,46,13)</f>
        <v>40328.990428240744</v>
      </c>
      <c r="C209">
        <v>1389.6757812000001</v>
      </c>
      <c r="D209">
        <v>1375.5910644999999</v>
      </c>
      <c r="E209">
        <v>1254.9925536999999</v>
      </c>
      <c r="F209">
        <v>1215.4903564000001</v>
      </c>
      <c r="G209">
        <v>80</v>
      </c>
      <c r="H209">
        <v>79.902778624999996</v>
      </c>
      <c r="I209">
        <v>50</v>
      </c>
      <c r="J209">
        <v>14.997597694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30.430651000000001</v>
      </c>
      <c r="B210" s="1">
        <f>DATE(2010,5,31) + TIME(10,20,8)</f>
        <v>40329.430648148147</v>
      </c>
      <c r="C210">
        <v>1389.5793457</v>
      </c>
      <c r="D210">
        <v>1375.4992675999999</v>
      </c>
      <c r="E210">
        <v>1255.0081786999999</v>
      </c>
      <c r="F210">
        <v>1215.5051269999999</v>
      </c>
      <c r="G210">
        <v>80</v>
      </c>
      <c r="H210">
        <v>79.902824401999993</v>
      </c>
      <c r="I210">
        <v>50</v>
      </c>
      <c r="J210">
        <v>14.997616768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30.878592999999999</v>
      </c>
      <c r="B211" s="1">
        <f>DATE(2010,5,31) + TIME(21,5,10)</f>
        <v>40329.878587962965</v>
      </c>
      <c r="C211">
        <v>1389.4826660000001</v>
      </c>
      <c r="D211">
        <v>1375.4072266000001</v>
      </c>
      <c r="E211">
        <v>1255.0240478999999</v>
      </c>
      <c r="F211">
        <v>1215.5201416</v>
      </c>
      <c r="G211">
        <v>80</v>
      </c>
      <c r="H211">
        <v>79.902877808</v>
      </c>
      <c r="I211">
        <v>50</v>
      </c>
      <c r="J211">
        <v>14.997635840999999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31</v>
      </c>
      <c r="B212" s="1">
        <f>DATE(2010,6,1) + TIME(0,0,0)</f>
        <v>40330</v>
      </c>
      <c r="C212">
        <v>1389.3859863</v>
      </c>
      <c r="D212">
        <v>1375.3153076000001</v>
      </c>
      <c r="E212">
        <v>1255.0390625</v>
      </c>
      <c r="F212">
        <v>1215.5341797000001</v>
      </c>
      <c r="G212">
        <v>80</v>
      </c>
      <c r="H212">
        <v>79.902877808</v>
      </c>
      <c r="I212">
        <v>50</v>
      </c>
      <c r="J212">
        <v>14.997643471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31.456558999999999</v>
      </c>
      <c r="B213" s="1">
        <f>DATE(2010,6,1) + TIME(10,57,26)</f>
        <v>40330.456550925926</v>
      </c>
      <c r="C213">
        <v>1389.3587646000001</v>
      </c>
      <c r="D213">
        <v>1375.2895507999999</v>
      </c>
      <c r="E213">
        <v>1255.0450439000001</v>
      </c>
      <c r="F213">
        <v>1215.5399170000001</v>
      </c>
      <c r="G213">
        <v>80</v>
      </c>
      <c r="H213">
        <v>79.902931213000002</v>
      </c>
      <c r="I213">
        <v>50</v>
      </c>
      <c r="J213">
        <v>14.997661591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31.923389</v>
      </c>
      <c r="B214" s="1">
        <f>DATE(2010,6,1) + TIME(22,9,40)</f>
        <v>40330.923379629632</v>
      </c>
      <c r="C214">
        <v>1389.262207</v>
      </c>
      <c r="D214">
        <v>1375.1977539</v>
      </c>
      <c r="E214">
        <v>1255.0616454999999</v>
      </c>
      <c r="F214">
        <v>1215.5555420000001</v>
      </c>
      <c r="G214">
        <v>80</v>
      </c>
      <c r="H214">
        <v>79.902984618999994</v>
      </c>
      <c r="I214">
        <v>50</v>
      </c>
      <c r="J214">
        <v>14.997680664000001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32.398305999999998</v>
      </c>
      <c r="B215" s="1">
        <f>DATE(2010,6,2) + TIME(9,33,33)</f>
        <v>40331.398298611108</v>
      </c>
      <c r="C215">
        <v>1389.1641846</v>
      </c>
      <c r="D215">
        <v>1375.1044922000001</v>
      </c>
      <c r="E215">
        <v>1255.0788574000001</v>
      </c>
      <c r="F215">
        <v>1215.5717772999999</v>
      </c>
      <c r="G215">
        <v>80</v>
      </c>
      <c r="H215">
        <v>79.903038025000001</v>
      </c>
      <c r="I215">
        <v>50</v>
      </c>
      <c r="J215">
        <v>14.997699738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32.636546000000003</v>
      </c>
      <c r="B216" s="1">
        <f>DATE(2010,6,2) + TIME(15,16,37)</f>
        <v>40331.63653935185</v>
      </c>
      <c r="C216">
        <v>1389.0651855000001</v>
      </c>
      <c r="D216">
        <v>1375.010376</v>
      </c>
      <c r="E216">
        <v>1255.0958252</v>
      </c>
      <c r="F216">
        <v>1215.5876464999999</v>
      </c>
      <c r="G216">
        <v>80</v>
      </c>
      <c r="H216">
        <v>79.903053283999995</v>
      </c>
      <c r="I216">
        <v>50</v>
      </c>
      <c r="J216">
        <v>14.997711182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32.874786</v>
      </c>
      <c r="B217" s="1">
        <f>DATE(2010,6,2) + TIME(20,59,41)</f>
        <v>40331.874780092592</v>
      </c>
      <c r="C217">
        <v>1389.0153809000001</v>
      </c>
      <c r="D217">
        <v>1374.9631348</v>
      </c>
      <c r="E217">
        <v>1255.1049805</v>
      </c>
      <c r="F217">
        <v>1215.5961914</v>
      </c>
      <c r="G217">
        <v>80</v>
      </c>
      <c r="H217">
        <v>79.903076171999999</v>
      </c>
      <c r="I217">
        <v>50</v>
      </c>
      <c r="J217">
        <v>14.997722626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33.113025999999998</v>
      </c>
      <c r="B218" s="1">
        <f>DATE(2010,6,3) + TIME(2,42,45)</f>
        <v>40332.113020833334</v>
      </c>
      <c r="C218">
        <v>1388.9666748</v>
      </c>
      <c r="D218">
        <v>1374.9168701000001</v>
      </c>
      <c r="E218">
        <v>1255.1138916</v>
      </c>
      <c r="F218">
        <v>1215.6046143000001</v>
      </c>
      <c r="G218">
        <v>80</v>
      </c>
      <c r="H218">
        <v>79.903099060000002</v>
      </c>
      <c r="I218">
        <v>50</v>
      </c>
      <c r="J218">
        <v>14.997733115999999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33.351266000000003</v>
      </c>
      <c r="B219" s="1">
        <f>DATE(2010,6,3) + TIME(8,25,49)</f>
        <v>40332.351261574076</v>
      </c>
      <c r="C219">
        <v>1388.918457</v>
      </c>
      <c r="D219">
        <v>1374.8710937999999</v>
      </c>
      <c r="E219">
        <v>1255.1229248</v>
      </c>
      <c r="F219">
        <v>1215.6130370999999</v>
      </c>
      <c r="G219">
        <v>80</v>
      </c>
      <c r="H219">
        <v>79.903121948000006</v>
      </c>
      <c r="I219">
        <v>50</v>
      </c>
      <c r="J219">
        <v>14.997743607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33.589506999999998</v>
      </c>
      <c r="B220" s="1">
        <f>DATE(2010,6,3) + TIME(14,8,53)</f>
        <v>40332.589502314811</v>
      </c>
      <c r="C220">
        <v>1388.8706055</v>
      </c>
      <c r="D220">
        <v>1374.8255615</v>
      </c>
      <c r="E220">
        <v>1255.1318358999999</v>
      </c>
      <c r="F220">
        <v>1215.6214600000001</v>
      </c>
      <c r="G220">
        <v>80</v>
      </c>
      <c r="H220">
        <v>79.903152465999995</v>
      </c>
      <c r="I220">
        <v>50</v>
      </c>
      <c r="J220">
        <v>14.997754097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34.065987</v>
      </c>
      <c r="B221" s="1">
        <f>DATE(2010,6,4) + TIME(1,35,1)</f>
        <v>40333.065983796296</v>
      </c>
      <c r="C221">
        <v>1388.8239745999999</v>
      </c>
      <c r="D221">
        <v>1374.7813721</v>
      </c>
      <c r="E221">
        <v>1255.1414795000001</v>
      </c>
      <c r="F221">
        <v>1215.6306152</v>
      </c>
      <c r="G221">
        <v>80</v>
      </c>
      <c r="H221">
        <v>79.903213500999996</v>
      </c>
      <c r="I221">
        <v>50</v>
      </c>
      <c r="J221">
        <v>14.997770309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34.542769</v>
      </c>
      <c r="B222" s="1">
        <f>DATE(2010,6,4) + TIME(13,1,35)</f>
        <v>40333.542766203704</v>
      </c>
      <c r="C222">
        <v>1388.7301024999999</v>
      </c>
      <c r="D222">
        <v>1374.6923827999999</v>
      </c>
      <c r="E222">
        <v>1255.1594238</v>
      </c>
      <c r="F222">
        <v>1215.6474608999999</v>
      </c>
      <c r="G222">
        <v>80</v>
      </c>
      <c r="H222">
        <v>79.903266907000003</v>
      </c>
      <c r="I222">
        <v>50</v>
      </c>
      <c r="J222">
        <v>14.997787475999999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35.021799000000001</v>
      </c>
      <c r="B223" s="1">
        <f>DATE(2010,6,5) + TIME(0,31,23)</f>
        <v>40334.021793981483</v>
      </c>
      <c r="C223">
        <v>1388.6370850000001</v>
      </c>
      <c r="D223">
        <v>1374.604126</v>
      </c>
      <c r="E223">
        <v>1255.1776123</v>
      </c>
      <c r="F223">
        <v>1215.6645507999999</v>
      </c>
      <c r="G223">
        <v>80</v>
      </c>
      <c r="H223">
        <v>79.903320312000005</v>
      </c>
      <c r="I223">
        <v>50</v>
      </c>
      <c r="J223">
        <v>14.997805595000001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35.503788</v>
      </c>
      <c r="B224" s="1">
        <f>DATE(2010,6,5) + TIME(12,5,27)</f>
        <v>40334.503784722219</v>
      </c>
      <c r="C224">
        <v>1388.5447998</v>
      </c>
      <c r="D224">
        <v>1374.5166016000001</v>
      </c>
      <c r="E224">
        <v>1255.1960449000001</v>
      </c>
      <c r="F224">
        <v>1215.6817627</v>
      </c>
      <c r="G224">
        <v>80</v>
      </c>
      <c r="H224">
        <v>79.903373717999997</v>
      </c>
      <c r="I224">
        <v>50</v>
      </c>
      <c r="J224">
        <v>14.997822762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35.989457999999999</v>
      </c>
      <c r="B225" s="1">
        <f>DATE(2010,6,5) + TIME(23,44,49)</f>
        <v>40334.98945601852</v>
      </c>
      <c r="C225">
        <v>1388.4530029</v>
      </c>
      <c r="D225">
        <v>1374.4296875</v>
      </c>
      <c r="E225">
        <v>1255.2147216999999</v>
      </c>
      <c r="F225">
        <v>1215.6992187999999</v>
      </c>
      <c r="G225">
        <v>80</v>
      </c>
      <c r="H225">
        <v>79.903427124000004</v>
      </c>
      <c r="I225">
        <v>50</v>
      </c>
      <c r="J225">
        <v>14.997840881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36.479543</v>
      </c>
      <c r="B226" s="1">
        <f>DATE(2010,6,6) + TIME(11,30,32)</f>
        <v>40335.479537037034</v>
      </c>
      <c r="C226">
        <v>1388.3616943</v>
      </c>
      <c r="D226">
        <v>1374.3432617000001</v>
      </c>
      <c r="E226">
        <v>1255.2335204999999</v>
      </c>
      <c r="F226">
        <v>1215.7170410000001</v>
      </c>
      <c r="G226">
        <v>80</v>
      </c>
      <c r="H226">
        <v>79.903480529999996</v>
      </c>
      <c r="I226">
        <v>50</v>
      </c>
      <c r="J226">
        <v>14.997859954999999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36.974800000000002</v>
      </c>
      <c r="B227" s="1">
        <f>DATE(2010,6,6) + TIME(23,23,42)</f>
        <v>40335.974791666667</v>
      </c>
      <c r="C227">
        <v>1388.2707519999999</v>
      </c>
      <c r="D227">
        <v>1374.2570800999999</v>
      </c>
      <c r="E227">
        <v>1255.2528076000001</v>
      </c>
      <c r="F227">
        <v>1215.7349853999999</v>
      </c>
      <c r="G227">
        <v>80</v>
      </c>
      <c r="H227">
        <v>79.903533936000002</v>
      </c>
      <c r="I227">
        <v>50</v>
      </c>
      <c r="J227">
        <v>14.997878074999999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37.476014999999997</v>
      </c>
      <c r="B228" s="1">
        <f>DATE(2010,6,7) + TIME(11,25,27)</f>
        <v>40336.476006944446</v>
      </c>
      <c r="C228">
        <v>1388.1800536999999</v>
      </c>
      <c r="D228">
        <v>1374.1711425999999</v>
      </c>
      <c r="E228">
        <v>1255.2722168</v>
      </c>
      <c r="F228">
        <v>1215.7532959</v>
      </c>
      <c r="G228">
        <v>80</v>
      </c>
      <c r="H228">
        <v>79.903587341000005</v>
      </c>
      <c r="I228">
        <v>50</v>
      </c>
      <c r="J228">
        <v>14.997896194000001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37.984242000000002</v>
      </c>
      <c r="B229" s="1">
        <f>DATE(2010,6,7) + TIME(23,37,18)</f>
        <v>40336.984236111108</v>
      </c>
      <c r="C229">
        <v>1388.0893555</v>
      </c>
      <c r="D229">
        <v>1374.0852050999999</v>
      </c>
      <c r="E229">
        <v>1255.2921143000001</v>
      </c>
      <c r="F229">
        <v>1215.7718506000001</v>
      </c>
      <c r="G229">
        <v>80</v>
      </c>
      <c r="H229">
        <v>79.903640746999997</v>
      </c>
      <c r="I229">
        <v>50</v>
      </c>
      <c r="J229">
        <v>14.997915268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38.500109999999999</v>
      </c>
      <c r="B230" s="1">
        <f>DATE(2010,6,8) + TIME(12,0,9)</f>
        <v>40337.500104166669</v>
      </c>
      <c r="C230">
        <v>1387.9984131000001</v>
      </c>
      <c r="D230">
        <v>1373.9992675999999</v>
      </c>
      <c r="E230">
        <v>1255.3125</v>
      </c>
      <c r="F230">
        <v>1215.7908935999999</v>
      </c>
      <c r="G230">
        <v>80</v>
      </c>
      <c r="H230">
        <v>79.903701781999999</v>
      </c>
      <c r="I230">
        <v>50</v>
      </c>
      <c r="J230">
        <v>14.997933388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39.024563000000001</v>
      </c>
      <c r="B231" s="1">
        <f>DATE(2010,6,9) + TIME(0,35,22)</f>
        <v>40338.024560185186</v>
      </c>
      <c r="C231">
        <v>1387.9073486</v>
      </c>
      <c r="D231">
        <v>1373.9130858999999</v>
      </c>
      <c r="E231">
        <v>1255.3332519999999</v>
      </c>
      <c r="F231">
        <v>1215.8103027</v>
      </c>
      <c r="G231">
        <v>80</v>
      </c>
      <c r="H231">
        <v>79.903762817</v>
      </c>
      <c r="I231">
        <v>50</v>
      </c>
      <c r="J231">
        <v>14.997952461000001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39.558391</v>
      </c>
      <c r="B232" s="1">
        <f>DATE(2010,6,9) + TIME(13,24,4)</f>
        <v>40338.558379629627</v>
      </c>
      <c r="C232">
        <v>1387.815918</v>
      </c>
      <c r="D232">
        <v>1373.8265381000001</v>
      </c>
      <c r="E232">
        <v>1255.3544922000001</v>
      </c>
      <c r="F232">
        <v>1215.8302002</v>
      </c>
      <c r="G232">
        <v>80</v>
      </c>
      <c r="H232">
        <v>79.903816223000007</v>
      </c>
      <c r="I232">
        <v>50</v>
      </c>
      <c r="J232">
        <v>14.997971535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40.098272999999999</v>
      </c>
      <c r="B233" s="1">
        <f>DATE(2010,6,10) + TIME(2,21,30)</f>
        <v>40339.098263888889</v>
      </c>
      <c r="C233">
        <v>1387.7238769999999</v>
      </c>
      <c r="D233">
        <v>1373.739624</v>
      </c>
      <c r="E233">
        <v>1255.3762207</v>
      </c>
      <c r="F233">
        <v>1215.8505858999999</v>
      </c>
      <c r="G233">
        <v>80</v>
      </c>
      <c r="H233">
        <v>79.903877257999994</v>
      </c>
      <c r="I233">
        <v>50</v>
      </c>
      <c r="J233">
        <v>14.997990608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40.645128999999997</v>
      </c>
      <c r="B234" s="1">
        <f>DATE(2010,6,10) + TIME(15,28,59)</f>
        <v>40339.645127314812</v>
      </c>
      <c r="C234">
        <v>1387.6320800999999</v>
      </c>
      <c r="D234">
        <v>1373.652832</v>
      </c>
      <c r="E234">
        <v>1255.3984375</v>
      </c>
      <c r="F234">
        <v>1215.8713379000001</v>
      </c>
      <c r="G234">
        <v>80</v>
      </c>
      <c r="H234">
        <v>79.903938292999996</v>
      </c>
      <c r="I234">
        <v>50</v>
      </c>
      <c r="J234">
        <v>14.998010635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40.920848999999997</v>
      </c>
      <c r="B235" s="1">
        <f>DATE(2010,6,10) + TIME(22,6,1)</f>
        <v>40339.920844907407</v>
      </c>
      <c r="C235">
        <v>1387.5396728999999</v>
      </c>
      <c r="D235">
        <v>1373.5654297000001</v>
      </c>
      <c r="E235">
        <v>1255.4204102000001</v>
      </c>
      <c r="F235">
        <v>1215.8917236</v>
      </c>
      <c r="G235">
        <v>80</v>
      </c>
      <c r="H235">
        <v>79.903961182000003</v>
      </c>
      <c r="I235">
        <v>50</v>
      </c>
      <c r="J235">
        <v>14.998023033000001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41.196568999999997</v>
      </c>
      <c r="B236" s="1">
        <f>DATE(2010,6,11) + TIME(4,43,3)</f>
        <v>40340.196562500001</v>
      </c>
      <c r="C236">
        <v>1387.4929199000001</v>
      </c>
      <c r="D236">
        <v>1373.5211182</v>
      </c>
      <c r="E236">
        <v>1255.4321289</v>
      </c>
      <c r="F236">
        <v>1215.902832</v>
      </c>
      <c r="G236">
        <v>80</v>
      </c>
      <c r="H236">
        <v>79.903991699000002</v>
      </c>
      <c r="I236">
        <v>50</v>
      </c>
      <c r="J236">
        <v>14.998035431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41.472289000000004</v>
      </c>
      <c r="B237" s="1">
        <f>DATE(2010,6,11) + TIME(11,20,5)</f>
        <v>40340.472280092596</v>
      </c>
      <c r="C237">
        <v>1387.4471435999999</v>
      </c>
      <c r="D237">
        <v>1373.4779053</v>
      </c>
      <c r="E237">
        <v>1255.4437256000001</v>
      </c>
      <c r="F237">
        <v>1215.9135742000001</v>
      </c>
      <c r="G237">
        <v>80</v>
      </c>
      <c r="H237">
        <v>79.904022217000005</v>
      </c>
      <c r="I237">
        <v>50</v>
      </c>
      <c r="J237">
        <v>14.998046875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41.748009000000003</v>
      </c>
      <c r="B238" s="1">
        <f>DATE(2010,6,11) + TIME(17,57,7)</f>
        <v>40340.747997685183</v>
      </c>
      <c r="C238">
        <v>1387.4017334</v>
      </c>
      <c r="D238">
        <v>1373.4349365</v>
      </c>
      <c r="E238">
        <v>1255.4553223</v>
      </c>
      <c r="F238">
        <v>1215.9244385</v>
      </c>
      <c r="G238">
        <v>80</v>
      </c>
      <c r="H238">
        <v>79.904045104999994</v>
      </c>
      <c r="I238">
        <v>50</v>
      </c>
      <c r="J238">
        <v>14.998057364999999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42.023727999999998</v>
      </c>
      <c r="B239" s="1">
        <f>DATE(2010,6,12) + TIME(0,34,10)</f>
        <v>40341.023726851854</v>
      </c>
      <c r="C239">
        <v>1387.3566894999999</v>
      </c>
      <c r="D239">
        <v>1373.3923339999999</v>
      </c>
      <c r="E239">
        <v>1255.4670410000001</v>
      </c>
      <c r="F239">
        <v>1215.9353027</v>
      </c>
      <c r="G239">
        <v>80</v>
      </c>
      <c r="H239">
        <v>79.904075622999997</v>
      </c>
      <c r="I239">
        <v>50</v>
      </c>
      <c r="J239">
        <v>14.998067856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42.575167999999998</v>
      </c>
      <c r="B240" s="1">
        <f>DATE(2010,6,12) + TIME(13,48,14)</f>
        <v>40341.575162037036</v>
      </c>
      <c r="C240">
        <v>1387.3126221</v>
      </c>
      <c r="D240">
        <v>1373.3508300999999</v>
      </c>
      <c r="E240">
        <v>1255.4793701000001</v>
      </c>
      <c r="F240">
        <v>1215.9468993999999</v>
      </c>
      <c r="G240">
        <v>80</v>
      </c>
      <c r="H240">
        <v>79.904151916999993</v>
      </c>
      <c r="I240">
        <v>50</v>
      </c>
      <c r="J240">
        <v>14.998084068000001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43.126972000000002</v>
      </c>
      <c r="B241" s="1">
        <f>DATE(2010,6,13) + TIME(3,2,50)</f>
        <v>40342.126967592594</v>
      </c>
      <c r="C241">
        <v>1387.2242432</v>
      </c>
      <c r="D241">
        <v>1373.2673339999999</v>
      </c>
      <c r="E241">
        <v>1255.5026855000001</v>
      </c>
      <c r="F241">
        <v>1215.9686279</v>
      </c>
      <c r="G241">
        <v>80</v>
      </c>
      <c r="H241">
        <v>79.904212951999995</v>
      </c>
      <c r="I241">
        <v>50</v>
      </c>
      <c r="J241">
        <v>14.998102188000001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43.681538000000003</v>
      </c>
      <c r="B242" s="1">
        <f>DATE(2010,6,13) + TIME(16,21,24)</f>
        <v>40342.681527777779</v>
      </c>
      <c r="C242">
        <v>1387.1363524999999</v>
      </c>
      <c r="D242">
        <v>1373.1844481999999</v>
      </c>
      <c r="E242">
        <v>1255.5264893000001</v>
      </c>
      <c r="F242">
        <v>1215.9907227000001</v>
      </c>
      <c r="G242">
        <v>80</v>
      </c>
      <c r="H242">
        <v>79.904281616000006</v>
      </c>
      <c r="I242">
        <v>50</v>
      </c>
      <c r="J242">
        <v>14.998121262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44.239688999999998</v>
      </c>
      <c r="B243" s="1">
        <f>DATE(2010,6,14) + TIME(5,45,9)</f>
        <v>40343.239687499998</v>
      </c>
      <c r="C243">
        <v>1387.0490723</v>
      </c>
      <c r="D243">
        <v>1373.1020507999999</v>
      </c>
      <c r="E243">
        <v>1255.5504149999999</v>
      </c>
      <c r="F243">
        <v>1216.0131836</v>
      </c>
      <c r="G243">
        <v>80</v>
      </c>
      <c r="H243">
        <v>79.904342650999993</v>
      </c>
      <c r="I243">
        <v>50</v>
      </c>
      <c r="J243">
        <v>14.998141288999999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44.802278000000001</v>
      </c>
      <c r="B244" s="1">
        <f>DATE(2010,6,14) + TIME(19,15,16)</f>
        <v>40343.802268518521</v>
      </c>
      <c r="C244">
        <v>1386.9621582</v>
      </c>
      <c r="D244">
        <v>1373.0200195</v>
      </c>
      <c r="E244">
        <v>1255.5748291</v>
      </c>
      <c r="F244">
        <v>1216.0357666</v>
      </c>
      <c r="G244">
        <v>80</v>
      </c>
      <c r="H244">
        <v>79.904403686999999</v>
      </c>
      <c r="I244">
        <v>50</v>
      </c>
      <c r="J244">
        <v>14.998161315999999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45.370173000000001</v>
      </c>
      <c r="B245" s="1">
        <f>DATE(2010,6,15) + TIME(8,53,2)</f>
        <v>40344.370162037034</v>
      </c>
      <c r="C245">
        <v>1386.8756103999999</v>
      </c>
      <c r="D245">
        <v>1372.9383545000001</v>
      </c>
      <c r="E245">
        <v>1255.5996094</v>
      </c>
      <c r="F245">
        <v>1216.0588379000001</v>
      </c>
      <c r="G245">
        <v>80</v>
      </c>
      <c r="H245">
        <v>79.904472350999995</v>
      </c>
      <c r="I245">
        <v>50</v>
      </c>
      <c r="J245">
        <v>14.998182297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45.944268999999998</v>
      </c>
      <c r="B246" s="1">
        <f>DATE(2010,6,15) + TIME(22,39,44)</f>
        <v>40344.94425925926</v>
      </c>
      <c r="C246">
        <v>1386.7893065999999</v>
      </c>
      <c r="D246">
        <v>1372.8568115</v>
      </c>
      <c r="E246">
        <v>1255.6248779</v>
      </c>
      <c r="F246">
        <v>1216.0823975000001</v>
      </c>
      <c r="G246">
        <v>80</v>
      </c>
      <c r="H246">
        <v>79.904541015999996</v>
      </c>
      <c r="I246">
        <v>50</v>
      </c>
      <c r="J246">
        <v>14.998203278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46.525637000000003</v>
      </c>
      <c r="B247" s="1">
        <f>DATE(2010,6,16) + TIME(12,36,55)</f>
        <v>40345.525636574072</v>
      </c>
      <c r="C247">
        <v>1386.7028809000001</v>
      </c>
      <c r="D247">
        <v>1372.7753906</v>
      </c>
      <c r="E247">
        <v>1255.6505127</v>
      </c>
      <c r="F247">
        <v>1216.1062012</v>
      </c>
      <c r="G247">
        <v>80</v>
      </c>
      <c r="H247">
        <v>79.904602050999998</v>
      </c>
      <c r="I247">
        <v>50</v>
      </c>
      <c r="J247">
        <v>14.998226166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47.111384999999999</v>
      </c>
      <c r="B248" s="1">
        <f>DATE(2010,6,17) + TIME(2,40,23)</f>
        <v>40346.111377314817</v>
      </c>
      <c r="C248">
        <v>1386.6164550999999</v>
      </c>
      <c r="D248">
        <v>1372.6938477000001</v>
      </c>
      <c r="E248">
        <v>1255.6768798999999</v>
      </c>
      <c r="F248">
        <v>1216.1306152</v>
      </c>
      <c r="G248">
        <v>80</v>
      </c>
      <c r="H248">
        <v>79.904670714999995</v>
      </c>
      <c r="I248">
        <v>50</v>
      </c>
      <c r="J248">
        <v>14.998249054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47.702089000000001</v>
      </c>
      <c r="B249" s="1">
        <f>DATE(2010,6,17) + TIME(16,51,0)</f>
        <v>40346.70208333333</v>
      </c>
      <c r="C249">
        <v>1386.5302733999999</v>
      </c>
      <c r="D249">
        <v>1372.6125488</v>
      </c>
      <c r="E249">
        <v>1255.7036132999999</v>
      </c>
      <c r="F249">
        <v>1216.1555175999999</v>
      </c>
      <c r="G249">
        <v>80</v>
      </c>
      <c r="H249">
        <v>79.904739379999995</v>
      </c>
      <c r="I249">
        <v>50</v>
      </c>
      <c r="J249">
        <v>14.998273849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48.298665</v>
      </c>
      <c r="B250" s="1">
        <f>DATE(2010,6,18) + TIME(7,10,4)</f>
        <v>40347.298657407409</v>
      </c>
      <c r="C250">
        <v>1386.4443358999999</v>
      </c>
      <c r="D250">
        <v>1372.5314940999999</v>
      </c>
      <c r="E250">
        <v>1255.7308350000001</v>
      </c>
      <c r="F250">
        <v>1216.1807861</v>
      </c>
      <c r="G250">
        <v>80</v>
      </c>
      <c r="H250">
        <v>79.904808044000006</v>
      </c>
      <c r="I250">
        <v>50</v>
      </c>
      <c r="J250">
        <v>14.998299598999999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48.902067000000002</v>
      </c>
      <c r="B251" s="1">
        <f>DATE(2010,6,18) + TIME(21,38,58)</f>
        <v>40347.902060185188</v>
      </c>
      <c r="C251">
        <v>1386.3583983999999</v>
      </c>
      <c r="D251">
        <v>1372.4505615</v>
      </c>
      <c r="E251">
        <v>1255.7585449000001</v>
      </c>
      <c r="F251">
        <v>1216.2064209</v>
      </c>
      <c r="G251">
        <v>80</v>
      </c>
      <c r="H251">
        <v>79.904876709000007</v>
      </c>
      <c r="I251">
        <v>50</v>
      </c>
      <c r="J251">
        <v>14.998327255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49.513297000000001</v>
      </c>
      <c r="B252" s="1">
        <f>DATE(2010,6,19) + TIME(12,19,8)</f>
        <v>40348.513287037036</v>
      </c>
      <c r="C252">
        <v>1386.2725829999999</v>
      </c>
      <c r="D252">
        <v>1372.3696289</v>
      </c>
      <c r="E252">
        <v>1255.7868652</v>
      </c>
      <c r="F252">
        <v>1216.2326660000001</v>
      </c>
      <c r="G252">
        <v>80</v>
      </c>
      <c r="H252">
        <v>79.904945373999993</v>
      </c>
      <c r="I252">
        <v>50</v>
      </c>
      <c r="J252">
        <v>14.998355865000001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50.133727</v>
      </c>
      <c r="B253" s="1">
        <f>DATE(2010,6,20) + TIME(3,12,34)</f>
        <v>40349.133726851855</v>
      </c>
      <c r="C253">
        <v>1386.1865233999999</v>
      </c>
      <c r="D253">
        <v>1372.2885742000001</v>
      </c>
      <c r="E253">
        <v>1255.8157959</v>
      </c>
      <c r="F253">
        <v>1216.2595214999999</v>
      </c>
      <c r="G253">
        <v>80</v>
      </c>
      <c r="H253">
        <v>79.905021667</v>
      </c>
      <c r="I253">
        <v>50</v>
      </c>
      <c r="J253">
        <v>14.998387337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50.756492999999999</v>
      </c>
      <c r="B254" s="1">
        <f>DATE(2010,6,20) + TIME(18,9,20)</f>
        <v>40349.756481481483</v>
      </c>
      <c r="C254">
        <v>1386.1000977000001</v>
      </c>
      <c r="D254">
        <v>1372.2071533000001</v>
      </c>
      <c r="E254">
        <v>1255.8455810999999</v>
      </c>
      <c r="F254">
        <v>1216.2871094</v>
      </c>
      <c r="G254">
        <v>80</v>
      </c>
      <c r="H254">
        <v>79.905090332</v>
      </c>
      <c r="I254">
        <v>50</v>
      </c>
      <c r="J254">
        <v>14.998421669000001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51.379995000000001</v>
      </c>
      <c r="B255" s="1">
        <f>DATE(2010,6,21) + TIME(9,7,11)</f>
        <v>40350.379988425928</v>
      </c>
      <c r="C255">
        <v>1386.0142822</v>
      </c>
      <c r="D255">
        <v>1372.1262207</v>
      </c>
      <c r="E255">
        <v>1255.8757324000001</v>
      </c>
      <c r="F255">
        <v>1216.3149414</v>
      </c>
      <c r="G255">
        <v>80</v>
      </c>
      <c r="H255">
        <v>79.905166625999996</v>
      </c>
      <c r="I255">
        <v>50</v>
      </c>
      <c r="J255">
        <v>14.998458862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51.692376000000003</v>
      </c>
      <c r="B256" s="1">
        <f>DATE(2010,6,21) + TIME(16,37,1)</f>
        <v>40350.692372685182</v>
      </c>
      <c r="C256">
        <v>1385.9288329999999</v>
      </c>
      <c r="D256">
        <v>1372.0456543</v>
      </c>
      <c r="E256">
        <v>1255.9055175999999</v>
      </c>
      <c r="F256">
        <v>1216.3424072</v>
      </c>
      <c r="G256">
        <v>80</v>
      </c>
      <c r="H256">
        <v>79.905189514</v>
      </c>
      <c r="I256">
        <v>50</v>
      </c>
      <c r="J256">
        <v>14.998485564999999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52.004756999999998</v>
      </c>
      <c r="B257" s="1">
        <f>DATE(2010,6,22) + TIME(0,6,50)</f>
        <v>40351.004745370374</v>
      </c>
      <c r="C257">
        <v>1385.8857422000001</v>
      </c>
      <c r="D257">
        <v>1372.0050048999999</v>
      </c>
      <c r="E257">
        <v>1255.9212646000001</v>
      </c>
      <c r="F257">
        <v>1216.3569336</v>
      </c>
      <c r="G257">
        <v>80</v>
      </c>
      <c r="H257">
        <v>79.905227660999998</v>
      </c>
      <c r="I257">
        <v>50</v>
      </c>
      <c r="J257">
        <v>14.998511314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52.317138</v>
      </c>
      <c r="B258" s="1">
        <f>DATE(2010,6,22) + TIME(7,36,40)</f>
        <v>40351.317129629628</v>
      </c>
      <c r="C258">
        <v>1385.8436279</v>
      </c>
      <c r="D258">
        <v>1371.965332</v>
      </c>
      <c r="E258">
        <v>1255.9367675999999</v>
      </c>
      <c r="F258">
        <v>1216.3713379000001</v>
      </c>
      <c r="G258">
        <v>80</v>
      </c>
      <c r="H258">
        <v>79.905258179</v>
      </c>
      <c r="I258">
        <v>50</v>
      </c>
      <c r="J258">
        <v>14.998537064000001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52.629519000000002</v>
      </c>
      <c r="B259" s="1">
        <f>DATE(2010,6,22) + TIME(15,6,30)</f>
        <v>40351.629513888889</v>
      </c>
      <c r="C259">
        <v>1385.8017577999999</v>
      </c>
      <c r="D259">
        <v>1371.9259033000001</v>
      </c>
      <c r="E259">
        <v>1255.9525146000001</v>
      </c>
      <c r="F259">
        <v>1216.3857422000001</v>
      </c>
      <c r="G259">
        <v>80</v>
      </c>
      <c r="H259">
        <v>79.905296325999998</v>
      </c>
      <c r="I259">
        <v>50</v>
      </c>
      <c r="J259">
        <v>14.998563766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52.941899999999997</v>
      </c>
      <c r="B260" s="1">
        <f>DATE(2010,6,22) + TIME(22,36,20)</f>
        <v>40351.94189814815</v>
      </c>
      <c r="C260">
        <v>1385.7601318</v>
      </c>
      <c r="D260">
        <v>1371.8865966999999</v>
      </c>
      <c r="E260">
        <v>1255.9681396000001</v>
      </c>
      <c r="F260">
        <v>1216.4002685999999</v>
      </c>
      <c r="G260">
        <v>80</v>
      </c>
      <c r="H260">
        <v>79.905334472999996</v>
      </c>
      <c r="I260">
        <v>50</v>
      </c>
      <c r="J260">
        <v>14.998591423000001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53.254280999999999</v>
      </c>
      <c r="B261" s="1">
        <f>DATE(2010,6,23) + TIME(6,6,9)</f>
        <v>40352.254270833335</v>
      </c>
      <c r="C261">
        <v>1385.71875</v>
      </c>
      <c r="D261">
        <v>1371.8476562000001</v>
      </c>
      <c r="E261">
        <v>1255.9840088000001</v>
      </c>
      <c r="F261">
        <v>1216.4149170000001</v>
      </c>
      <c r="G261">
        <v>80</v>
      </c>
      <c r="H261">
        <v>79.905364989999995</v>
      </c>
      <c r="I261">
        <v>50</v>
      </c>
      <c r="J261">
        <v>14.998620033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53.566662000000001</v>
      </c>
      <c r="B262" s="1">
        <f>DATE(2010,6,23) + TIME(13,35,59)</f>
        <v>40352.566655092596</v>
      </c>
      <c r="C262">
        <v>1385.6774902</v>
      </c>
      <c r="D262">
        <v>1371.8087158000001</v>
      </c>
      <c r="E262">
        <v>1255.9998779</v>
      </c>
      <c r="F262">
        <v>1216.4295654</v>
      </c>
      <c r="G262">
        <v>80</v>
      </c>
      <c r="H262">
        <v>79.905403136999993</v>
      </c>
      <c r="I262">
        <v>50</v>
      </c>
      <c r="J262">
        <v>14.998650551000001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54.191423999999998</v>
      </c>
      <c r="B263" s="1">
        <f>DATE(2010,6,24) + TIME(4,35,39)</f>
        <v>40353.191423611112</v>
      </c>
      <c r="C263">
        <v>1385.6373291</v>
      </c>
      <c r="D263">
        <v>1371.770874</v>
      </c>
      <c r="E263">
        <v>1256.0164795000001</v>
      </c>
      <c r="F263">
        <v>1216.4449463000001</v>
      </c>
      <c r="G263">
        <v>80</v>
      </c>
      <c r="H263">
        <v>79.905487061000002</v>
      </c>
      <c r="I263">
        <v>50</v>
      </c>
      <c r="J263">
        <v>14.998699188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54.816279000000002</v>
      </c>
      <c r="B264" s="1">
        <f>DATE(2010,6,24) + TIME(19,35,26)</f>
        <v>40353.81627314815</v>
      </c>
      <c r="C264">
        <v>1385.5563964999999</v>
      </c>
      <c r="D264">
        <v>1371.6947021000001</v>
      </c>
      <c r="E264">
        <v>1256.0484618999999</v>
      </c>
      <c r="F264">
        <v>1216.4743652</v>
      </c>
      <c r="G264">
        <v>80</v>
      </c>
      <c r="H264">
        <v>79.905563353999995</v>
      </c>
      <c r="I264">
        <v>50</v>
      </c>
      <c r="J264">
        <v>14.998760223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55.445197999999998</v>
      </c>
      <c r="B265" s="1">
        <f>DATE(2010,6,25) + TIME(10,41,5)</f>
        <v>40354.445196759261</v>
      </c>
      <c r="C265">
        <v>1385.4758300999999</v>
      </c>
      <c r="D265">
        <v>1371.6188964999999</v>
      </c>
      <c r="E265">
        <v>1256.0809326000001</v>
      </c>
      <c r="F265">
        <v>1216.5042725000001</v>
      </c>
      <c r="G265">
        <v>80</v>
      </c>
      <c r="H265">
        <v>79.905639648000005</v>
      </c>
      <c r="I265">
        <v>50</v>
      </c>
      <c r="J265">
        <v>14.998832703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56.079129999999999</v>
      </c>
      <c r="B266" s="1">
        <f>DATE(2010,6,26) + TIME(1,53,56)</f>
        <v>40355.07912037037</v>
      </c>
      <c r="C266">
        <v>1385.3955077999999</v>
      </c>
      <c r="D266">
        <v>1371.5432129000001</v>
      </c>
      <c r="E266">
        <v>1256.1140137</v>
      </c>
      <c r="F266">
        <v>1216.5347899999999</v>
      </c>
      <c r="G266">
        <v>80</v>
      </c>
      <c r="H266">
        <v>79.905715942</v>
      </c>
      <c r="I266">
        <v>50</v>
      </c>
      <c r="J266">
        <v>14.998915672000001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56.719056000000002</v>
      </c>
      <c r="B267" s="1">
        <f>DATE(2010,6,26) + TIME(17,15,26)</f>
        <v>40355.719050925924</v>
      </c>
      <c r="C267">
        <v>1385.3154297000001</v>
      </c>
      <c r="D267">
        <v>1371.4677733999999</v>
      </c>
      <c r="E267">
        <v>1256.1478271000001</v>
      </c>
      <c r="F267">
        <v>1216.5657959</v>
      </c>
      <c r="G267">
        <v>80</v>
      </c>
      <c r="H267">
        <v>79.905792235999996</v>
      </c>
      <c r="I267">
        <v>50</v>
      </c>
      <c r="J267">
        <v>14.999012947000001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57.365986999999997</v>
      </c>
      <c r="B268" s="1">
        <f>DATE(2010,6,27) + TIME(8,47,1)</f>
        <v>40356.365983796299</v>
      </c>
      <c r="C268">
        <v>1385.2352295000001</v>
      </c>
      <c r="D268">
        <v>1371.3923339999999</v>
      </c>
      <c r="E268">
        <v>1256.182251</v>
      </c>
      <c r="F268">
        <v>1216.5975341999999</v>
      </c>
      <c r="G268">
        <v>80</v>
      </c>
      <c r="H268">
        <v>79.905868530000006</v>
      </c>
      <c r="I268">
        <v>50</v>
      </c>
      <c r="J268">
        <v>14.999125481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58.020946000000002</v>
      </c>
      <c r="B269" s="1">
        <f>DATE(2010,6,28) + TIME(0,30,9)</f>
        <v>40357.020937499998</v>
      </c>
      <c r="C269">
        <v>1385.1550293</v>
      </c>
      <c r="D269">
        <v>1371.3167725000001</v>
      </c>
      <c r="E269">
        <v>1256.2176514</v>
      </c>
      <c r="F269">
        <v>1216.6300048999999</v>
      </c>
      <c r="G269">
        <v>80</v>
      </c>
      <c r="H269">
        <v>79.905944824000002</v>
      </c>
      <c r="I269">
        <v>50</v>
      </c>
      <c r="J269">
        <v>14.99925518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58.685245000000002</v>
      </c>
      <c r="B270" s="1">
        <f>DATE(2010,6,28) + TIME(16,26,45)</f>
        <v>40357.685243055559</v>
      </c>
      <c r="C270">
        <v>1385.0744629000001</v>
      </c>
      <c r="D270">
        <v>1371.2410889</v>
      </c>
      <c r="E270">
        <v>1256.2537841999999</v>
      </c>
      <c r="F270">
        <v>1216.6632079999999</v>
      </c>
      <c r="G270">
        <v>80</v>
      </c>
      <c r="H270">
        <v>79.906021117999998</v>
      </c>
      <c r="I270">
        <v>50</v>
      </c>
      <c r="J270">
        <v>14.999405861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59.022008999999997</v>
      </c>
      <c r="B271" s="1">
        <f>DATE(2010,6,29) + TIME(0,31,41)</f>
        <v>40358.022002314814</v>
      </c>
      <c r="C271">
        <v>1384.9932861</v>
      </c>
      <c r="D271">
        <v>1371.1645507999999</v>
      </c>
      <c r="E271">
        <v>1256.2904053</v>
      </c>
      <c r="F271">
        <v>1216.6966553</v>
      </c>
      <c r="G271">
        <v>80</v>
      </c>
      <c r="H271">
        <v>79.906051636000001</v>
      </c>
      <c r="I271">
        <v>50</v>
      </c>
      <c r="J271">
        <v>14.999519348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59.358772999999999</v>
      </c>
      <c r="B272" s="1">
        <f>DATE(2010,6,29) + TIME(8,36,37)</f>
        <v>40358.358761574076</v>
      </c>
      <c r="C272">
        <v>1384.9517822</v>
      </c>
      <c r="D272">
        <v>1371.1253661999999</v>
      </c>
      <c r="E272">
        <v>1256.3099365</v>
      </c>
      <c r="F272">
        <v>1216.7145995999999</v>
      </c>
      <c r="G272">
        <v>80</v>
      </c>
      <c r="H272">
        <v>79.906089782999999</v>
      </c>
      <c r="I272">
        <v>50</v>
      </c>
      <c r="J272">
        <v>14.999633789000001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59.695535999999997</v>
      </c>
      <c r="B273" s="1">
        <f>DATE(2010,6,29) + TIME(16,41,34)</f>
        <v>40358.695532407408</v>
      </c>
      <c r="C273">
        <v>1384.9111327999999</v>
      </c>
      <c r="D273">
        <v>1371.0870361</v>
      </c>
      <c r="E273">
        <v>1256.3292236</v>
      </c>
      <c r="F273">
        <v>1216.7322998</v>
      </c>
      <c r="G273">
        <v>80</v>
      </c>
      <c r="H273">
        <v>79.906127929999997</v>
      </c>
      <c r="I273">
        <v>50</v>
      </c>
      <c r="J273">
        <v>14.999752044999999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60.032299999999999</v>
      </c>
      <c r="B274" s="1">
        <f>DATE(2010,6,30) + TIME(0,46,30)</f>
        <v>40359.03229166667</v>
      </c>
      <c r="C274">
        <v>1384.8708495999999</v>
      </c>
      <c r="D274">
        <v>1371.0490723</v>
      </c>
      <c r="E274">
        <v>1256.3486327999999</v>
      </c>
      <c r="F274">
        <v>1216.7501221</v>
      </c>
      <c r="G274">
        <v>80</v>
      </c>
      <c r="H274">
        <v>79.906166076999995</v>
      </c>
      <c r="I274">
        <v>50</v>
      </c>
      <c r="J274">
        <v>14.999876975999999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60.369064000000002</v>
      </c>
      <c r="B275" s="1">
        <f>DATE(2010,6,30) + TIME(8,51,27)</f>
        <v>40359.369062500002</v>
      </c>
      <c r="C275">
        <v>1384.8305664</v>
      </c>
      <c r="D275">
        <v>1371.0112305</v>
      </c>
      <c r="E275">
        <v>1256.3681641000001</v>
      </c>
      <c r="F275">
        <v>1216.7680664</v>
      </c>
      <c r="G275">
        <v>80</v>
      </c>
      <c r="H275">
        <v>79.906204224000007</v>
      </c>
      <c r="I275">
        <v>50</v>
      </c>
      <c r="J275">
        <v>15.000007629000001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61</v>
      </c>
      <c r="B276" s="1">
        <f>DATE(2010,7,1) + TIME(0,0,0)</f>
        <v>40360</v>
      </c>
      <c r="C276">
        <v>1384.7912598</v>
      </c>
      <c r="D276">
        <v>1370.9741211</v>
      </c>
      <c r="E276">
        <v>1256.3883057</v>
      </c>
      <c r="F276">
        <v>1216.7866211</v>
      </c>
      <c r="G276">
        <v>80</v>
      </c>
      <c r="H276">
        <v>79.906288146999998</v>
      </c>
      <c r="I276">
        <v>50</v>
      </c>
      <c r="J276">
        <v>15.000217438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61.336764000000002</v>
      </c>
      <c r="B277" s="1">
        <f>DATE(2010,7,1) + TIME(8,4,56)</f>
        <v>40360.336759259262</v>
      </c>
      <c r="C277">
        <v>1384.7169189000001</v>
      </c>
      <c r="D277">
        <v>1370.9041748</v>
      </c>
      <c r="E277">
        <v>1256.4248047000001</v>
      </c>
      <c r="F277">
        <v>1216.8198242000001</v>
      </c>
      <c r="G277">
        <v>80</v>
      </c>
      <c r="H277">
        <v>79.906326293999996</v>
      </c>
      <c r="I277">
        <v>50</v>
      </c>
      <c r="J277">
        <v>15.000389099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61.673527</v>
      </c>
      <c r="B278" s="1">
        <f>DATE(2010,7,1) + TIME(16,9,52)</f>
        <v>40360.673518518517</v>
      </c>
      <c r="C278">
        <v>1384.6767577999999</v>
      </c>
      <c r="D278">
        <v>1370.8662108999999</v>
      </c>
      <c r="E278">
        <v>1256.4451904</v>
      </c>
      <c r="F278">
        <v>1216.838501</v>
      </c>
      <c r="G278">
        <v>80</v>
      </c>
      <c r="H278">
        <v>79.906364440999994</v>
      </c>
      <c r="I278">
        <v>50</v>
      </c>
      <c r="J278">
        <v>15.000567436000001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62.010291000000002</v>
      </c>
      <c r="B279" s="1">
        <f>DATE(2010,7,2) + TIME(0,14,49)</f>
        <v>40361.010289351849</v>
      </c>
      <c r="C279">
        <v>1384.6374512</v>
      </c>
      <c r="D279">
        <v>1370.8292236</v>
      </c>
      <c r="E279">
        <v>1256.4654541</v>
      </c>
      <c r="F279">
        <v>1216.8571777</v>
      </c>
      <c r="G279">
        <v>80</v>
      </c>
      <c r="H279">
        <v>79.906402588000006</v>
      </c>
      <c r="I279">
        <v>50</v>
      </c>
      <c r="J279">
        <v>15.000755310000001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62.347054999999997</v>
      </c>
      <c r="B280" s="1">
        <f>DATE(2010,7,2) + TIME(8,19,45)</f>
        <v>40361.347048611111</v>
      </c>
      <c r="C280">
        <v>1384.5982666</v>
      </c>
      <c r="D280">
        <v>1370.7922363</v>
      </c>
      <c r="E280">
        <v>1256.4859618999999</v>
      </c>
      <c r="F280">
        <v>1216.8758545000001</v>
      </c>
      <c r="G280">
        <v>80</v>
      </c>
      <c r="H280">
        <v>79.906440735000004</v>
      </c>
      <c r="I280">
        <v>50</v>
      </c>
      <c r="J280">
        <v>15.000954628000001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62.683818000000002</v>
      </c>
      <c r="B281" s="1">
        <f>DATE(2010,7,2) + TIME(16,24,41)</f>
        <v>40361.683807870373</v>
      </c>
      <c r="C281">
        <v>1384.5593262</v>
      </c>
      <c r="D281">
        <v>1370.7556152</v>
      </c>
      <c r="E281">
        <v>1256.5065918</v>
      </c>
      <c r="F281">
        <v>1216.8946533000001</v>
      </c>
      <c r="G281">
        <v>80</v>
      </c>
      <c r="H281">
        <v>79.906478882000002</v>
      </c>
      <c r="I281">
        <v>50</v>
      </c>
      <c r="J281">
        <v>15.001166344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63.020581999999997</v>
      </c>
      <c r="B282" s="1">
        <f>DATE(2010,7,3) + TIME(0,29,38)</f>
        <v>40362.020578703705</v>
      </c>
      <c r="C282">
        <v>1384.5205077999999</v>
      </c>
      <c r="D282">
        <v>1370.7189940999999</v>
      </c>
      <c r="E282">
        <v>1256.5273437999999</v>
      </c>
      <c r="F282">
        <v>1216.9136963000001</v>
      </c>
      <c r="G282">
        <v>80</v>
      </c>
      <c r="H282">
        <v>79.906524657999995</v>
      </c>
      <c r="I282">
        <v>50</v>
      </c>
      <c r="J282">
        <v>15.001392364999999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63.357346</v>
      </c>
      <c r="B283" s="1">
        <f>DATE(2010,7,3) + TIME(8,34,34)</f>
        <v>40362.35733796296</v>
      </c>
      <c r="C283">
        <v>1384.4818115</v>
      </c>
      <c r="D283">
        <v>1370.6826172000001</v>
      </c>
      <c r="E283">
        <v>1256.5482178</v>
      </c>
      <c r="F283">
        <v>1216.9328613</v>
      </c>
      <c r="G283">
        <v>80</v>
      </c>
      <c r="H283">
        <v>79.906562804999993</v>
      </c>
      <c r="I283">
        <v>50</v>
      </c>
      <c r="J283">
        <v>15.001633644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63.694108999999997</v>
      </c>
      <c r="B284" s="1">
        <f>DATE(2010,7,3) + TIME(16,39,31)</f>
        <v>40362.694108796299</v>
      </c>
      <c r="C284">
        <v>1384.4433594</v>
      </c>
      <c r="D284">
        <v>1370.6463623</v>
      </c>
      <c r="E284">
        <v>1256.5693358999999</v>
      </c>
      <c r="F284">
        <v>1216.9521483999999</v>
      </c>
      <c r="G284">
        <v>80</v>
      </c>
      <c r="H284">
        <v>79.906600952000005</v>
      </c>
      <c r="I284">
        <v>50</v>
      </c>
      <c r="J284">
        <v>15.00189209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64.030873</v>
      </c>
      <c r="B285" s="1">
        <f>DATE(2010,7,4) + TIME(0,44,27)</f>
        <v>40363.030868055554</v>
      </c>
      <c r="C285">
        <v>1384.4050293</v>
      </c>
      <c r="D285">
        <v>1370.6102295000001</v>
      </c>
      <c r="E285">
        <v>1256.5905762</v>
      </c>
      <c r="F285">
        <v>1216.9715576000001</v>
      </c>
      <c r="G285">
        <v>80</v>
      </c>
      <c r="H285">
        <v>79.906646729000002</v>
      </c>
      <c r="I285">
        <v>50</v>
      </c>
      <c r="J285">
        <v>15.002169608999999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64.367637000000002</v>
      </c>
      <c r="B286" s="1">
        <f>DATE(2010,7,4) + TIME(8,49,23)</f>
        <v>40363.367627314816</v>
      </c>
      <c r="C286">
        <v>1384.3668213000001</v>
      </c>
      <c r="D286">
        <v>1370.5742187999999</v>
      </c>
      <c r="E286">
        <v>1256.6120605000001</v>
      </c>
      <c r="F286">
        <v>1216.9912108999999</v>
      </c>
      <c r="G286">
        <v>80</v>
      </c>
      <c r="H286">
        <v>79.906684874999996</v>
      </c>
      <c r="I286">
        <v>50</v>
      </c>
      <c r="J286">
        <v>15.002467155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65.041163999999995</v>
      </c>
      <c r="B287" s="1">
        <f>DATE(2010,7,5) + TIME(0,59,16)</f>
        <v>40364.04115740741</v>
      </c>
      <c r="C287">
        <v>1384.3294678</v>
      </c>
      <c r="D287">
        <v>1370.5390625</v>
      </c>
      <c r="E287">
        <v>1256.6340332</v>
      </c>
      <c r="F287">
        <v>1217.0115966999999</v>
      </c>
      <c r="G287">
        <v>80</v>
      </c>
      <c r="H287">
        <v>79.906776428000001</v>
      </c>
      <c r="I287">
        <v>50</v>
      </c>
      <c r="J287">
        <v>15.00296402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65.717264</v>
      </c>
      <c r="B288" s="1">
        <f>DATE(2010,7,5) + TIME(17,12,51)</f>
        <v>40364.717256944445</v>
      </c>
      <c r="C288">
        <v>1384.2543945</v>
      </c>
      <c r="D288">
        <v>1370.4683838000001</v>
      </c>
      <c r="E288">
        <v>1256.6773682</v>
      </c>
      <c r="F288">
        <v>1217.0512695</v>
      </c>
      <c r="G288">
        <v>80</v>
      </c>
      <c r="H288">
        <v>79.906860351999995</v>
      </c>
      <c r="I288">
        <v>50</v>
      </c>
      <c r="J288">
        <v>15.003594398000001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66.401563999999993</v>
      </c>
      <c r="B289" s="1">
        <f>DATE(2010,7,6) + TIME(9,38,15)</f>
        <v>40365.401562500003</v>
      </c>
      <c r="C289">
        <v>1384.1793213000001</v>
      </c>
      <c r="D289">
        <v>1370.3977050999999</v>
      </c>
      <c r="E289">
        <v>1256.7218018000001</v>
      </c>
      <c r="F289">
        <v>1217.0919189000001</v>
      </c>
      <c r="G289">
        <v>80</v>
      </c>
      <c r="H289">
        <v>79.906944275000001</v>
      </c>
      <c r="I289">
        <v>50</v>
      </c>
      <c r="J289">
        <v>15.004355431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67.095200000000006</v>
      </c>
      <c r="B290" s="1">
        <f>DATE(2010,7,7) + TIME(2,17,5)</f>
        <v>40366.095196759263</v>
      </c>
      <c r="C290">
        <v>1384.1038818</v>
      </c>
      <c r="D290">
        <v>1370.3266602000001</v>
      </c>
      <c r="E290">
        <v>1256.7675781</v>
      </c>
      <c r="F290">
        <v>1217.1336670000001</v>
      </c>
      <c r="G290">
        <v>80</v>
      </c>
      <c r="H290">
        <v>79.907028198000006</v>
      </c>
      <c r="I290">
        <v>50</v>
      </c>
      <c r="J290">
        <v>15.005253792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67.799757</v>
      </c>
      <c r="B291" s="1">
        <f>DATE(2010,7,7) + TIME(19,11,39)</f>
        <v>40366.799756944441</v>
      </c>
      <c r="C291">
        <v>1384.0279541</v>
      </c>
      <c r="D291">
        <v>1370.2551269999999</v>
      </c>
      <c r="E291">
        <v>1256.8146973</v>
      </c>
      <c r="F291">
        <v>1217.1768798999999</v>
      </c>
      <c r="G291">
        <v>80</v>
      </c>
      <c r="H291">
        <v>79.907112122000001</v>
      </c>
      <c r="I291">
        <v>50</v>
      </c>
      <c r="J291">
        <v>15.006305695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68.153886999999997</v>
      </c>
      <c r="B292" s="1">
        <f>DATE(2010,7,8) + TIME(3,41,35)</f>
        <v>40367.153877314813</v>
      </c>
      <c r="C292">
        <v>1383.9512939000001</v>
      </c>
      <c r="D292">
        <v>1370.1828613</v>
      </c>
      <c r="E292">
        <v>1256.8630370999999</v>
      </c>
      <c r="F292">
        <v>1217.2205810999999</v>
      </c>
      <c r="G292">
        <v>80</v>
      </c>
      <c r="H292">
        <v>79.907142639</v>
      </c>
      <c r="I292">
        <v>50</v>
      </c>
      <c r="J292">
        <v>15.007092476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68.508016999999995</v>
      </c>
      <c r="B293" s="1">
        <f>DATE(2010,7,8) + TIME(12,11,32)</f>
        <v>40367.508009259262</v>
      </c>
      <c r="C293">
        <v>1383.9122314000001</v>
      </c>
      <c r="D293">
        <v>1370.1459961</v>
      </c>
      <c r="E293">
        <v>1256.8883057</v>
      </c>
      <c r="F293">
        <v>1217.2438964999999</v>
      </c>
      <c r="G293">
        <v>80</v>
      </c>
      <c r="H293">
        <v>79.907188415999997</v>
      </c>
      <c r="I293">
        <v>50</v>
      </c>
      <c r="J293">
        <v>15.007886887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68.862146999999993</v>
      </c>
      <c r="B294" s="1">
        <f>DATE(2010,7,8) + TIME(20,41,29)</f>
        <v>40367.862141203703</v>
      </c>
      <c r="C294">
        <v>1383.8741454999999</v>
      </c>
      <c r="D294">
        <v>1370.1099853999999</v>
      </c>
      <c r="E294">
        <v>1256.9135742000001</v>
      </c>
      <c r="F294">
        <v>1217.2670897999999</v>
      </c>
      <c r="G294">
        <v>80</v>
      </c>
      <c r="H294">
        <v>79.907226562000005</v>
      </c>
      <c r="I294">
        <v>50</v>
      </c>
      <c r="J294">
        <v>15.008704184999999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69.216277000000005</v>
      </c>
      <c r="B295" s="1">
        <f>DATE(2010,7,9) + TIME(5,11,26)</f>
        <v>40368.216273148151</v>
      </c>
      <c r="C295">
        <v>1383.8360596</v>
      </c>
      <c r="D295">
        <v>1370.0742187999999</v>
      </c>
      <c r="E295">
        <v>1256.9389647999999</v>
      </c>
      <c r="F295">
        <v>1217.2905272999999</v>
      </c>
      <c r="G295">
        <v>80</v>
      </c>
      <c r="H295">
        <v>79.907264709000003</v>
      </c>
      <c r="I295">
        <v>50</v>
      </c>
      <c r="J295">
        <v>15.009553908999999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69.570407000000003</v>
      </c>
      <c r="B296" s="1">
        <f>DATE(2010,7,9) + TIME(13,41,23)</f>
        <v>40368.570405092592</v>
      </c>
      <c r="C296">
        <v>1383.7982178</v>
      </c>
      <c r="D296">
        <v>1370.0384521000001</v>
      </c>
      <c r="E296">
        <v>1256.9647216999999</v>
      </c>
      <c r="F296">
        <v>1217.3142089999999</v>
      </c>
      <c r="G296">
        <v>80</v>
      </c>
      <c r="H296">
        <v>79.907310486</v>
      </c>
      <c r="I296">
        <v>50</v>
      </c>
      <c r="J296">
        <v>15.010447502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69.924536000000003</v>
      </c>
      <c r="B297" s="1">
        <f>DATE(2010,7,9) + TIME(22,11,19)</f>
        <v>40368.924525462964</v>
      </c>
      <c r="C297">
        <v>1383.7606201000001</v>
      </c>
      <c r="D297">
        <v>1370.0029297000001</v>
      </c>
      <c r="E297">
        <v>1256.9907227000001</v>
      </c>
      <c r="F297">
        <v>1217.3381348</v>
      </c>
      <c r="G297">
        <v>80</v>
      </c>
      <c r="H297">
        <v>79.907348632999998</v>
      </c>
      <c r="I297">
        <v>50</v>
      </c>
      <c r="J297">
        <v>15.011390686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70.278666000000001</v>
      </c>
      <c r="B298" s="1">
        <f>DATE(2010,7,10) + TIME(6,41,16)</f>
        <v>40369.278657407405</v>
      </c>
      <c r="C298">
        <v>1383.7230225000001</v>
      </c>
      <c r="D298">
        <v>1369.9675293</v>
      </c>
      <c r="E298">
        <v>1257.0170897999999</v>
      </c>
      <c r="F298">
        <v>1217.3623047000001</v>
      </c>
      <c r="G298">
        <v>80</v>
      </c>
      <c r="H298">
        <v>79.907394409000005</v>
      </c>
      <c r="I298">
        <v>50</v>
      </c>
      <c r="J298">
        <v>15.012391089999999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70.632795999999999</v>
      </c>
      <c r="B299" s="1">
        <f>DATE(2010,7,10) + TIME(15,11,13)</f>
        <v>40369.632789351854</v>
      </c>
      <c r="C299">
        <v>1383.6856689000001</v>
      </c>
      <c r="D299">
        <v>1369.932251</v>
      </c>
      <c r="E299">
        <v>1257.0435791</v>
      </c>
      <c r="F299">
        <v>1217.3867187999999</v>
      </c>
      <c r="G299">
        <v>80</v>
      </c>
      <c r="H299">
        <v>79.907440186000002</v>
      </c>
      <c r="I299">
        <v>50</v>
      </c>
      <c r="J299">
        <v>15.013453483999999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70.986925999999997</v>
      </c>
      <c r="B300" s="1">
        <f>DATE(2010,7,10) + TIME(23,41,10)</f>
        <v>40369.986921296295</v>
      </c>
      <c r="C300">
        <v>1383.6483154</v>
      </c>
      <c r="D300">
        <v>1369.8970947</v>
      </c>
      <c r="E300">
        <v>1257.0704346</v>
      </c>
      <c r="F300">
        <v>1217.4113769999999</v>
      </c>
      <c r="G300">
        <v>80</v>
      </c>
      <c r="H300">
        <v>79.907478333</v>
      </c>
      <c r="I300">
        <v>50</v>
      </c>
      <c r="J300">
        <v>15.014584541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71.341055999999995</v>
      </c>
      <c r="B301" s="1">
        <f>DATE(2010,7,11) + TIME(8,11,7)</f>
        <v>40370.341053240743</v>
      </c>
      <c r="C301">
        <v>1383.6112060999999</v>
      </c>
      <c r="D301">
        <v>1369.8620605000001</v>
      </c>
      <c r="E301">
        <v>1257.0975341999999</v>
      </c>
      <c r="F301">
        <v>1217.4364014</v>
      </c>
      <c r="G301">
        <v>80</v>
      </c>
      <c r="H301">
        <v>79.907524108999993</v>
      </c>
      <c r="I301">
        <v>50</v>
      </c>
      <c r="J301">
        <v>15.015789986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71.695186000000007</v>
      </c>
      <c r="B302" s="1">
        <f>DATE(2010,7,11) + TIME(16,41,4)</f>
        <v>40370.695185185185</v>
      </c>
      <c r="C302">
        <v>1383.5740966999999</v>
      </c>
      <c r="D302">
        <v>1369.8271483999999</v>
      </c>
      <c r="E302">
        <v>1257.1248779</v>
      </c>
      <c r="F302">
        <v>1217.4616699000001</v>
      </c>
      <c r="G302">
        <v>80</v>
      </c>
      <c r="H302">
        <v>79.907562256000006</v>
      </c>
      <c r="I302">
        <v>50</v>
      </c>
      <c r="J302">
        <v>15.017073631000001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72.049316000000005</v>
      </c>
      <c r="B303" s="1">
        <f>DATE(2010,7,12) + TIME(1,11,0)</f>
        <v>40371.049305555556</v>
      </c>
      <c r="C303">
        <v>1383.5372314000001</v>
      </c>
      <c r="D303">
        <v>1369.7922363</v>
      </c>
      <c r="E303">
        <v>1257.1525879000001</v>
      </c>
      <c r="F303">
        <v>1217.4873047000001</v>
      </c>
      <c r="G303">
        <v>80</v>
      </c>
      <c r="H303">
        <v>79.907608031999999</v>
      </c>
      <c r="I303">
        <v>50</v>
      </c>
      <c r="J303">
        <v>15.0184412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72.403446000000002</v>
      </c>
      <c r="B304" s="1">
        <f>DATE(2010,7,12) + TIME(9,40,57)</f>
        <v>40371.403437499997</v>
      </c>
      <c r="C304">
        <v>1383.5004882999999</v>
      </c>
      <c r="D304">
        <v>1369.7575684000001</v>
      </c>
      <c r="E304">
        <v>1257.1805420000001</v>
      </c>
      <c r="F304">
        <v>1217.5131836</v>
      </c>
      <c r="G304">
        <v>80</v>
      </c>
      <c r="H304">
        <v>79.907653808999996</v>
      </c>
      <c r="I304">
        <v>50</v>
      </c>
      <c r="J304">
        <v>15.019899368000001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72.757576</v>
      </c>
      <c r="B305" s="1">
        <f>DATE(2010,7,12) + TIME(18,10,54)</f>
        <v>40371.757569444446</v>
      </c>
      <c r="C305">
        <v>1383.4638672000001</v>
      </c>
      <c r="D305">
        <v>1369.7230225000001</v>
      </c>
      <c r="E305">
        <v>1257.2088623</v>
      </c>
      <c r="F305">
        <v>1217.5393065999999</v>
      </c>
      <c r="G305">
        <v>80</v>
      </c>
      <c r="H305">
        <v>79.907691955999994</v>
      </c>
      <c r="I305">
        <v>50</v>
      </c>
      <c r="J305">
        <v>15.021452904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73.111705999999998</v>
      </c>
      <c r="B306" s="1">
        <f>DATE(2010,7,13) + TIME(2,40,51)</f>
        <v>40372.111701388887</v>
      </c>
      <c r="C306">
        <v>1383.4273682</v>
      </c>
      <c r="D306">
        <v>1369.6885986</v>
      </c>
      <c r="E306">
        <v>1257.2374268000001</v>
      </c>
      <c r="F306">
        <v>1217.565918</v>
      </c>
      <c r="G306">
        <v>80</v>
      </c>
      <c r="H306">
        <v>79.907737732000001</v>
      </c>
      <c r="I306">
        <v>50</v>
      </c>
      <c r="J306">
        <v>15.023107529000001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73.465835999999996</v>
      </c>
      <c r="B307" s="1">
        <f>DATE(2010,7,13) + TIME(11,10,48)</f>
        <v>40372.465833333335</v>
      </c>
      <c r="C307">
        <v>1383.3908690999999</v>
      </c>
      <c r="D307">
        <v>1369.6541748</v>
      </c>
      <c r="E307">
        <v>1257.2663574000001</v>
      </c>
      <c r="F307">
        <v>1217.5926514</v>
      </c>
      <c r="G307">
        <v>80</v>
      </c>
      <c r="H307">
        <v>79.907775878999999</v>
      </c>
      <c r="I307">
        <v>50</v>
      </c>
      <c r="J307">
        <v>15.024869919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74.174094999999994</v>
      </c>
      <c r="B308" s="1">
        <f>DATE(2010,7,14) + TIME(4,10,41)</f>
        <v>40373.174085648148</v>
      </c>
      <c r="C308">
        <v>1383.3551024999999</v>
      </c>
      <c r="D308">
        <v>1369.6204834</v>
      </c>
      <c r="E308">
        <v>1257.2957764</v>
      </c>
      <c r="F308">
        <v>1217.6209716999999</v>
      </c>
      <c r="G308">
        <v>80</v>
      </c>
      <c r="H308">
        <v>79.907875060999999</v>
      </c>
      <c r="I308">
        <v>50</v>
      </c>
      <c r="J308">
        <v>15.027781487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74.885375999999994</v>
      </c>
      <c r="B309" s="1">
        <f>DATE(2010,7,14) + TIME(21,14,56)</f>
        <v>40373.885370370372</v>
      </c>
      <c r="C309">
        <v>1383.2834473</v>
      </c>
      <c r="D309">
        <v>1369.5528564000001</v>
      </c>
      <c r="E309">
        <v>1257.3547363</v>
      </c>
      <c r="F309">
        <v>1217.6756591999999</v>
      </c>
      <c r="G309">
        <v>80</v>
      </c>
      <c r="H309">
        <v>79.907958984000004</v>
      </c>
      <c r="I309">
        <v>50</v>
      </c>
      <c r="J309">
        <v>15.031451225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75.606781999999995</v>
      </c>
      <c r="B310" s="1">
        <f>DATE(2010,7,15) + TIME(14,33,45)</f>
        <v>40374.606770833336</v>
      </c>
      <c r="C310">
        <v>1383.2114257999999</v>
      </c>
      <c r="D310">
        <v>1369.4849853999999</v>
      </c>
      <c r="E310">
        <v>1257.4155272999999</v>
      </c>
      <c r="F310">
        <v>1217.7322998</v>
      </c>
      <c r="G310">
        <v>80</v>
      </c>
      <c r="H310">
        <v>79.908050536999994</v>
      </c>
      <c r="I310">
        <v>50</v>
      </c>
      <c r="J310">
        <v>15.035834312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75.973361999999995</v>
      </c>
      <c r="B311" s="1">
        <f>DATE(2010,7,15) + TIME(23,21,38)</f>
        <v>40374.973356481481</v>
      </c>
      <c r="C311">
        <v>1383.1387939000001</v>
      </c>
      <c r="D311">
        <v>1369.4162598</v>
      </c>
      <c r="E311">
        <v>1257.4785156</v>
      </c>
      <c r="F311">
        <v>1217.7897949000001</v>
      </c>
      <c r="G311">
        <v>80</v>
      </c>
      <c r="H311">
        <v>79.908088684000006</v>
      </c>
      <c r="I311">
        <v>50</v>
      </c>
      <c r="J311">
        <v>15.039151192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76.339943000000005</v>
      </c>
      <c r="B312" s="1">
        <f>DATE(2010,7,16) + TIME(8,9,31)</f>
        <v>40375.339942129627</v>
      </c>
      <c r="C312">
        <v>1383.1011963000001</v>
      </c>
      <c r="D312">
        <v>1369.3808594</v>
      </c>
      <c r="E312">
        <v>1257.5115966999999</v>
      </c>
      <c r="F312">
        <v>1217.8212891000001</v>
      </c>
      <c r="G312">
        <v>80</v>
      </c>
      <c r="H312">
        <v>79.908126831000004</v>
      </c>
      <c r="I312">
        <v>50</v>
      </c>
      <c r="J312">
        <v>15.042486191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76.706524000000002</v>
      </c>
      <c r="B313" s="1">
        <f>DATE(2010,7,16) + TIME(16,57,23)</f>
        <v>40375.706516203703</v>
      </c>
      <c r="C313">
        <v>1383.0645752</v>
      </c>
      <c r="D313">
        <v>1369.3461914</v>
      </c>
      <c r="E313">
        <v>1257.5447998</v>
      </c>
      <c r="F313">
        <v>1217.8527832</v>
      </c>
      <c r="G313">
        <v>80</v>
      </c>
      <c r="H313">
        <v>79.908172606999997</v>
      </c>
      <c r="I313">
        <v>50</v>
      </c>
      <c r="J313">
        <v>15.045897483999999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77.073104999999998</v>
      </c>
      <c r="B314" s="1">
        <f>DATE(2010,7,17) + TIME(1,45,16)</f>
        <v>40376.073101851849</v>
      </c>
      <c r="C314">
        <v>1383.0280762</v>
      </c>
      <c r="D314">
        <v>1369.3116454999999</v>
      </c>
      <c r="E314">
        <v>1257.5783690999999</v>
      </c>
      <c r="F314">
        <v>1217.8847656</v>
      </c>
      <c r="G314">
        <v>80</v>
      </c>
      <c r="H314">
        <v>79.908218383999994</v>
      </c>
      <c r="I314">
        <v>50</v>
      </c>
      <c r="J314">
        <v>15.04942894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77.439685999999995</v>
      </c>
      <c r="B315" s="1">
        <f>DATE(2010,7,17) + TIME(10,33,8)</f>
        <v>40376.439675925925</v>
      </c>
      <c r="C315">
        <v>1382.9915771000001</v>
      </c>
      <c r="D315">
        <v>1369.2772216999999</v>
      </c>
      <c r="E315">
        <v>1257.6124268000001</v>
      </c>
      <c r="F315">
        <v>1217.9172363</v>
      </c>
      <c r="G315">
        <v>80</v>
      </c>
      <c r="H315">
        <v>79.908264160000002</v>
      </c>
      <c r="I315">
        <v>50</v>
      </c>
      <c r="J315">
        <v>15.053114891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77.806267000000005</v>
      </c>
      <c r="B316" s="1">
        <f>DATE(2010,7,17) + TIME(19,21,1)</f>
        <v>40376.806261574071</v>
      </c>
      <c r="C316">
        <v>1382.9552002</v>
      </c>
      <c r="D316">
        <v>1369.2427978999999</v>
      </c>
      <c r="E316">
        <v>1257.6469727000001</v>
      </c>
      <c r="F316">
        <v>1217.9501952999999</v>
      </c>
      <c r="G316">
        <v>80</v>
      </c>
      <c r="H316">
        <v>79.908302307</v>
      </c>
      <c r="I316">
        <v>50</v>
      </c>
      <c r="J316">
        <v>15.056982994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78.172847000000004</v>
      </c>
      <c r="B317" s="1">
        <f>DATE(2010,7,18) + TIME(4,8,54)</f>
        <v>40377.172847222224</v>
      </c>
      <c r="C317">
        <v>1382.9190673999999</v>
      </c>
      <c r="D317">
        <v>1369.2086182</v>
      </c>
      <c r="E317">
        <v>1257.6820068</v>
      </c>
      <c r="F317">
        <v>1217.9836425999999</v>
      </c>
      <c r="G317">
        <v>80</v>
      </c>
      <c r="H317">
        <v>79.908348083000007</v>
      </c>
      <c r="I317">
        <v>50</v>
      </c>
      <c r="J317">
        <v>15.061056137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78.539428000000001</v>
      </c>
      <c r="B318" s="1">
        <f>DATE(2010,7,18) + TIME(12,56,46)</f>
        <v>40377.539421296293</v>
      </c>
      <c r="C318">
        <v>1382.8829346</v>
      </c>
      <c r="D318">
        <v>1369.1744385</v>
      </c>
      <c r="E318">
        <v>1257.7174072</v>
      </c>
      <c r="F318">
        <v>1218.0175781</v>
      </c>
      <c r="G318">
        <v>80</v>
      </c>
      <c r="H318">
        <v>79.908393860000004</v>
      </c>
      <c r="I318">
        <v>50</v>
      </c>
      <c r="J318">
        <v>15.065357208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78.906008999999997</v>
      </c>
      <c r="B319" s="1">
        <f>DATE(2010,7,18) + TIME(21,44,39)</f>
        <v>40377.906006944446</v>
      </c>
      <c r="C319">
        <v>1382.8468018000001</v>
      </c>
      <c r="D319">
        <v>1369.1403809000001</v>
      </c>
      <c r="E319">
        <v>1257.753418</v>
      </c>
      <c r="F319">
        <v>1218.052124</v>
      </c>
      <c r="G319">
        <v>80</v>
      </c>
      <c r="H319">
        <v>79.908439635999997</v>
      </c>
      <c r="I319">
        <v>50</v>
      </c>
      <c r="J319">
        <v>15.06990242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79.272589999999994</v>
      </c>
      <c r="B320" s="1">
        <f>DATE(2010,7,19) + TIME(6,32,31)</f>
        <v>40378.272581018522</v>
      </c>
      <c r="C320">
        <v>1382.8109131000001</v>
      </c>
      <c r="D320">
        <v>1369.1064452999999</v>
      </c>
      <c r="E320">
        <v>1257.7897949000001</v>
      </c>
      <c r="F320">
        <v>1218.0871582</v>
      </c>
      <c r="G320">
        <v>80</v>
      </c>
      <c r="H320">
        <v>79.908485412999994</v>
      </c>
      <c r="I320">
        <v>50</v>
      </c>
      <c r="J320">
        <v>15.074711799999999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79.639171000000005</v>
      </c>
      <c r="B321" s="1">
        <f>DATE(2010,7,19) + TIME(15,20,24)</f>
        <v>40378.639166666668</v>
      </c>
      <c r="C321">
        <v>1382.7750243999999</v>
      </c>
      <c r="D321">
        <v>1369.0725098</v>
      </c>
      <c r="E321">
        <v>1257.8266602000001</v>
      </c>
      <c r="F321">
        <v>1218.1229248</v>
      </c>
      <c r="G321">
        <v>80</v>
      </c>
      <c r="H321">
        <v>79.908523560000006</v>
      </c>
      <c r="I321">
        <v>50</v>
      </c>
      <c r="J321">
        <v>15.079801559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80.005751000000004</v>
      </c>
      <c r="B322" s="1">
        <f>DATE(2010,7,20) + TIME(0,8,16)</f>
        <v>40379.005740740744</v>
      </c>
      <c r="C322">
        <v>1382.7393798999999</v>
      </c>
      <c r="D322">
        <v>1369.0386963000001</v>
      </c>
      <c r="E322">
        <v>1257.8641356999999</v>
      </c>
      <c r="F322">
        <v>1218.1591797000001</v>
      </c>
      <c r="G322">
        <v>80</v>
      </c>
      <c r="H322">
        <v>79.908569335999999</v>
      </c>
      <c r="I322">
        <v>50</v>
      </c>
      <c r="J322">
        <v>15.085189819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80.372332</v>
      </c>
      <c r="B323" s="1">
        <f>DATE(2010,7,20) + TIME(8,56,9)</f>
        <v>40379.37232638889</v>
      </c>
      <c r="C323">
        <v>1382.7036132999999</v>
      </c>
      <c r="D323">
        <v>1369.0048827999999</v>
      </c>
      <c r="E323">
        <v>1257.9019774999999</v>
      </c>
      <c r="F323">
        <v>1218.1961670000001</v>
      </c>
      <c r="G323">
        <v>80</v>
      </c>
      <c r="H323">
        <v>79.908615112000007</v>
      </c>
      <c r="I323">
        <v>50</v>
      </c>
      <c r="J323">
        <v>15.090892792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80.738912999999997</v>
      </c>
      <c r="B324" s="1">
        <f>DATE(2010,7,20) + TIME(17,44,2)</f>
        <v>40379.738912037035</v>
      </c>
      <c r="C324">
        <v>1382.6680908000001</v>
      </c>
      <c r="D324">
        <v>1368.9713135</v>
      </c>
      <c r="E324">
        <v>1257.9404297000001</v>
      </c>
      <c r="F324">
        <v>1218.2337646000001</v>
      </c>
      <c r="G324">
        <v>80</v>
      </c>
      <c r="H324">
        <v>79.908660889000004</v>
      </c>
      <c r="I324">
        <v>50</v>
      </c>
      <c r="J324">
        <v>15.096928596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81.105493999999993</v>
      </c>
      <c r="B325" s="1">
        <f>DATE(2010,7,21) + TIME(2,31,54)</f>
        <v>40380.105486111112</v>
      </c>
      <c r="C325">
        <v>1382.6325684000001</v>
      </c>
      <c r="D325">
        <v>1368.9377440999999</v>
      </c>
      <c r="E325">
        <v>1257.9794922000001</v>
      </c>
      <c r="F325">
        <v>1218.2720947</v>
      </c>
      <c r="G325">
        <v>80</v>
      </c>
      <c r="H325">
        <v>79.908706664999997</v>
      </c>
      <c r="I325">
        <v>50</v>
      </c>
      <c r="J325">
        <v>15.1033144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81.838656</v>
      </c>
      <c r="B326" s="1">
        <f>DATE(2010,7,21) + TIME(20,7,39)</f>
        <v>40380.838645833333</v>
      </c>
      <c r="C326">
        <v>1382.5976562000001</v>
      </c>
      <c r="D326">
        <v>1368.9046631000001</v>
      </c>
      <c r="E326">
        <v>1258.0181885</v>
      </c>
      <c r="F326">
        <v>1218.3133545000001</v>
      </c>
      <c r="G326">
        <v>80</v>
      </c>
      <c r="H326">
        <v>79.908805846999996</v>
      </c>
      <c r="I326">
        <v>50</v>
      </c>
      <c r="J326">
        <v>15.113742827999999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82.573842999999997</v>
      </c>
      <c r="B327" s="1">
        <f>DATE(2010,7,22) + TIME(13,46,20)</f>
        <v>40381.573842592596</v>
      </c>
      <c r="C327">
        <v>1382.5275879000001</v>
      </c>
      <c r="D327">
        <v>1368.8383789</v>
      </c>
      <c r="E327">
        <v>1258.0985106999999</v>
      </c>
      <c r="F327">
        <v>1218.3918457</v>
      </c>
      <c r="G327">
        <v>80</v>
      </c>
      <c r="H327">
        <v>79.908897400000001</v>
      </c>
      <c r="I327">
        <v>50</v>
      </c>
      <c r="J327">
        <v>15.126795768999999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83.320808</v>
      </c>
      <c r="B328" s="1">
        <f>DATE(2010,7,23) + TIME(7,41,57)</f>
        <v>40382.320798611108</v>
      </c>
      <c r="C328">
        <v>1382.4572754000001</v>
      </c>
      <c r="D328">
        <v>1368.7718506000001</v>
      </c>
      <c r="E328">
        <v>1258.1811522999999</v>
      </c>
      <c r="F328">
        <v>1218.4741211</v>
      </c>
      <c r="G328">
        <v>80</v>
      </c>
      <c r="H328">
        <v>79.908988953000005</v>
      </c>
      <c r="I328">
        <v>50</v>
      </c>
      <c r="J328">
        <v>15.1422472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83.700001</v>
      </c>
      <c r="B329" s="1">
        <f>DATE(2010,7,23) + TIME(16,48,0)</f>
        <v>40382.699999999997</v>
      </c>
      <c r="C329">
        <v>1382.3861084</v>
      </c>
      <c r="D329">
        <v>1368.7043457</v>
      </c>
      <c r="E329">
        <v>1258.2691649999999</v>
      </c>
      <c r="F329">
        <v>1218.5574951000001</v>
      </c>
      <c r="G329">
        <v>80</v>
      </c>
      <c r="H329">
        <v>79.909027100000003</v>
      </c>
      <c r="I329">
        <v>50</v>
      </c>
      <c r="J329">
        <v>15.153881073000001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84.079193000000004</v>
      </c>
      <c r="B330" s="1">
        <f>DATE(2010,7,24) + TIME(1,54,2)</f>
        <v>40383.079189814816</v>
      </c>
      <c r="C330">
        <v>1382.3492432</v>
      </c>
      <c r="D330">
        <v>1368.6694336</v>
      </c>
      <c r="E330">
        <v>1258.3143310999999</v>
      </c>
      <c r="F330">
        <v>1218.6046143000001</v>
      </c>
      <c r="G330">
        <v>80</v>
      </c>
      <c r="H330">
        <v>79.909072875999996</v>
      </c>
      <c r="I330">
        <v>50</v>
      </c>
      <c r="J330">
        <v>15.16546917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84.458386000000004</v>
      </c>
      <c r="B331" s="1">
        <f>DATE(2010,7,24) + TIME(11,0,4)</f>
        <v>40383.458379629628</v>
      </c>
      <c r="C331">
        <v>1382.3132324000001</v>
      </c>
      <c r="D331">
        <v>1368.6352539</v>
      </c>
      <c r="E331">
        <v>1258.3598632999999</v>
      </c>
      <c r="F331">
        <v>1218.6520995999999</v>
      </c>
      <c r="G331">
        <v>80</v>
      </c>
      <c r="H331">
        <v>79.909111022999994</v>
      </c>
      <c r="I331">
        <v>50</v>
      </c>
      <c r="J331">
        <v>15.177222252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84.837579000000005</v>
      </c>
      <c r="B332" s="1">
        <f>DATE(2010,7,24) + TIME(20,6,6)</f>
        <v>40383.837569444448</v>
      </c>
      <c r="C332">
        <v>1382.2772216999999</v>
      </c>
      <c r="D332">
        <v>1368.6011963000001</v>
      </c>
      <c r="E332">
        <v>1258.40625</v>
      </c>
      <c r="F332">
        <v>1218.7005615</v>
      </c>
      <c r="G332">
        <v>80</v>
      </c>
      <c r="H332">
        <v>79.909156799000002</v>
      </c>
      <c r="I332">
        <v>50</v>
      </c>
      <c r="J332">
        <v>15.189294815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85.216645</v>
      </c>
      <c r="B333" s="1">
        <f>DATE(2010,7,25) + TIME(5,11,58)</f>
        <v>40384.216643518521</v>
      </c>
      <c r="C333">
        <v>1382.2413329999999</v>
      </c>
      <c r="D333">
        <v>1368.5671387</v>
      </c>
      <c r="E333">
        <v>1258.4533690999999</v>
      </c>
      <c r="F333">
        <v>1218.7498779</v>
      </c>
      <c r="G333">
        <v>80</v>
      </c>
      <c r="H333">
        <v>79.909202575999998</v>
      </c>
      <c r="I333">
        <v>50</v>
      </c>
      <c r="J333">
        <v>15.201802254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85.595021000000003</v>
      </c>
      <c r="B334" s="1">
        <f>DATE(2010,7,25) + TIME(14,16,49)</f>
        <v>40384.595011574071</v>
      </c>
      <c r="C334">
        <v>1382.2055664</v>
      </c>
      <c r="D334">
        <v>1368.5332031</v>
      </c>
      <c r="E334">
        <v>1258.5012207</v>
      </c>
      <c r="F334">
        <v>1218.8000488</v>
      </c>
      <c r="G334">
        <v>80</v>
      </c>
      <c r="H334">
        <v>79.909248352000006</v>
      </c>
      <c r="I334">
        <v>50</v>
      </c>
      <c r="J334">
        <v>15.214822769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85.972791999999998</v>
      </c>
      <c r="B335" s="1">
        <f>DATE(2010,7,25) + TIME(23,20,49)</f>
        <v>40384.97278935185</v>
      </c>
      <c r="C335">
        <v>1382.1699219</v>
      </c>
      <c r="D335">
        <v>1368.4993896000001</v>
      </c>
      <c r="E335">
        <v>1258.5498047000001</v>
      </c>
      <c r="F335">
        <v>1218.8513184000001</v>
      </c>
      <c r="G335">
        <v>80</v>
      </c>
      <c r="H335">
        <v>79.909294127999999</v>
      </c>
      <c r="I335">
        <v>50</v>
      </c>
      <c r="J335">
        <v>15.228426933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86.350014999999999</v>
      </c>
      <c r="B336" s="1">
        <f>DATE(2010,7,26) + TIME(8,24,1)</f>
        <v>40385.350011574075</v>
      </c>
      <c r="C336">
        <v>1382.1343993999999</v>
      </c>
      <c r="D336">
        <v>1368.4656981999999</v>
      </c>
      <c r="E336">
        <v>1258.5991211</v>
      </c>
      <c r="F336">
        <v>1218.9035644999999</v>
      </c>
      <c r="G336">
        <v>80</v>
      </c>
      <c r="H336">
        <v>79.909339904999996</v>
      </c>
      <c r="I336">
        <v>50</v>
      </c>
      <c r="J336">
        <v>15.242674828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86.726760999999996</v>
      </c>
      <c r="B337" s="1">
        <f>DATE(2010,7,26) + TIME(17,26,32)</f>
        <v>40385.726759259262</v>
      </c>
      <c r="C337">
        <v>1382.098999</v>
      </c>
      <c r="D337">
        <v>1368.4321289</v>
      </c>
      <c r="E337">
        <v>1258.6490478999999</v>
      </c>
      <c r="F337">
        <v>1218.9569091999999</v>
      </c>
      <c r="G337">
        <v>80</v>
      </c>
      <c r="H337">
        <v>79.909385681000003</v>
      </c>
      <c r="I337">
        <v>50</v>
      </c>
      <c r="J337">
        <v>15.257619858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87.103104999999999</v>
      </c>
      <c r="B338" s="1">
        <f>DATE(2010,7,27) + TIME(2,28,28)</f>
        <v>40386.103101851855</v>
      </c>
      <c r="C338">
        <v>1382.0637207</v>
      </c>
      <c r="D338">
        <v>1368.3985596</v>
      </c>
      <c r="E338">
        <v>1258.699707</v>
      </c>
      <c r="F338">
        <v>1219.0113524999999</v>
      </c>
      <c r="G338">
        <v>80</v>
      </c>
      <c r="H338">
        <v>79.909431458</v>
      </c>
      <c r="I338">
        <v>50</v>
      </c>
      <c r="J338">
        <v>15.273309707999999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87.479130999999995</v>
      </c>
      <c r="B339" s="1">
        <f>DATE(2010,7,27) + TIME(11,29,56)</f>
        <v>40386.479120370372</v>
      </c>
      <c r="C339">
        <v>1382.0284423999999</v>
      </c>
      <c r="D339">
        <v>1368.3651123</v>
      </c>
      <c r="E339">
        <v>1258.7510986</v>
      </c>
      <c r="F339">
        <v>1219.0668945</v>
      </c>
      <c r="G339">
        <v>80</v>
      </c>
      <c r="H339">
        <v>79.909477233999993</v>
      </c>
      <c r="I339">
        <v>50</v>
      </c>
      <c r="J339">
        <v>15.289790154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87.854932000000005</v>
      </c>
      <c r="B340" s="1">
        <f>DATE(2010,7,27) + TIME(20,31,6)</f>
        <v>40386.854930555557</v>
      </c>
      <c r="C340">
        <v>1381.9932861</v>
      </c>
      <c r="D340">
        <v>1368.3317870999999</v>
      </c>
      <c r="E340">
        <v>1258.8032227000001</v>
      </c>
      <c r="F340">
        <v>1219.1237793</v>
      </c>
      <c r="G340">
        <v>80</v>
      </c>
      <c r="H340">
        <v>79.909523010000001</v>
      </c>
      <c r="I340">
        <v>50</v>
      </c>
      <c r="J340">
        <v>15.307106972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88.606273999999999</v>
      </c>
      <c r="B341" s="1">
        <f>DATE(2010,7,28) + TIME(14,33,2)</f>
        <v>40387.606273148151</v>
      </c>
      <c r="C341">
        <v>1381.9586182</v>
      </c>
      <c r="D341">
        <v>1368.2988281</v>
      </c>
      <c r="E341">
        <v>1258.8533935999999</v>
      </c>
      <c r="F341">
        <v>1219.1871338000001</v>
      </c>
      <c r="G341">
        <v>80</v>
      </c>
      <c r="H341">
        <v>79.909622192</v>
      </c>
      <c r="I341">
        <v>50</v>
      </c>
      <c r="J341">
        <v>15.335068702999999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89.357637999999994</v>
      </c>
      <c r="B342" s="1">
        <f>DATE(2010,7,29) + TIME(8,34,59)</f>
        <v>40388.357627314814</v>
      </c>
      <c r="C342">
        <v>1381.8892822</v>
      </c>
      <c r="D342">
        <v>1368.2329102000001</v>
      </c>
      <c r="E342">
        <v>1258.9615478999999</v>
      </c>
      <c r="F342">
        <v>1219.3037108999999</v>
      </c>
      <c r="G342">
        <v>80</v>
      </c>
      <c r="H342">
        <v>79.909721375000004</v>
      </c>
      <c r="I342">
        <v>50</v>
      </c>
      <c r="J342">
        <v>15.369804382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90.119589000000005</v>
      </c>
      <c r="B343" s="1">
        <f>DATE(2010,7,30) + TIME(2,52,12)</f>
        <v>40389.119583333333</v>
      </c>
      <c r="C343">
        <v>1381.8195800999999</v>
      </c>
      <c r="D343">
        <v>1368.1667480000001</v>
      </c>
      <c r="E343">
        <v>1259.0726318</v>
      </c>
      <c r="F343">
        <v>1219.427124</v>
      </c>
      <c r="G343">
        <v>80</v>
      </c>
      <c r="H343">
        <v>79.909812927000004</v>
      </c>
      <c r="I343">
        <v>50</v>
      </c>
      <c r="J343">
        <v>15.410478592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90.506583000000006</v>
      </c>
      <c r="B344" s="1">
        <f>DATE(2010,7,30) + TIME(12,9,28)</f>
        <v>40389.506574074076</v>
      </c>
      <c r="C344">
        <v>1381.7491454999999</v>
      </c>
      <c r="D344">
        <v>1368.0997314000001</v>
      </c>
      <c r="E344">
        <v>1259.1931152</v>
      </c>
      <c r="F344">
        <v>1219.5501709</v>
      </c>
      <c r="G344">
        <v>80</v>
      </c>
      <c r="H344">
        <v>79.909851074000002</v>
      </c>
      <c r="I344">
        <v>50</v>
      </c>
      <c r="J344">
        <v>15.440898895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91.268189000000007</v>
      </c>
      <c r="B345" s="1">
        <f>DATE(2010,7,31) + TIME(6,26,11)</f>
        <v>40390.268182870372</v>
      </c>
      <c r="C345">
        <v>1381.7128906</v>
      </c>
      <c r="D345">
        <v>1368.0651855000001</v>
      </c>
      <c r="E345">
        <v>1259.2481689000001</v>
      </c>
      <c r="F345">
        <v>1219.6308594</v>
      </c>
      <c r="G345">
        <v>80</v>
      </c>
      <c r="H345">
        <v>79.909950256000002</v>
      </c>
      <c r="I345">
        <v>50</v>
      </c>
      <c r="J345">
        <v>15.486406326000001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92</v>
      </c>
      <c r="B346" s="1">
        <f>DATE(2010,8,1) + TIME(0,0,0)</f>
        <v>40391</v>
      </c>
      <c r="C346">
        <v>1381.6430664</v>
      </c>
      <c r="D346">
        <v>1367.9987793</v>
      </c>
      <c r="E346">
        <v>1259.3698730000001</v>
      </c>
      <c r="F346">
        <v>1219.7707519999999</v>
      </c>
      <c r="G346">
        <v>80</v>
      </c>
      <c r="H346">
        <v>79.910041809000006</v>
      </c>
      <c r="I346">
        <v>50</v>
      </c>
      <c r="J346">
        <v>15.537719727000001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92.384423999999996</v>
      </c>
      <c r="B347" s="1">
        <f>DATE(2010,8,1) + TIME(9,13,34)</f>
        <v>40391.384421296294</v>
      </c>
      <c r="C347">
        <v>1381.5758057</v>
      </c>
      <c r="D347">
        <v>1367.9348144999999</v>
      </c>
      <c r="E347">
        <v>1259.4954834</v>
      </c>
      <c r="F347">
        <v>1219.9035644999999</v>
      </c>
      <c r="G347">
        <v>80</v>
      </c>
      <c r="H347">
        <v>79.910079956000004</v>
      </c>
      <c r="I347">
        <v>50</v>
      </c>
      <c r="J347">
        <v>15.575927734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93.127387999999996</v>
      </c>
      <c r="B348" s="1">
        <f>DATE(2010,8,2) + TIME(3,3,26)</f>
        <v>40392.127384259256</v>
      </c>
      <c r="C348">
        <v>1381.5399170000001</v>
      </c>
      <c r="D348">
        <v>1367.9006348</v>
      </c>
      <c r="E348">
        <v>1259.5534668</v>
      </c>
      <c r="F348">
        <v>1219.9949951000001</v>
      </c>
      <c r="G348">
        <v>80</v>
      </c>
      <c r="H348">
        <v>79.910179138000004</v>
      </c>
      <c r="I348">
        <v>50</v>
      </c>
      <c r="J348">
        <v>15.632443428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93.894328000000002</v>
      </c>
      <c r="B349" s="1">
        <f>DATE(2010,8,2) + TIME(21,27,49)</f>
        <v>40392.894317129627</v>
      </c>
      <c r="C349">
        <v>1381.4722899999999</v>
      </c>
      <c r="D349">
        <v>1367.8360596</v>
      </c>
      <c r="E349">
        <v>1259.6806641000001</v>
      </c>
      <c r="F349">
        <v>1220.1501464999999</v>
      </c>
      <c r="G349">
        <v>80</v>
      </c>
      <c r="H349">
        <v>79.910270690999994</v>
      </c>
      <c r="I349">
        <v>50</v>
      </c>
      <c r="J349">
        <v>15.697964667999999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94.665214000000006</v>
      </c>
      <c r="B350" s="1">
        <f>DATE(2010,8,3) + TIME(15,57,54)</f>
        <v>40393.665208333332</v>
      </c>
      <c r="C350">
        <v>1381.4020995999999</v>
      </c>
      <c r="D350">
        <v>1367.7691649999999</v>
      </c>
      <c r="E350">
        <v>1259.8160399999999</v>
      </c>
      <c r="F350">
        <v>1220.3181152</v>
      </c>
      <c r="G350">
        <v>80</v>
      </c>
      <c r="H350">
        <v>79.910369872999993</v>
      </c>
      <c r="I350">
        <v>50</v>
      </c>
      <c r="J350">
        <v>15.771800995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95.053580999999994</v>
      </c>
      <c r="B351" s="1">
        <f>DATE(2010,8,4) + TIME(1,17,9)</f>
        <v>40394.053576388891</v>
      </c>
      <c r="C351">
        <v>1381.3317870999999</v>
      </c>
      <c r="D351">
        <v>1367.7021483999999</v>
      </c>
      <c r="E351">
        <v>1259.9643555</v>
      </c>
      <c r="F351">
        <v>1220.4813231999999</v>
      </c>
      <c r="G351">
        <v>80</v>
      </c>
      <c r="H351">
        <v>79.910408020000006</v>
      </c>
      <c r="I351">
        <v>50</v>
      </c>
      <c r="J351">
        <v>15.825624466000001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95.441946999999999</v>
      </c>
      <c r="B352" s="1">
        <f>DATE(2010,8,4) + TIME(10,36,24)</f>
        <v>40394.441944444443</v>
      </c>
      <c r="C352">
        <v>1381.2954102000001</v>
      </c>
      <c r="D352">
        <v>1367.6673584</v>
      </c>
      <c r="E352">
        <v>1260.0350341999999</v>
      </c>
      <c r="F352">
        <v>1220.5800781</v>
      </c>
      <c r="G352">
        <v>80</v>
      </c>
      <c r="H352">
        <v>79.910453795999999</v>
      </c>
      <c r="I352">
        <v>50</v>
      </c>
      <c r="J352">
        <v>15.878147125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95.830313000000004</v>
      </c>
      <c r="B353" s="1">
        <f>DATE(2010,8,4) + TIME(19,55,39)</f>
        <v>40394.830312500002</v>
      </c>
      <c r="C353">
        <v>1381.2598877</v>
      </c>
      <c r="D353">
        <v>1367.6334228999999</v>
      </c>
      <c r="E353">
        <v>1260.1070557</v>
      </c>
      <c r="F353">
        <v>1220.6795654</v>
      </c>
      <c r="G353">
        <v>80</v>
      </c>
      <c r="H353">
        <v>79.910499572999996</v>
      </c>
      <c r="I353">
        <v>50</v>
      </c>
      <c r="J353">
        <v>15.930436134000001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96.218678999999995</v>
      </c>
      <c r="B354" s="1">
        <f>DATE(2010,8,5) + TIME(5,14,53)</f>
        <v>40395.218668981484</v>
      </c>
      <c r="C354">
        <v>1381.2243652</v>
      </c>
      <c r="D354">
        <v>1367.5994873</v>
      </c>
      <c r="E354">
        <v>1260.1806641000001</v>
      </c>
      <c r="F354">
        <v>1220.7807617000001</v>
      </c>
      <c r="G354">
        <v>80</v>
      </c>
      <c r="H354">
        <v>79.910545349000003</v>
      </c>
      <c r="I354">
        <v>50</v>
      </c>
      <c r="J354">
        <v>15.983240128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96.607044999999999</v>
      </c>
      <c r="B355" s="1">
        <f>DATE(2010,8,5) + TIME(14,34,8)</f>
        <v>40395.607037037036</v>
      </c>
      <c r="C355">
        <v>1381.1889647999999</v>
      </c>
      <c r="D355">
        <v>1367.5656738</v>
      </c>
      <c r="E355">
        <v>1260.2554932</v>
      </c>
      <c r="F355">
        <v>1220.8839111</v>
      </c>
      <c r="G355">
        <v>80</v>
      </c>
      <c r="H355">
        <v>79.910591124999996</v>
      </c>
      <c r="I355">
        <v>50</v>
      </c>
      <c r="J355">
        <v>16.037090301999999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96.995412000000002</v>
      </c>
      <c r="B356" s="1">
        <f>DATE(2010,8,5) + TIME(23,53,23)</f>
        <v>40395.995405092595</v>
      </c>
      <c r="C356">
        <v>1381.1535644999999</v>
      </c>
      <c r="D356">
        <v>1367.5317382999999</v>
      </c>
      <c r="E356">
        <v>1260.331543</v>
      </c>
      <c r="F356">
        <v>1220.9891356999999</v>
      </c>
      <c r="G356">
        <v>80</v>
      </c>
      <c r="H356">
        <v>79.910644531000003</v>
      </c>
      <c r="I356">
        <v>50</v>
      </c>
      <c r="J356">
        <v>16.092372894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97.383778000000007</v>
      </c>
      <c r="B357" s="1">
        <f>DATE(2010,8,6) + TIME(9,12,38)</f>
        <v>40396.383773148147</v>
      </c>
      <c r="C357">
        <v>1381.1181641000001</v>
      </c>
      <c r="D357">
        <v>1367.4979248</v>
      </c>
      <c r="E357">
        <v>1260.4089355000001</v>
      </c>
      <c r="F357">
        <v>1221.0968018000001</v>
      </c>
      <c r="G357">
        <v>80</v>
      </c>
      <c r="H357">
        <v>79.910690308</v>
      </c>
      <c r="I357">
        <v>50</v>
      </c>
      <c r="J357">
        <v>16.149366379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97.772143999999997</v>
      </c>
      <c r="B358" s="1">
        <f>DATE(2010,8,6) + TIME(18,31,53)</f>
        <v>40396.772141203706</v>
      </c>
      <c r="C358">
        <v>1381.0828856999999</v>
      </c>
      <c r="D358">
        <v>1367.4642334</v>
      </c>
      <c r="E358">
        <v>1260.4873047000001</v>
      </c>
      <c r="F358">
        <v>1221.2069091999999</v>
      </c>
      <c r="G358">
        <v>80</v>
      </c>
      <c r="H358">
        <v>79.910736084000007</v>
      </c>
      <c r="I358">
        <v>50</v>
      </c>
      <c r="J358">
        <v>16.208282471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98.160510000000002</v>
      </c>
      <c r="B359" s="1">
        <f>DATE(2010,8,7) + TIME(3,51,8)</f>
        <v>40397.160509259258</v>
      </c>
      <c r="C359">
        <v>1381.0476074000001</v>
      </c>
      <c r="D359">
        <v>1367.4304199000001</v>
      </c>
      <c r="E359">
        <v>1260.5667725000001</v>
      </c>
      <c r="F359">
        <v>1221.3195800999999</v>
      </c>
      <c r="G359">
        <v>80</v>
      </c>
      <c r="H359">
        <v>79.91078186</v>
      </c>
      <c r="I359">
        <v>50</v>
      </c>
      <c r="J359">
        <v>16.269279480000002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98.548877000000005</v>
      </c>
      <c r="B360" s="1">
        <f>DATE(2010,8,7) + TIME(13,10,22)</f>
        <v>40397.54886574074</v>
      </c>
      <c r="C360">
        <v>1381.0123291</v>
      </c>
      <c r="D360">
        <v>1367.3966064000001</v>
      </c>
      <c r="E360">
        <v>1260.6473389</v>
      </c>
      <c r="F360">
        <v>1221.4348144999999</v>
      </c>
      <c r="G360">
        <v>80</v>
      </c>
      <c r="H360">
        <v>79.910827636999997</v>
      </c>
      <c r="I360">
        <v>50</v>
      </c>
      <c r="J360">
        <v>16.332481384000001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98.937242999999995</v>
      </c>
      <c r="B361" s="1">
        <f>DATE(2010,8,7) + TIME(22,29,37)</f>
        <v>40397.9372337963</v>
      </c>
      <c r="C361">
        <v>1380.9770507999999</v>
      </c>
      <c r="D361">
        <v>1367.3629149999999</v>
      </c>
      <c r="E361">
        <v>1260.7288818</v>
      </c>
      <c r="F361">
        <v>1221.5528564000001</v>
      </c>
      <c r="G361">
        <v>80</v>
      </c>
      <c r="H361">
        <v>79.910881042</v>
      </c>
      <c r="I361">
        <v>50</v>
      </c>
      <c r="J361">
        <v>16.397983550999999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99.325609</v>
      </c>
      <c r="B362" s="1">
        <f>DATE(2010,8,8) + TIME(7,48,52)</f>
        <v>40398.325601851851</v>
      </c>
      <c r="C362">
        <v>1380.9417725000001</v>
      </c>
      <c r="D362">
        <v>1367.3291016000001</v>
      </c>
      <c r="E362">
        <v>1260.8115233999999</v>
      </c>
      <c r="F362">
        <v>1221.6737060999999</v>
      </c>
      <c r="G362">
        <v>80</v>
      </c>
      <c r="H362">
        <v>79.910926818999997</v>
      </c>
      <c r="I362">
        <v>50</v>
      </c>
      <c r="J362">
        <v>16.465867996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99.713975000000005</v>
      </c>
      <c r="B363" s="1">
        <f>DATE(2010,8,8) + TIME(17,8,7)</f>
        <v>40398.713969907411</v>
      </c>
      <c r="C363">
        <v>1380.9066161999999</v>
      </c>
      <c r="D363">
        <v>1367.2954102000001</v>
      </c>
      <c r="E363">
        <v>1260.8950195</v>
      </c>
      <c r="F363">
        <v>1221.7972411999999</v>
      </c>
      <c r="G363">
        <v>80</v>
      </c>
      <c r="H363">
        <v>79.910972595000004</v>
      </c>
      <c r="I363">
        <v>50</v>
      </c>
      <c r="J363">
        <v>16.536201476999999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100.10234199999999</v>
      </c>
      <c r="B364" s="1">
        <f>DATE(2010,8,9) + TIME(2,27,22)</f>
        <v>40399.102337962962</v>
      </c>
      <c r="C364">
        <v>1380.8714600000001</v>
      </c>
      <c r="D364">
        <v>1367.2617187999999</v>
      </c>
      <c r="E364">
        <v>1260.9796143000001</v>
      </c>
      <c r="F364">
        <v>1221.9238281</v>
      </c>
      <c r="G364">
        <v>80</v>
      </c>
      <c r="H364">
        <v>79.911018372000001</v>
      </c>
      <c r="I364">
        <v>50</v>
      </c>
      <c r="J364">
        <v>16.609037399000002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100.490708</v>
      </c>
      <c r="B365" s="1">
        <f>DATE(2010,8,9) + TIME(11,46,37)</f>
        <v>40399.490706018521</v>
      </c>
      <c r="C365">
        <v>1380.8363036999999</v>
      </c>
      <c r="D365">
        <v>1367.2280272999999</v>
      </c>
      <c r="E365">
        <v>1261.0651855000001</v>
      </c>
      <c r="F365">
        <v>1222.0532227000001</v>
      </c>
      <c r="G365">
        <v>80</v>
      </c>
      <c r="H365">
        <v>79.911071777000004</v>
      </c>
      <c r="I365">
        <v>50</v>
      </c>
      <c r="J365">
        <v>16.684423447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100.879074</v>
      </c>
      <c r="B366" s="1">
        <f>DATE(2010,8,9) + TIME(21,5,52)</f>
        <v>40399.879074074073</v>
      </c>
      <c r="C366">
        <v>1380.8012695</v>
      </c>
      <c r="D366">
        <v>1367.1943358999999</v>
      </c>
      <c r="E366">
        <v>1261.1517334</v>
      </c>
      <c r="F366">
        <v>1222.1855469</v>
      </c>
      <c r="G366">
        <v>80</v>
      </c>
      <c r="H366">
        <v>79.911117554</v>
      </c>
      <c r="I366">
        <v>50</v>
      </c>
      <c r="J366">
        <v>16.762399673000001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101.26743999999999</v>
      </c>
      <c r="B367" s="1">
        <f>DATE(2010,8,10) + TIME(6,25,6)</f>
        <v>40400.267430555556</v>
      </c>
      <c r="C367">
        <v>1380.7661132999999</v>
      </c>
      <c r="D367">
        <v>1367.1607666</v>
      </c>
      <c r="E367">
        <v>1261.2392577999999</v>
      </c>
      <c r="F367">
        <v>1222.3208007999999</v>
      </c>
      <c r="G367">
        <v>80</v>
      </c>
      <c r="H367">
        <v>79.911163329999994</v>
      </c>
      <c r="I367">
        <v>50</v>
      </c>
      <c r="J367">
        <v>16.842987060999999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101.655807</v>
      </c>
      <c r="B368" s="1">
        <f>DATE(2010,8,10) + TIME(15,44,21)</f>
        <v>40400.655798611115</v>
      </c>
      <c r="C368">
        <v>1380.7310791</v>
      </c>
      <c r="D368">
        <v>1367.1270752</v>
      </c>
      <c r="E368">
        <v>1261.3276367000001</v>
      </c>
      <c r="F368">
        <v>1222.4591064000001</v>
      </c>
      <c r="G368">
        <v>80</v>
      </c>
      <c r="H368">
        <v>79.911209106000001</v>
      </c>
      <c r="I368">
        <v>50</v>
      </c>
      <c r="J368">
        <v>16.926208496000001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102.044173</v>
      </c>
      <c r="B369" s="1">
        <f>DATE(2010,8,11) + TIME(1,3,36)</f>
        <v>40401.044166666667</v>
      </c>
      <c r="C369">
        <v>1380.6961670000001</v>
      </c>
      <c r="D369">
        <v>1367.0935059000001</v>
      </c>
      <c r="E369">
        <v>1261.4171143000001</v>
      </c>
      <c r="F369">
        <v>1222.6003418</v>
      </c>
      <c r="G369">
        <v>80</v>
      </c>
      <c r="H369">
        <v>79.911262511999993</v>
      </c>
      <c r="I369">
        <v>50</v>
      </c>
      <c r="J369">
        <v>17.012096405000001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102.43253900000001</v>
      </c>
      <c r="B370" s="1">
        <f>DATE(2010,8,11) + TIME(10,22,51)</f>
        <v>40401.432534722226</v>
      </c>
      <c r="C370">
        <v>1380.6611327999999</v>
      </c>
      <c r="D370">
        <v>1367.0599365</v>
      </c>
      <c r="E370">
        <v>1261.5073242000001</v>
      </c>
      <c r="F370">
        <v>1222.7446289</v>
      </c>
      <c r="G370">
        <v>80</v>
      </c>
      <c r="H370">
        <v>79.911308289000004</v>
      </c>
      <c r="I370">
        <v>50</v>
      </c>
      <c r="J370">
        <v>17.100671768000002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103.209272</v>
      </c>
      <c r="B371" s="1">
        <f>DATE(2010,8,12) + TIME(5,1,21)</f>
        <v>40402.209270833337</v>
      </c>
      <c r="C371">
        <v>1380.6264647999999</v>
      </c>
      <c r="D371">
        <v>1367.0266113</v>
      </c>
      <c r="E371">
        <v>1261.5855713000001</v>
      </c>
      <c r="F371">
        <v>1222.9180908000001</v>
      </c>
      <c r="G371">
        <v>80</v>
      </c>
      <c r="H371">
        <v>79.911407471000004</v>
      </c>
      <c r="I371">
        <v>50</v>
      </c>
      <c r="J371">
        <v>17.239532471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103.98803599999999</v>
      </c>
      <c r="B372" s="1">
        <f>DATE(2010,8,12) + TIME(23,42,46)</f>
        <v>40402.988032407404</v>
      </c>
      <c r="C372">
        <v>1380.5573730000001</v>
      </c>
      <c r="D372">
        <v>1366.9603271000001</v>
      </c>
      <c r="E372">
        <v>1261.7742920000001</v>
      </c>
      <c r="F372">
        <v>1223.2069091999999</v>
      </c>
      <c r="G372">
        <v>80</v>
      </c>
      <c r="H372">
        <v>79.911506653000004</v>
      </c>
      <c r="I372">
        <v>50</v>
      </c>
      <c r="J372">
        <v>17.407974243000002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104.78649299999999</v>
      </c>
      <c r="B373" s="1">
        <f>DATE(2010,8,13) + TIME(18,52,32)</f>
        <v>40403.786481481482</v>
      </c>
      <c r="C373">
        <v>1380.487793</v>
      </c>
      <c r="D373">
        <v>1366.8935547000001</v>
      </c>
      <c r="E373">
        <v>1261.9642334</v>
      </c>
      <c r="F373">
        <v>1223.5155029</v>
      </c>
      <c r="G373">
        <v>80</v>
      </c>
      <c r="H373">
        <v>79.911605835000003</v>
      </c>
      <c r="I373">
        <v>50</v>
      </c>
      <c r="J373">
        <v>17.599628448000001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105.60458300000001</v>
      </c>
      <c r="B374" s="1">
        <f>DATE(2010,8,14) + TIME(14,30,35)</f>
        <v>40404.604571759257</v>
      </c>
      <c r="C374">
        <v>1380.4167480000001</v>
      </c>
      <c r="D374">
        <v>1366.8253173999999</v>
      </c>
      <c r="E374">
        <v>1262.1613769999999</v>
      </c>
      <c r="F374">
        <v>1223.8466797000001</v>
      </c>
      <c r="G374">
        <v>80</v>
      </c>
      <c r="H374">
        <v>79.911705017000003</v>
      </c>
      <c r="I374">
        <v>50</v>
      </c>
      <c r="J374">
        <v>17.811698914000001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106.42464699999999</v>
      </c>
      <c r="B375" s="1">
        <f>DATE(2010,8,15) + TIME(10,11,29)</f>
        <v>40405.424641203703</v>
      </c>
      <c r="C375">
        <v>1380.3441161999999</v>
      </c>
      <c r="D375">
        <v>1366.7556152</v>
      </c>
      <c r="E375">
        <v>1262.3669434000001</v>
      </c>
      <c r="F375">
        <v>1224.1987305</v>
      </c>
      <c r="G375">
        <v>80</v>
      </c>
      <c r="H375">
        <v>79.911804199000002</v>
      </c>
      <c r="I375">
        <v>50</v>
      </c>
      <c r="J375">
        <v>18.040473938000002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107.248645</v>
      </c>
      <c r="B376" s="1">
        <f>DATE(2010,8,16) + TIME(5,58,2)</f>
        <v>40406.24863425926</v>
      </c>
      <c r="C376">
        <v>1380.2717285000001</v>
      </c>
      <c r="D376">
        <v>1366.6859131000001</v>
      </c>
      <c r="E376">
        <v>1262.5759277</v>
      </c>
      <c r="F376">
        <v>1224.5660399999999</v>
      </c>
      <c r="G376">
        <v>80</v>
      </c>
      <c r="H376">
        <v>79.911903381000002</v>
      </c>
      <c r="I376">
        <v>50</v>
      </c>
      <c r="J376">
        <v>18.283987045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108.079086</v>
      </c>
      <c r="B377" s="1">
        <f>DATE(2010,8,17) + TIME(1,53,53)</f>
        <v>40407.079085648147</v>
      </c>
      <c r="C377">
        <v>1380.1992187999999</v>
      </c>
      <c r="D377">
        <v>1366.6162108999999</v>
      </c>
      <c r="E377">
        <v>1262.7890625</v>
      </c>
      <c r="F377">
        <v>1224.9483643000001</v>
      </c>
      <c r="G377">
        <v>80</v>
      </c>
      <c r="H377">
        <v>79.912010193</v>
      </c>
      <c r="I377">
        <v>50</v>
      </c>
      <c r="J377">
        <v>18.541469574000001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108.917878</v>
      </c>
      <c r="B378" s="1">
        <f>DATE(2010,8,17) + TIME(22,1,44)</f>
        <v>40407.917870370373</v>
      </c>
      <c r="C378">
        <v>1380.1264647999999</v>
      </c>
      <c r="D378">
        <v>1366.5462646000001</v>
      </c>
      <c r="E378">
        <v>1263.0069579999999</v>
      </c>
      <c r="F378">
        <v>1225.3463135</v>
      </c>
      <c r="G378">
        <v>80</v>
      </c>
      <c r="H378">
        <v>79.912109375</v>
      </c>
      <c r="I378">
        <v>50</v>
      </c>
      <c r="J378">
        <v>18.812679290999998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109.766886</v>
      </c>
      <c r="B379" s="1">
        <f>DATE(2010,8,18) + TIME(18,24,18)</f>
        <v>40408.766875000001</v>
      </c>
      <c r="C379">
        <v>1380.0534668</v>
      </c>
      <c r="D379">
        <v>1366.4760742000001</v>
      </c>
      <c r="E379">
        <v>1263.2303466999999</v>
      </c>
      <c r="F379">
        <v>1225.7604980000001</v>
      </c>
      <c r="G379">
        <v>80</v>
      </c>
      <c r="H379">
        <v>79.912216186999999</v>
      </c>
      <c r="I379">
        <v>50</v>
      </c>
      <c r="J379">
        <v>19.097549438000001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110.622902</v>
      </c>
      <c r="B380" s="1">
        <f>DATE(2010,8,19) + TIME(14,56,58)</f>
        <v>40409.622893518521</v>
      </c>
      <c r="C380">
        <v>1379.9799805</v>
      </c>
      <c r="D380">
        <v>1366.4053954999999</v>
      </c>
      <c r="E380">
        <v>1263.4597168</v>
      </c>
      <c r="F380">
        <v>1226.1906738</v>
      </c>
      <c r="G380">
        <v>80</v>
      </c>
      <c r="H380">
        <v>79.912315368999998</v>
      </c>
      <c r="I380">
        <v>50</v>
      </c>
      <c r="J380">
        <v>19.395307541000001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111.486559</v>
      </c>
      <c r="B381" s="1">
        <f>DATE(2010,8,20) + TIME(11,40,38)</f>
        <v>40410.486550925925</v>
      </c>
      <c r="C381">
        <v>1379.9064940999999</v>
      </c>
      <c r="D381">
        <v>1366.3345947</v>
      </c>
      <c r="E381">
        <v>1263.6940918</v>
      </c>
      <c r="F381">
        <v>1226.6356201000001</v>
      </c>
      <c r="G381">
        <v>80</v>
      </c>
      <c r="H381">
        <v>79.912422179999993</v>
      </c>
      <c r="I381">
        <v>50</v>
      </c>
      <c r="J381">
        <v>19.705350876000001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112.360367</v>
      </c>
      <c r="B382" s="1">
        <f>DATE(2010,8,21) + TIME(8,38,55)</f>
        <v>40411.360358796293</v>
      </c>
      <c r="C382">
        <v>1379.8327637</v>
      </c>
      <c r="D382">
        <v>1366.2636719</v>
      </c>
      <c r="E382">
        <v>1263.9333495999999</v>
      </c>
      <c r="F382">
        <v>1227.0950928</v>
      </c>
      <c r="G382">
        <v>80</v>
      </c>
      <c r="H382">
        <v>79.912528992000006</v>
      </c>
      <c r="I382">
        <v>50</v>
      </c>
      <c r="J382">
        <v>20.027473449999999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113.24601</v>
      </c>
      <c r="B383" s="1">
        <f>DATE(2010,8,22) + TIME(5,54,15)</f>
        <v>40412.246006944442</v>
      </c>
      <c r="C383">
        <v>1379.7587891000001</v>
      </c>
      <c r="D383">
        <v>1366.1925048999999</v>
      </c>
      <c r="E383">
        <v>1264.1781006000001</v>
      </c>
      <c r="F383">
        <v>1227.5698242000001</v>
      </c>
      <c r="G383">
        <v>80</v>
      </c>
      <c r="H383">
        <v>79.912635803000001</v>
      </c>
      <c r="I383">
        <v>50</v>
      </c>
      <c r="J383">
        <v>20.361894608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114.14296899999999</v>
      </c>
      <c r="B384" s="1">
        <f>DATE(2010,8,23) + TIME(3,25,52)</f>
        <v>40413.142962962964</v>
      </c>
      <c r="C384">
        <v>1379.6844481999999</v>
      </c>
      <c r="D384">
        <v>1366.1209716999999</v>
      </c>
      <c r="E384">
        <v>1264.4287108999999</v>
      </c>
      <c r="F384">
        <v>1228.0594481999999</v>
      </c>
      <c r="G384">
        <v>80</v>
      </c>
      <c r="H384">
        <v>79.912742614999999</v>
      </c>
      <c r="I384">
        <v>50</v>
      </c>
      <c r="J384">
        <v>20.707685471000001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115.053665</v>
      </c>
      <c r="B385" s="1">
        <f>DATE(2010,8,24) + TIME(1,17,16)</f>
        <v>40414.053657407407</v>
      </c>
      <c r="C385">
        <v>1379.6098632999999</v>
      </c>
      <c r="D385">
        <v>1366.0493164</v>
      </c>
      <c r="E385">
        <v>1264.6850586</v>
      </c>
      <c r="F385">
        <v>1228.5633545000001</v>
      </c>
      <c r="G385">
        <v>80</v>
      </c>
      <c r="H385">
        <v>79.912857056000007</v>
      </c>
      <c r="I385">
        <v>50</v>
      </c>
      <c r="J385">
        <v>21.064479828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115.980401</v>
      </c>
      <c r="B386" s="1">
        <f>DATE(2010,8,24) + TIME(23,31,46)</f>
        <v>40414.980393518519</v>
      </c>
      <c r="C386">
        <v>1379.5349120999999</v>
      </c>
      <c r="D386">
        <v>1365.9772949000001</v>
      </c>
      <c r="E386">
        <v>1264.9476318</v>
      </c>
      <c r="F386">
        <v>1229.0820312000001</v>
      </c>
      <c r="G386">
        <v>80</v>
      </c>
      <c r="H386">
        <v>79.912963867000002</v>
      </c>
      <c r="I386">
        <v>50</v>
      </c>
      <c r="J386">
        <v>21.432098389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116.925442</v>
      </c>
      <c r="B387" s="1">
        <f>DATE(2010,8,25) + TIME(22,12,38)</f>
        <v>40415.925439814811</v>
      </c>
      <c r="C387">
        <v>1379.4595947</v>
      </c>
      <c r="D387">
        <v>1365.9049072</v>
      </c>
      <c r="E387">
        <v>1265.2167969</v>
      </c>
      <c r="F387">
        <v>1229.6156006000001</v>
      </c>
      <c r="G387">
        <v>80</v>
      </c>
      <c r="H387">
        <v>79.913078307999996</v>
      </c>
      <c r="I387">
        <v>50</v>
      </c>
      <c r="J387">
        <v>21.810413360999998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117.88640700000001</v>
      </c>
      <c r="B388" s="1">
        <f>DATE(2010,8,26) + TIME(21,16,25)</f>
        <v>40416.886400462965</v>
      </c>
      <c r="C388">
        <v>1379.3836670000001</v>
      </c>
      <c r="D388">
        <v>1365.8320312000001</v>
      </c>
      <c r="E388">
        <v>1265.4931641000001</v>
      </c>
      <c r="F388">
        <v>1230.1638184000001</v>
      </c>
      <c r="G388">
        <v>80</v>
      </c>
      <c r="H388">
        <v>79.913192749000004</v>
      </c>
      <c r="I388">
        <v>50</v>
      </c>
      <c r="J388">
        <v>22.198534012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118.864828</v>
      </c>
      <c r="B389" s="1">
        <f>DATE(2010,8,27) + TIME(20,45,21)</f>
        <v>40417.86482638889</v>
      </c>
      <c r="C389">
        <v>1379.3074951000001</v>
      </c>
      <c r="D389">
        <v>1365.7589111</v>
      </c>
      <c r="E389">
        <v>1265.7756348</v>
      </c>
      <c r="F389">
        <v>1230.7247314000001</v>
      </c>
      <c r="G389">
        <v>80</v>
      </c>
      <c r="H389">
        <v>79.913314818999993</v>
      </c>
      <c r="I389">
        <v>50</v>
      </c>
      <c r="J389">
        <v>22.595682144000001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119.860038</v>
      </c>
      <c r="B390" s="1">
        <f>DATE(2010,8,28) + TIME(20,38,27)</f>
        <v>40418.860034722224</v>
      </c>
      <c r="C390">
        <v>1379.2310791</v>
      </c>
      <c r="D390">
        <v>1365.6856689000001</v>
      </c>
      <c r="E390">
        <v>1266.0643310999999</v>
      </c>
      <c r="F390">
        <v>1231.2976074000001</v>
      </c>
      <c r="G390">
        <v>80</v>
      </c>
      <c r="H390">
        <v>79.913429260000001</v>
      </c>
      <c r="I390">
        <v>50</v>
      </c>
      <c r="J390">
        <v>23.000858307000001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120.872834</v>
      </c>
      <c r="B391" s="1">
        <f>DATE(2010,8,29) + TIME(20,56,52)</f>
        <v>40419.872824074075</v>
      </c>
      <c r="C391">
        <v>1379.1545410000001</v>
      </c>
      <c r="D391">
        <v>1365.6121826000001</v>
      </c>
      <c r="E391">
        <v>1266.3585204999999</v>
      </c>
      <c r="F391">
        <v>1231.8809814000001</v>
      </c>
      <c r="G391">
        <v>80</v>
      </c>
      <c r="H391">
        <v>79.913551330999994</v>
      </c>
      <c r="I391">
        <v>50</v>
      </c>
      <c r="J391">
        <v>23.413131713999999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121.90467700000001</v>
      </c>
      <c r="B392" s="1">
        <f>DATE(2010,8,30) + TIME(21,42,44)</f>
        <v>40420.904675925929</v>
      </c>
      <c r="C392">
        <v>1379.0778809000001</v>
      </c>
      <c r="D392">
        <v>1365.5386963000001</v>
      </c>
      <c r="E392">
        <v>1266.6582031</v>
      </c>
      <c r="F392">
        <v>1232.4738769999999</v>
      </c>
      <c r="G392">
        <v>80</v>
      </c>
      <c r="H392">
        <v>79.913673400999997</v>
      </c>
      <c r="I392">
        <v>50</v>
      </c>
      <c r="J392">
        <v>23.831819534000001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122.45233899999999</v>
      </c>
      <c r="B393" s="1">
        <f>DATE(2010,8,31) + TIME(10,51,22)</f>
        <v>40421.452337962961</v>
      </c>
      <c r="C393">
        <v>1379.0013428</v>
      </c>
      <c r="D393">
        <v>1365.4655762</v>
      </c>
      <c r="E393">
        <v>1266.9742432</v>
      </c>
      <c r="F393">
        <v>1232.9976807</v>
      </c>
      <c r="G393">
        <v>80</v>
      </c>
      <c r="H393">
        <v>79.913726807000003</v>
      </c>
      <c r="I393">
        <v>50</v>
      </c>
      <c r="J393">
        <v>24.135314941000001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123</v>
      </c>
      <c r="B394" s="1">
        <f>DATE(2010,9,1) + TIME(0,0,0)</f>
        <v>40422</v>
      </c>
      <c r="C394">
        <v>1378.9604492000001</v>
      </c>
      <c r="D394">
        <v>1365.4263916</v>
      </c>
      <c r="E394">
        <v>1267.1319579999999</v>
      </c>
      <c r="F394">
        <v>1233.3475341999999</v>
      </c>
      <c r="G394">
        <v>80</v>
      </c>
      <c r="H394">
        <v>79.913787842000005</v>
      </c>
      <c r="I394">
        <v>50</v>
      </c>
      <c r="J394">
        <v>24.405870438000001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123.996368</v>
      </c>
      <c r="B395" s="1">
        <f>DATE(2010,9,1) + TIME(23,54,46)</f>
        <v>40422.996365740742</v>
      </c>
      <c r="C395">
        <v>1378.9205322</v>
      </c>
      <c r="D395">
        <v>1365.3881836</v>
      </c>
      <c r="E395">
        <v>1267.2851562000001</v>
      </c>
      <c r="F395">
        <v>1233.7451172000001</v>
      </c>
      <c r="G395">
        <v>80</v>
      </c>
      <c r="H395">
        <v>79.913917541999993</v>
      </c>
      <c r="I395">
        <v>50</v>
      </c>
      <c r="J395">
        <v>24.747888565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125.074708</v>
      </c>
      <c r="B396" s="1">
        <f>DATE(2010,9,3) + TIME(1,47,34)</f>
        <v>40424.074699074074</v>
      </c>
      <c r="C396">
        <v>1378.8493652</v>
      </c>
      <c r="D396">
        <v>1365.3201904</v>
      </c>
      <c r="E396">
        <v>1267.5780029</v>
      </c>
      <c r="F396">
        <v>1234.3057861</v>
      </c>
      <c r="G396">
        <v>80</v>
      </c>
      <c r="H396">
        <v>79.914039611999996</v>
      </c>
      <c r="I396">
        <v>50</v>
      </c>
      <c r="J396">
        <v>25.135396957000001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126.181791</v>
      </c>
      <c r="B397" s="1">
        <f>DATE(2010,9,4) + TIME(4,21,46)</f>
        <v>40425.18178240741</v>
      </c>
      <c r="C397">
        <v>1378.7735596</v>
      </c>
      <c r="D397">
        <v>1365.2478027</v>
      </c>
      <c r="E397">
        <v>1267.8925781</v>
      </c>
      <c r="F397">
        <v>1234.9064940999999</v>
      </c>
      <c r="G397">
        <v>80</v>
      </c>
      <c r="H397">
        <v>79.914169311999999</v>
      </c>
      <c r="I397">
        <v>50</v>
      </c>
      <c r="J397">
        <v>25.551250457999998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127.321432</v>
      </c>
      <c r="B398" s="1">
        <f>DATE(2010,9,5) + TIME(7,42,51)</f>
        <v>40426.321423611109</v>
      </c>
      <c r="C398">
        <v>1378.6970214999999</v>
      </c>
      <c r="D398">
        <v>1365.1748047000001</v>
      </c>
      <c r="E398">
        <v>1268.2122803</v>
      </c>
      <c r="F398">
        <v>1235.5225829999999</v>
      </c>
      <c r="G398">
        <v>80</v>
      </c>
      <c r="H398">
        <v>79.914306640999996</v>
      </c>
      <c r="I398">
        <v>50</v>
      </c>
      <c r="J398">
        <v>25.982910155999999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128.491817</v>
      </c>
      <c r="B399" s="1">
        <f>DATE(2010,9,6) + TIME(11,48,13)</f>
        <v>40427.49181712963</v>
      </c>
      <c r="C399">
        <v>1378.6199951000001</v>
      </c>
      <c r="D399">
        <v>1365.1013184000001</v>
      </c>
      <c r="E399">
        <v>1268.5382079999999</v>
      </c>
      <c r="F399">
        <v>1236.1501464999999</v>
      </c>
      <c r="G399">
        <v>80</v>
      </c>
      <c r="H399">
        <v>79.914436339999995</v>
      </c>
      <c r="I399">
        <v>50</v>
      </c>
      <c r="J399">
        <v>26.424274445000002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129.66966199999999</v>
      </c>
      <c r="B400" s="1">
        <f>DATE(2010,9,7) + TIME(16,4,18)</f>
        <v>40428.669652777775</v>
      </c>
      <c r="C400">
        <v>1378.5424805</v>
      </c>
      <c r="D400">
        <v>1365.0274658000001</v>
      </c>
      <c r="E400">
        <v>1268.8692627</v>
      </c>
      <c r="F400">
        <v>1236.7830810999999</v>
      </c>
      <c r="G400">
        <v>80</v>
      </c>
      <c r="H400">
        <v>79.914573669000006</v>
      </c>
      <c r="I400">
        <v>50</v>
      </c>
      <c r="J400">
        <v>26.868436812999999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130.858036</v>
      </c>
      <c r="B401" s="1">
        <f>DATE(2010,9,8) + TIME(20,35,34)</f>
        <v>40429.858032407406</v>
      </c>
      <c r="C401">
        <v>1378.4661865</v>
      </c>
      <c r="D401">
        <v>1364.9549560999999</v>
      </c>
      <c r="E401">
        <v>1269.1983643000001</v>
      </c>
      <c r="F401">
        <v>1237.4112548999999</v>
      </c>
      <c r="G401">
        <v>80</v>
      </c>
      <c r="H401">
        <v>79.914710998999993</v>
      </c>
      <c r="I401">
        <v>50</v>
      </c>
      <c r="J401">
        <v>27.310825348000002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132.05993699999999</v>
      </c>
      <c r="B402" s="1">
        <f>DATE(2010,9,10) + TIME(1,26,18)</f>
        <v>40431.059930555559</v>
      </c>
      <c r="C402">
        <v>1378.3909911999999</v>
      </c>
      <c r="D402">
        <v>1364.8834228999999</v>
      </c>
      <c r="E402">
        <v>1269.5257568</v>
      </c>
      <c r="F402">
        <v>1238.0335693</v>
      </c>
      <c r="G402">
        <v>80</v>
      </c>
      <c r="H402">
        <v>79.914848328000005</v>
      </c>
      <c r="I402">
        <v>50</v>
      </c>
      <c r="J402">
        <v>27.749931334999999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133.278381</v>
      </c>
      <c r="B403" s="1">
        <f>DATE(2010,9,11) + TIME(6,40,52)</f>
        <v>40432.278379629628</v>
      </c>
      <c r="C403">
        <v>1378.3166504000001</v>
      </c>
      <c r="D403">
        <v>1364.8128661999999</v>
      </c>
      <c r="E403">
        <v>1269.8518065999999</v>
      </c>
      <c r="F403">
        <v>1238.6500243999999</v>
      </c>
      <c r="G403">
        <v>80</v>
      </c>
      <c r="H403">
        <v>79.914985657000003</v>
      </c>
      <c r="I403">
        <v>50</v>
      </c>
      <c r="J403">
        <v>28.185483932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134.51120599999999</v>
      </c>
      <c r="B404" s="1">
        <f>DATE(2010,9,12) + TIME(12,16,8)</f>
        <v>40433.511203703703</v>
      </c>
      <c r="C404">
        <v>1378.2431641000001</v>
      </c>
      <c r="D404">
        <v>1364.7431641000001</v>
      </c>
      <c r="E404">
        <v>1270.1767577999999</v>
      </c>
      <c r="F404">
        <v>1239.2606201000001</v>
      </c>
      <c r="G404">
        <v>80</v>
      </c>
      <c r="H404">
        <v>79.915122986</v>
      </c>
      <c r="I404">
        <v>50</v>
      </c>
      <c r="J404">
        <v>28.617004394999999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135.746128</v>
      </c>
      <c r="B405" s="1">
        <f>DATE(2010,9,13) + TIME(17,54,25)</f>
        <v>40434.746122685188</v>
      </c>
      <c r="C405">
        <v>1378.1704102000001</v>
      </c>
      <c r="D405">
        <v>1364.6741943</v>
      </c>
      <c r="E405">
        <v>1270.4996338000001</v>
      </c>
      <c r="F405">
        <v>1239.8629149999999</v>
      </c>
      <c r="G405">
        <v>80</v>
      </c>
      <c r="H405">
        <v>79.915267943999993</v>
      </c>
      <c r="I405">
        <v>50</v>
      </c>
      <c r="J405">
        <v>29.042285919000001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136.986287</v>
      </c>
      <c r="B406" s="1">
        <f>DATE(2010,9,14) + TIME(23,40,15)</f>
        <v>40435.986284722225</v>
      </c>
      <c r="C406">
        <v>1378.0994873</v>
      </c>
      <c r="D406">
        <v>1364.6070557</v>
      </c>
      <c r="E406">
        <v>1270.8170166</v>
      </c>
      <c r="F406">
        <v>1240.4526367000001</v>
      </c>
      <c r="G406">
        <v>80</v>
      </c>
      <c r="H406">
        <v>79.915405273000005</v>
      </c>
      <c r="I406">
        <v>50</v>
      </c>
      <c r="J406">
        <v>29.459880828999999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138.23479399999999</v>
      </c>
      <c r="B407" s="1">
        <f>DATE(2010,9,16) + TIME(5,38,6)</f>
        <v>40437.234791666669</v>
      </c>
      <c r="C407">
        <v>1378.0297852000001</v>
      </c>
      <c r="D407">
        <v>1364.5411377</v>
      </c>
      <c r="E407">
        <v>1271.1296387</v>
      </c>
      <c r="F407">
        <v>1241.0302733999999</v>
      </c>
      <c r="G407">
        <v>80</v>
      </c>
      <c r="H407">
        <v>79.915542603000006</v>
      </c>
      <c r="I407">
        <v>50</v>
      </c>
      <c r="J407">
        <v>29.869785309000001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139.49461700000001</v>
      </c>
      <c r="B408" s="1">
        <f>DATE(2010,9,17) + TIME(11,52,14)</f>
        <v>40438.494606481479</v>
      </c>
      <c r="C408">
        <v>1377.9614257999999</v>
      </c>
      <c r="D408">
        <v>1364.4765625</v>
      </c>
      <c r="E408">
        <v>1271.4378661999999</v>
      </c>
      <c r="F408">
        <v>1241.5969238</v>
      </c>
      <c r="G408">
        <v>80</v>
      </c>
      <c r="H408">
        <v>79.915687560999999</v>
      </c>
      <c r="I408">
        <v>50</v>
      </c>
      <c r="J408">
        <v>30.27261734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140.76892900000001</v>
      </c>
      <c r="B409" s="1">
        <f>DATE(2010,9,18) + TIME(18,27,15)</f>
        <v>40439.768923611111</v>
      </c>
      <c r="C409">
        <v>1377.8941649999999</v>
      </c>
      <c r="D409">
        <v>1364.4129639</v>
      </c>
      <c r="E409">
        <v>1271.7424315999999</v>
      </c>
      <c r="F409">
        <v>1242.1536865</v>
      </c>
      <c r="G409">
        <v>80</v>
      </c>
      <c r="H409">
        <v>79.915824889999996</v>
      </c>
      <c r="I409">
        <v>50</v>
      </c>
      <c r="J409">
        <v>30.669065475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142.06102899999999</v>
      </c>
      <c r="B410" s="1">
        <f>DATE(2010,9,20) + TIME(1,27,52)</f>
        <v>40441.061018518521</v>
      </c>
      <c r="C410">
        <v>1377.8276367000001</v>
      </c>
      <c r="D410">
        <v>1364.3502197</v>
      </c>
      <c r="E410">
        <v>1272.0438231999999</v>
      </c>
      <c r="F410">
        <v>1242.7017822</v>
      </c>
      <c r="G410">
        <v>80</v>
      </c>
      <c r="H410">
        <v>79.915969849000007</v>
      </c>
      <c r="I410">
        <v>50</v>
      </c>
      <c r="J410">
        <v>31.059940338000001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143.37424100000001</v>
      </c>
      <c r="B411" s="1">
        <f>DATE(2010,9,21) + TIME(8,58,54)</f>
        <v>40442.374236111114</v>
      </c>
      <c r="C411">
        <v>1377.7619629000001</v>
      </c>
      <c r="D411">
        <v>1364.2883300999999</v>
      </c>
      <c r="E411">
        <v>1272.3426514</v>
      </c>
      <c r="F411">
        <v>1243.2421875</v>
      </c>
      <c r="G411">
        <v>80</v>
      </c>
      <c r="H411">
        <v>79.916114807</v>
      </c>
      <c r="I411">
        <v>50</v>
      </c>
      <c r="J411">
        <v>31.446052551000001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144.70416</v>
      </c>
      <c r="B412" s="1">
        <f>DATE(2010,9,22) + TIME(16,53,59)</f>
        <v>40443.704155092593</v>
      </c>
      <c r="C412">
        <v>1377.6967772999999</v>
      </c>
      <c r="D412">
        <v>1364.2269286999999</v>
      </c>
      <c r="E412">
        <v>1272.6394043</v>
      </c>
      <c r="F412">
        <v>1243.7755127</v>
      </c>
      <c r="G412">
        <v>80</v>
      </c>
      <c r="H412">
        <v>79.916259765999996</v>
      </c>
      <c r="I412">
        <v>50</v>
      </c>
      <c r="J412">
        <v>31.827327728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146.03838400000001</v>
      </c>
      <c r="B413" s="1">
        <f>DATE(2010,9,24) + TIME(0,55,16)</f>
        <v>40445.03837962963</v>
      </c>
      <c r="C413">
        <v>1377.6323242000001</v>
      </c>
      <c r="D413">
        <v>1364.1662598</v>
      </c>
      <c r="E413">
        <v>1272.9329834</v>
      </c>
      <c r="F413">
        <v>1244.2996826000001</v>
      </c>
      <c r="G413">
        <v>80</v>
      </c>
      <c r="H413">
        <v>79.916412354000002</v>
      </c>
      <c r="I413">
        <v>50</v>
      </c>
      <c r="J413">
        <v>32.202091217000003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147.37939399999999</v>
      </c>
      <c r="B414" s="1">
        <f>DATE(2010,9,25) + TIME(9,6,19)</f>
        <v>40446.379386574074</v>
      </c>
      <c r="C414">
        <v>1377.5693358999999</v>
      </c>
      <c r="D414">
        <v>1364.1070557</v>
      </c>
      <c r="E414">
        <v>1273.2207031</v>
      </c>
      <c r="F414">
        <v>1244.8114014</v>
      </c>
      <c r="G414">
        <v>80</v>
      </c>
      <c r="H414">
        <v>79.916557311999995</v>
      </c>
      <c r="I414">
        <v>50</v>
      </c>
      <c r="J414">
        <v>32.569152832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148.72977499999999</v>
      </c>
      <c r="B415" s="1">
        <f>DATE(2010,9,26) + TIME(17,30,52)</f>
        <v>40447.729768518519</v>
      </c>
      <c r="C415">
        <v>1377.5075684000001</v>
      </c>
      <c r="D415">
        <v>1364.0489502</v>
      </c>
      <c r="E415">
        <v>1273.5029297000001</v>
      </c>
      <c r="F415">
        <v>1245.3112793</v>
      </c>
      <c r="G415">
        <v>80</v>
      </c>
      <c r="H415">
        <v>79.916702271000005</v>
      </c>
      <c r="I415">
        <v>50</v>
      </c>
      <c r="J415">
        <v>32.928562163999999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150.09241800000001</v>
      </c>
      <c r="B416" s="1">
        <f>DATE(2010,9,28) + TIME(2,13,4)</f>
        <v>40449.092407407406</v>
      </c>
      <c r="C416">
        <v>1377.4467772999999</v>
      </c>
      <c r="D416">
        <v>1363.9919434000001</v>
      </c>
      <c r="E416">
        <v>1273.7803954999999</v>
      </c>
      <c r="F416">
        <v>1245.800293</v>
      </c>
      <c r="G416">
        <v>80</v>
      </c>
      <c r="H416">
        <v>79.916854857999994</v>
      </c>
      <c r="I416">
        <v>50</v>
      </c>
      <c r="J416">
        <v>33.280864716000004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151.47078500000001</v>
      </c>
      <c r="B417" s="1">
        <f>DATE(2010,9,29) + TIME(11,17,55)</f>
        <v>40450.470775462964</v>
      </c>
      <c r="C417">
        <v>1377.3870850000001</v>
      </c>
      <c r="D417">
        <v>1363.9359131000001</v>
      </c>
      <c r="E417">
        <v>1274.0535889</v>
      </c>
      <c r="F417">
        <v>1246.2796631000001</v>
      </c>
      <c r="G417">
        <v>80</v>
      </c>
      <c r="H417">
        <v>79.916999817000004</v>
      </c>
      <c r="I417">
        <v>50</v>
      </c>
      <c r="J417">
        <v>33.626823424999998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152.868888</v>
      </c>
      <c r="B418" s="1">
        <f>DATE(2010,9,30) + TIME(20,51,11)</f>
        <v>40451.868877314817</v>
      </c>
      <c r="C418">
        <v>1377.3280029</v>
      </c>
      <c r="D418">
        <v>1363.8806152</v>
      </c>
      <c r="E418">
        <v>1274.3232422000001</v>
      </c>
      <c r="F418">
        <v>1246.7504882999999</v>
      </c>
      <c r="G418">
        <v>80</v>
      </c>
      <c r="H418">
        <v>79.917152404999996</v>
      </c>
      <c r="I418">
        <v>50</v>
      </c>
      <c r="J418">
        <v>33.967315673999998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153</v>
      </c>
      <c r="B419" s="1">
        <f>DATE(2010,10,1) + TIME(0,0,0)</f>
        <v>40452</v>
      </c>
      <c r="C419">
        <v>1377.2740478999999</v>
      </c>
      <c r="D419">
        <v>1363.8302002</v>
      </c>
      <c r="E419">
        <v>1274.5831298999999</v>
      </c>
      <c r="F419">
        <v>1247.057251</v>
      </c>
      <c r="G419">
        <v>80</v>
      </c>
      <c r="H419">
        <v>79.917160034000005</v>
      </c>
      <c r="I419">
        <v>50</v>
      </c>
      <c r="J419">
        <v>34.041778563999998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154.419197</v>
      </c>
      <c r="B420" s="1">
        <f>DATE(2010,10,2) + TIME(10,3,38)</f>
        <v>40453.419189814813</v>
      </c>
      <c r="C420">
        <v>1377.2639160000001</v>
      </c>
      <c r="D420">
        <v>1363.8205565999999</v>
      </c>
      <c r="E420">
        <v>1274.6165771000001</v>
      </c>
      <c r="F420">
        <v>1247.2684326000001</v>
      </c>
      <c r="G420">
        <v>80</v>
      </c>
      <c r="H420">
        <v>79.917320251000007</v>
      </c>
      <c r="I420">
        <v>50</v>
      </c>
      <c r="J420">
        <v>34.349048615000001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155.13655</v>
      </c>
      <c r="B421" s="1">
        <f>DATE(2010,10,3) + TIME(3,16,37)</f>
        <v>40454.13653935185</v>
      </c>
      <c r="C421">
        <v>1377.2069091999999</v>
      </c>
      <c r="D421">
        <v>1363.7672118999999</v>
      </c>
      <c r="E421">
        <v>1274.8754882999999</v>
      </c>
      <c r="F421">
        <v>1247.6649170000001</v>
      </c>
      <c r="G421">
        <v>80</v>
      </c>
      <c r="H421">
        <v>79.917388915999993</v>
      </c>
      <c r="I421">
        <v>50</v>
      </c>
      <c r="J421">
        <v>34.585182189999998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155.85390200000001</v>
      </c>
      <c r="B422" s="1">
        <f>DATE(2010,10,3) + TIME(20,29,37)</f>
        <v>40454.853900462964</v>
      </c>
      <c r="C422">
        <v>1377.1777344</v>
      </c>
      <c r="D422">
        <v>1363.7399902</v>
      </c>
      <c r="E422">
        <v>1275.0093993999999</v>
      </c>
      <c r="F422">
        <v>1247.9160156</v>
      </c>
      <c r="G422">
        <v>80</v>
      </c>
      <c r="H422">
        <v>79.917465210000003</v>
      </c>
      <c r="I422">
        <v>50</v>
      </c>
      <c r="J422">
        <v>34.785037994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156.57125500000001</v>
      </c>
      <c r="B423" s="1">
        <f>DATE(2010,10,4) + TIME(13,42,36)</f>
        <v>40455.571250000001</v>
      </c>
      <c r="C423">
        <v>1377.1495361</v>
      </c>
      <c r="D423">
        <v>1363.7136230000001</v>
      </c>
      <c r="E423">
        <v>1275.1401367000001</v>
      </c>
      <c r="F423">
        <v>1248.1512451000001</v>
      </c>
      <c r="G423">
        <v>80</v>
      </c>
      <c r="H423">
        <v>79.917541503999999</v>
      </c>
      <c r="I423">
        <v>50</v>
      </c>
      <c r="J423">
        <v>34.964839935000001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157.28860700000001</v>
      </c>
      <c r="B424" s="1">
        <f>DATE(2010,10,5) + TIME(6,55,35)</f>
        <v>40456.288599537038</v>
      </c>
      <c r="C424">
        <v>1377.1217041</v>
      </c>
      <c r="D424">
        <v>1363.6875</v>
      </c>
      <c r="E424">
        <v>1275.2681885</v>
      </c>
      <c r="F424">
        <v>1248.3764647999999</v>
      </c>
      <c r="G424">
        <v>80</v>
      </c>
      <c r="H424">
        <v>79.917617797999995</v>
      </c>
      <c r="I424">
        <v>50</v>
      </c>
      <c r="J424">
        <v>35.133094788000001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158.00595999999999</v>
      </c>
      <c r="B425" s="1">
        <f>DATE(2010,10,6) + TIME(0,8,34)</f>
        <v>40457.005949074075</v>
      </c>
      <c r="C425">
        <v>1377.0941161999999</v>
      </c>
      <c r="D425">
        <v>1363.6618652</v>
      </c>
      <c r="E425">
        <v>1275.3942870999999</v>
      </c>
      <c r="F425">
        <v>1248.5948486</v>
      </c>
      <c r="G425">
        <v>80</v>
      </c>
      <c r="H425">
        <v>79.917694092000005</v>
      </c>
      <c r="I425">
        <v>50</v>
      </c>
      <c r="J425">
        <v>35.294273376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158.72331299999999</v>
      </c>
      <c r="B426" s="1">
        <f>DATE(2010,10,6) + TIME(17,21,34)</f>
        <v>40457.723310185182</v>
      </c>
      <c r="C426">
        <v>1377.0670166</v>
      </c>
      <c r="D426">
        <v>1363.6364745999999</v>
      </c>
      <c r="E426">
        <v>1275.5183105000001</v>
      </c>
      <c r="F426">
        <v>1248.8082274999999</v>
      </c>
      <c r="G426">
        <v>80</v>
      </c>
      <c r="H426">
        <v>79.917778014999996</v>
      </c>
      <c r="I426">
        <v>50</v>
      </c>
      <c r="J426">
        <v>35.450752258000001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159.440665</v>
      </c>
      <c r="B427" s="1">
        <f>DATE(2010,10,7) + TIME(10,34,33)</f>
        <v>40458.440659722219</v>
      </c>
      <c r="C427">
        <v>1377.0401611</v>
      </c>
      <c r="D427">
        <v>1363.6113281</v>
      </c>
      <c r="E427">
        <v>1275.6407471</v>
      </c>
      <c r="F427">
        <v>1249.0175781</v>
      </c>
      <c r="G427">
        <v>80</v>
      </c>
      <c r="H427">
        <v>79.917854309000006</v>
      </c>
      <c r="I427">
        <v>50</v>
      </c>
      <c r="J427">
        <v>35.603786468999999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160.87537</v>
      </c>
      <c r="B428" s="1">
        <f>DATE(2010,10,8) + TIME(21,0,32)</f>
        <v>40459.87537037037</v>
      </c>
      <c r="C428">
        <v>1377.0136719</v>
      </c>
      <c r="D428">
        <v>1363.5866699000001</v>
      </c>
      <c r="E428">
        <v>1275.7640381000001</v>
      </c>
      <c r="F428">
        <v>1249.2556152</v>
      </c>
      <c r="G428">
        <v>80</v>
      </c>
      <c r="H428">
        <v>79.918014525999993</v>
      </c>
      <c r="I428">
        <v>50</v>
      </c>
      <c r="J428">
        <v>35.807533264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162.311228</v>
      </c>
      <c r="B429" s="1">
        <f>DATE(2010,10,10) + TIME(7,28,10)</f>
        <v>40461.311226851853</v>
      </c>
      <c r="C429">
        <v>1376.9615478999999</v>
      </c>
      <c r="D429">
        <v>1363.5382079999999</v>
      </c>
      <c r="E429">
        <v>1275.9963379000001</v>
      </c>
      <c r="F429">
        <v>1249.6312256000001</v>
      </c>
      <c r="G429">
        <v>80</v>
      </c>
      <c r="H429">
        <v>79.918167113999999</v>
      </c>
      <c r="I429">
        <v>50</v>
      </c>
      <c r="J429">
        <v>36.067153931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163.76442900000001</v>
      </c>
      <c r="B430" s="1">
        <f>DATE(2010,10,11) + TIME(18,20,46)</f>
        <v>40462.764421296299</v>
      </c>
      <c r="C430">
        <v>1376.9104004000001</v>
      </c>
      <c r="D430">
        <v>1363.4904785000001</v>
      </c>
      <c r="E430">
        <v>1276.2265625</v>
      </c>
      <c r="F430">
        <v>1250.0142822</v>
      </c>
      <c r="G430">
        <v>80</v>
      </c>
      <c r="H430">
        <v>79.918319702000005</v>
      </c>
      <c r="I430">
        <v>50</v>
      </c>
      <c r="J430">
        <v>36.342994689999998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165.23820699999999</v>
      </c>
      <c r="B431" s="1">
        <f>DATE(2010,10,13) + TIME(5,43,1)</f>
        <v>40464.238206018519</v>
      </c>
      <c r="C431">
        <v>1376.8598632999999</v>
      </c>
      <c r="D431">
        <v>1363.4433594</v>
      </c>
      <c r="E431">
        <v>1276.4550781</v>
      </c>
      <c r="F431">
        <v>1250.3972168</v>
      </c>
      <c r="G431">
        <v>80</v>
      </c>
      <c r="H431">
        <v>79.918479919000006</v>
      </c>
      <c r="I431">
        <v>50</v>
      </c>
      <c r="J431">
        <v>36.622238158999998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166.73607799999999</v>
      </c>
      <c r="B432" s="1">
        <f>DATE(2010,10,14) + TIME(17,39,57)</f>
        <v>40465.736076388886</v>
      </c>
      <c r="C432">
        <v>1376.8095702999999</v>
      </c>
      <c r="D432">
        <v>1363.3967285000001</v>
      </c>
      <c r="E432">
        <v>1276.6816406</v>
      </c>
      <c r="F432">
        <v>1250.7767334</v>
      </c>
      <c r="G432">
        <v>80</v>
      </c>
      <c r="H432">
        <v>79.918640136999997</v>
      </c>
      <c r="I432">
        <v>50</v>
      </c>
      <c r="J432">
        <v>36.900680542000003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168.26185799999999</v>
      </c>
      <c r="B433" s="1">
        <f>DATE(2010,10,16) + TIME(6,17,4)</f>
        <v>40467.26185185185</v>
      </c>
      <c r="C433">
        <v>1376.7597656</v>
      </c>
      <c r="D433">
        <v>1363.3503418</v>
      </c>
      <c r="E433">
        <v>1276.9066161999999</v>
      </c>
      <c r="F433">
        <v>1251.1525879000001</v>
      </c>
      <c r="G433">
        <v>80</v>
      </c>
      <c r="H433">
        <v>79.918800353999998</v>
      </c>
      <c r="I433">
        <v>50</v>
      </c>
      <c r="J433">
        <v>37.177200317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169.81233499999999</v>
      </c>
      <c r="B434" s="1">
        <f>DATE(2010,10,17) + TIME(19,29,45)</f>
        <v>40468.812326388892</v>
      </c>
      <c r="C434">
        <v>1376.7102050999999</v>
      </c>
      <c r="D434">
        <v>1363.3041992000001</v>
      </c>
      <c r="E434">
        <v>1277.1301269999999</v>
      </c>
      <c r="F434">
        <v>1251.5247803</v>
      </c>
      <c r="G434">
        <v>80</v>
      </c>
      <c r="H434">
        <v>79.918960571</v>
      </c>
      <c r="I434">
        <v>50</v>
      </c>
      <c r="J434">
        <v>37.451385498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171.36733000000001</v>
      </c>
      <c r="B435" s="1">
        <f>DATE(2010,10,19) + TIME(8,48,57)</f>
        <v>40470.367326388892</v>
      </c>
      <c r="C435">
        <v>1376.6608887</v>
      </c>
      <c r="D435">
        <v>1363.2585449000001</v>
      </c>
      <c r="E435">
        <v>1277.3515625</v>
      </c>
      <c r="F435">
        <v>1251.8918457</v>
      </c>
      <c r="G435">
        <v>80</v>
      </c>
      <c r="H435">
        <v>79.919120789000004</v>
      </c>
      <c r="I435">
        <v>50</v>
      </c>
      <c r="J435">
        <v>37.721694946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172.92981900000001</v>
      </c>
      <c r="B436" s="1">
        <f>DATE(2010,10,20) + TIME(22,18,56)</f>
        <v>40471.929814814815</v>
      </c>
      <c r="C436">
        <v>1376.6125488</v>
      </c>
      <c r="D436">
        <v>1363.2136230000001</v>
      </c>
      <c r="E436">
        <v>1277.5683594</v>
      </c>
      <c r="F436">
        <v>1252.2503661999999</v>
      </c>
      <c r="G436">
        <v>80</v>
      </c>
      <c r="H436">
        <v>79.919281006000006</v>
      </c>
      <c r="I436">
        <v>50</v>
      </c>
      <c r="J436">
        <v>37.986736297999997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174.50287399999999</v>
      </c>
      <c r="B437" s="1">
        <f>DATE(2010,10,22) + TIME(12,4,8)</f>
        <v>40473.502870370372</v>
      </c>
      <c r="C437">
        <v>1376.5650635</v>
      </c>
      <c r="D437">
        <v>1363.1696777</v>
      </c>
      <c r="E437">
        <v>1277.7808838000001</v>
      </c>
      <c r="F437">
        <v>1252.6009521000001</v>
      </c>
      <c r="G437">
        <v>80</v>
      </c>
      <c r="H437">
        <v>79.919448853000006</v>
      </c>
      <c r="I437">
        <v>50</v>
      </c>
      <c r="J437">
        <v>38.246505737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176.08963700000001</v>
      </c>
      <c r="B438" s="1">
        <f>DATE(2010,10,24) + TIME(2,9,4)</f>
        <v>40475.089629629627</v>
      </c>
      <c r="C438">
        <v>1376.5183105000001</v>
      </c>
      <c r="D438">
        <v>1363.1263428</v>
      </c>
      <c r="E438">
        <v>1277.9895019999999</v>
      </c>
      <c r="F438">
        <v>1252.9442139</v>
      </c>
      <c r="G438">
        <v>80</v>
      </c>
      <c r="H438">
        <v>79.919609070000007</v>
      </c>
      <c r="I438">
        <v>50</v>
      </c>
      <c r="J438">
        <v>38.501464843999997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177.69338400000001</v>
      </c>
      <c r="B439" s="1">
        <f>DATE(2010,10,25) + TIME(16,38,28)</f>
        <v>40476.693379629629</v>
      </c>
      <c r="C439">
        <v>1376.4722899999999</v>
      </c>
      <c r="D439">
        <v>1363.0836182</v>
      </c>
      <c r="E439">
        <v>1278.1949463000001</v>
      </c>
      <c r="F439">
        <v>1253.2810059000001</v>
      </c>
      <c r="G439">
        <v>80</v>
      </c>
      <c r="H439">
        <v>79.919776916999993</v>
      </c>
      <c r="I439">
        <v>50</v>
      </c>
      <c r="J439">
        <v>38.752155303999999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179.31790000000001</v>
      </c>
      <c r="B440" s="1">
        <f>DATE(2010,10,27) + TIME(7,37,46)</f>
        <v>40478.317893518521</v>
      </c>
      <c r="C440">
        <v>1376.4267577999999</v>
      </c>
      <c r="D440">
        <v>1363.0415039</v>
      </c>
      <c r="E440">
        <v>1278.3974608999999</v>
      </c>
      <c r="F440">
        <v>1253.6121826000001</v>
      </c>
      <c r="G440">
        <v>80</v>
      </c>
      <c r="H440">
        <v>79.919944763000004</v>
      </c>
      <c r="I440">
        <v>50</v>
      </c>
      <c r="J440">
        <v>38.999156952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180.968445</v>
      </c>
      <c r="B441" s="1">
        <f>DATE(2010,10,28) + TIME(23,14,33)</f>
        <v>40479.9684375</v>
      </c>
      <c r="C441">
        <v>1376.3815918</v>
      </c>
      <c r="D441">
        <v>1362.9997559000001</v>
      </c>
      <c r="E441">
        <v>1278.5975341999999</v>
      </c>
      <c r="F441">
        <v>1253.9384766000001</v>
      </c>
      <c r="G441">
        <v>80</v>
      </c>
      <c r="H441">
        <v>79.920112610000004</v>
      </c>
      <c r="I441">
        <v>50</v>
      </c>
      <c r="J441">
        <v>39.24312973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181.80093299999999</v>
      </c>
      <c r="B442" s="1">
        <f>DATE(2010,10,29) + TIME(19,13,20)</f>
        <v>40480.800925925927</v>
      </c>
      <c r="C442">
        <v>1376.3369141000001</v>
      </c>
      <c r="D442">
        <v>1362.958374</v>
      </c>
      <c r="E442">
        <v>1278.7930908000001</v>
      </c>
      <c r="F442">
        <v>1254.2287598</v>
      </c>
      <c r="G442">
        <v>80</v>
      </c>
      <c r="H442">
        <v>79.920188904</v>
      </c>
      <c r="I442">
        <v>50</v>
      </c>
      <c r="J442">
        <v>39.425216675000001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182.633421</v>
      </c>
      <c r="B443" s="1">
        <f>DATE(2010,10,30) + TIME(15,12,7)</f>
        <v>40481.633414351854</v>
      </c>
      <c r="C443">
        <v>1376.3142089999999</v>
      </c>
      <c r="D443">
        <v>1362.9375</v>
      </c>
      <c r="E443">
        <v>1278.8951416</v>
      </c>
      <c r="F443">
        <v>1254.4084473</v>
      </c>
      <c r="G443">
        <v>80</v>
      </c>
      <c r="H443">
        <v>79.920272827000005</v>
      </c>
      <c r="I443">
        <v>50</v>
      </c>
      <c r="J443">
        <v>39.574119568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184</v>
      </c>
      <c r="B444" s="1">
        <f>DATE(2010,11,1) + TIME(0,0,0)</f>
        <v>40483</v>
      </c>
      <c r="C444">
        <v>1376.2923584</v>
      </c>
      <c r="D444">
        <v>1362.9172363</v>
      </c>
      <c r="E444">
        <v>1278.9956055</v>
      </c>
      <c r="F444">
        <v>1254.5922852000001</v>
      </c>
      <c r="G444">
        <v>80</v>
      </c>
      <c r="H444">
        <v>79.920417786000002</v>
      </c>
      <c r="I444">
        <v>50</v>
      </c>
      <c r="J444">
        <v>39.737232208000002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184.000001</v>
      </c>
      <c r="B445" s="1">
        <f>DATE(2010,11,1) + TIME(0,0,0)</f>
        <v>40483</v>
      </c>
      <c r="C445">
        <v>1362.0456543</v>
      </c>
      <c r="D445">
        <v>1350.1043701000001</v>
      </c>
      <c r="E445">
        <v>1304.6243896000001</v>
      </c>
      <c r="F445">
        <v>1279.9398193</v>
      </c>
      <c r="G445">
        <v>80</v>
      </c>
      <c r="H445">
        <v>79.920288085999999</v>
      </c>
      <c r="I445">
        <v>50</v>
      </c>
      <c r="J445">
        <v>39.737358092999997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184.00000399999999</v>
      </c>
      <c r="B446" s="1">
        <f>DATE(2010,11,1) + TIME(0,0,0)</f>
        <v>40483</v>
      </c>
      <c r="C446">
        <v>1359.8436279</v>
      </c>
      <c r="D446">
        <v>1347.9012451000001</v>
      </c>
      <c r="E446">
        <v>1307.0731201000001</v>
      </c>
      <c r="F446">
        <v>1282.5206298999999</v>
      </c>
      <c r="G446">
        <v>80</v>
      </c>
      <c r="H446">
        <v>79.919975281000006</v>
      </c>
      <c r="I446">
        <v>50</v>
      </c>
      <c r="J446">
        <v>39.737705231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184.000013</v>
      </c>
      <c r="B447" s="1">
        <f>DATE(2010,11,1) + TIME(0,0,1)</f>
        <v>40483.000011574077</v>
      </c>
      <c r="C447">
        <v>1355.3977050999999</v>
      </c>
      <c r="D447">
        <v>1343.4543457</v>
      </c>
      <c r="E447">
        <v>1312.9429932</v>
      </c>
      <c r="F447">
        <v>1288.6328125</v>
      </c>
      <c r="G447">
        <v>80</v>
      </c>
      <c r="H447">
        <v>79.919342040999993</v>
      </c>
      <c r="I447">
        <v>50</v>
      </c>
      <c r="J447">
        <v>39.738559723000002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184.00004000000001</v>
      </c>
      <c r="B448" s="1">
        <f>DATE(2010,11,1) + TIME(0,0,3)</f>
        <v>40483.000034722223</v>
      </c>
      <c r="C448">
        <v>1348.8989257999999</v>
      </c>
      <c r="D448">
        <v>1336.9594727000001</v>
      </c>
      <c r="E448">
        <v>1323.6419678</v>
      </c>
      <c r="F448">
        <v>1299.5083007999999</v>
      </c>
      <c r="G448">
        <v>80</v>
      </c>
      <c r="H448">
        <v>79.918411254999995</v>
      </c>
      <c r="I448">
        <v>50</v>
      </c>
      <c r="J448">
        <v>39.740207671999997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184.00012100000001</v>
      </c>
      <c r="B449" s="1">
        <f>DATE(2010,11,1) + TIME(0,0,10)</f>
        <v>40483.000115740739</v>
      </c>
      <c r="C449">
        <v>1341.6621094</v>
      </c>
      <c r="D449">
        <v>1329.7325439000001</v>
      </c>
      <c r="E449">
        <v>1337.6724853999999</v>
      </c>
      <c r="F449">
        <v>1313.5721435999999</v>
      </c>
      <c r="G449">
        <v>80</v>
      </c>
      <c r="H449">
        <v>79.917358398000005</v>
      </c>
      <c r="I449">
        <v>50</v>
      </c>
      <c r="J449">
        <v>39.742919921999999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184.00036399999999</v>
      </c>
      <c r="B450" s="1">
        <f>DATE(2010,11,1) + TIME(0,0,31)</f>
        <v>40483.000358796293</v>
      </c>
      <c r="C450">
        <v>1334.3774414</v>
      </c>
      <c r="D450">
        <v>1322.4609375</v>
      </c>
      <c r="E450">
        <v>1352.9788818</v>
      </c>
      <c r="F450">
        <v>1328.9160156</v>
      </c>
      <c r="G450">
        <v>80</v>
      </c>
      <c r="H450">
        <v>79.916236877000003</v>
      </c>
      <c r="I450">
        <v>50</v>
      </c>
      <c r="J450">
        <v>39.747837066999999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184.001093</v>
      </c>
      <c r="B451" s="1">
        <f>DATE(2010,11,1) + TIME(0,1,34)</f>
        <v>40483.001087962963</v>
      </c>
      <c r="C451">
        <v>1327.0507812000001</v>
      </c>
      <c r="D451">
        <v>1315.1137695</v>
      </c>
      <c r="E451">
        <v>1368.8277588000001</v>
      </c>
      <c r="F451">
        <v>1344.840332</v>
      </c>
      <c r="G451">
        <v>80</v>
      </c>
      <c r="H451">
        <v>79.914932250999996</v>
      </c>
      <c r="I451">
        <v>50</v>
      </c>
      <c r="J451">
        <v>39.758949280000003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184.00327999999999</v>
      </c>
      <c r="B452" s="1">
        <f>DATE(2010,11,1) + TIME(0,4,43)</f>
        <v>40483.003275462965</v>
      </c>
      <c r="C452">
        <v>1319.7014160000001</v>
      </c>
      <c r="D452">
        <v>1307.6590576000001</v>
      </c>
      <c r="E452">
        <v>1384.1469727000001</v>
      </c>
      <c r="F452">
        <v>1360.1972656</v>
      </c>
      <c r="G452">
        <v>80</v>
      </c>
      <c r="H452">
        <v>79.913063049000002</v>
      </c>
      <c r="I452">
        <v>50</v>
      </c>
      <c r="J452">
        <v>39.788288115999997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184.00984099999999</v>
      </c>
      <c r="B453" s="1">
        <f>DATE(2010,11,1) + TIME(0,14,10)</f>
        <v>40483.009837962964</v>
      </c>
      <c r="C453">
        <v>1312.9807129000001</v>
      </c>
      <c r="D453">
        <v>1300.8341064000001</v>
      </c>
      <c r="E453">
        <v>1396.3869629000001</v>
      </c>
      <c r="F453">
        <v>1372.4179687999999</v>
      </c>
      <c r="G453">
        <v>80</v>
      </c>
      <c r="H453">
        <v>79.909645080999994</v>
      </c>
      <c r="I453">
        <v>50</v>
      </c>
      <c r="J453">
        <v>39.871757506999998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184.02952400000001</v>
      </c>
      <c r="B454" s="1">
        <f>DATE(2010,11,1) + TIME(0,42,30)</f>
        <v>40483.029513888891</v>
      </c>
      <c r="C454">
        <v>1308.0892334</v>
      </c>
      <c r="D454">
        <v>1295.9045410000001</v>
      </c>
      <c r="E454">
        <v>1403.3522949000001</v>
      </c>
      <c r="F454">
        <v>1379.4199219</v>
      </c>
      <c r="G454">
        <v>80</v>
      </c>
      <c r="H454">
        <v>79.901679993000002</v>
      </c>
      <c r="I454">
        <v>50</v>
      </c>
      <c r="J454">
        <v>40.113460541000002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184.07090199999999</v>
      </c>
      <c r="B455" s="1">
        <f>DATE(2010,11,1) + TIME(1,42,5)</f>
        <v>40483.070891203701</v>
      </c>
      <c r="C455">
        <v>1305.887207</v>
      </c>
      <c r="D455">
        <v>1293.6950684000001</v>
      </c>
      <c r="E455">
        <v>1405.3635254000001</v>
      </c>
      <c r="F455">
        <v>1381.6246338000001</v>
      </c>
      <c r="G455">
        <v>80</v>
      </c>
      <c r="H455">
        <v>79.886550903</v>
      </c>
      <c r="I455">
        <v>50</v>
      </c>
      <c r="J455">
        <v>40.595756530999999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184.113721</v>
      </c>
      <c r="B456" s="1">
        <f>DATE(2010,11,1) + TIME(2,43,45)</f>
        <v>40483.113715277781</v>
      </c>
      <c r="C456">
        <v>1305.2689209</v>
      </c>
      <c r="D456">
        <v>1293.0753173999999</v>
      </c>
      <c r="E456">
        <v>1405.4490966999999</v>
      </c>
      <c r="F456">
        <v>1381.9163818</v>
      </c>
      <c r="G456">
        <v>80</v>
      </c>
      <c r="H456">
        <v>79.871353149000001</v>
      </c>
      <c r="I456">
        <v>50</v>
      </c>
      <c r="J456">
        <v>41.069499968999999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184.15792500000001</v>
      </c>
      <c r="B457" s="1">
        <f>DATE(2010,11,1) + TIME(3,47,24)</f>
        <v>40483.157916666663</v>
      </c>
      <c r="C457">
        <v>1305.0710449000001</v>
      </c>
      <c r="D457">
        <v>1292.8768310999999</v>
      </c>
      <c r="E457">
        <v>1405.1547852000001</v>
      </c>
      <c r="F457">
        <v>1381.8270264</v>
      </c>
      <c r="G457">
        <v>80</v>
      </c>
      <c r="H457">
        <v>79.855972289999997</v>
      </c>
      <c r="I457">
        <v>50</v>
      </c>
      <c r="J457">
        <v>41.532989502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184.203598</v>
      </c>
      <c r="B458" s="1">
        <f>DATE(2010,11,1) + TIME(4,53,10)</f>
        <v>40483.203587962962</v>
      </c>
      <c r="C458">
        <v>1305.0003661999999</v>
      </c>
      <c r="D458">
        <v>1292.8055420000001</v>
      </c>
      <c r="E458">
        <v>1404.7937012</v>
      </c>
      <c r="F458">
        <v>1381.6650391000001</v>
      </c>
      <c r="G458">
        <v>80</v>
      </c>
      <c r="H458">
        <v>79.840347289999997</v>
      </c>
      <c r="I458">
        <v>50</v>
      </c>
      <c r="J458">
        <v>41.986068725999999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184.25088</v>
      </c>
      <c r="B459" s="1">
        <f>DATE(2010,11,1) + TIME(6,1,16)</f>
        <v>40483.250879629632</v>
      </c>
      <c r="C459">
        <v>1304.9718018000001</v>
      </c>
      <c r="D459">
        <v>1292.7766113</v>
      </c>
      <c r="E459">
        <v>1404.4329834</v>
      </c>
      <c r="F459">
        <v>1381.4960937999999</v>
      </c>
      <c r="G459">
        <v>80</v>
      </c>
      <c r="H459">
        <v>79.824424743999998</v>
      </c>
      <c r="I459">
        <v>50</v>
      </c>
      <c r="J459">
        <v>42.428970337000003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184.29991799999999</v>
      </c>
      <c r="B460" s="1">
        <f>DATE(2010,11,1) + TIME(7,11,52)</f>
        <v>40483.299907407411</v>
      </c>
      <c r="C460">
        <v>1304.958374</v>
      </c>
      <c r="D460">
        <v>1292.7628173999999</v>
      </c>
      <c r="E460">
        <v>1404.0845947</v>
      </c>
      <c r="F460">
        <v>1381.3326416</v>
      </c>
      <c r="G460">
        <v>80</v>
      </c>
      <c r="H460">
        <v>79.808174132999994</v>
      </c>
      <c r="I460">
        <v>50</v>
      </c>
      <c r="J460">
        <v>42.861835480000003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184.35088300000001</v>
      </c>
      <c r="B461" s="1">
        <f>DATE(2010,11,1) + TIME(8,25,16)</f>
        <v>40483.35087962963</v>
      </c>
      <c r="C461">
        <v>1304.9506836</v>
      </c>
      <c r="D461">
        <v>1292.7546387</v>
      </c>
      <c r="E461">
        <v>1403.7490233999999</v>
      </c>
      <c r="F461">
        <v>1381.1751709</v>
      </c>
      <c r="G461">
        <v>80</v>
      </c>
      <c r="H461">
        <v>79.791557311999995</v>
      </c>
      <c r="I461">
        <v>50</v>
      </c>
      <c r="J461">
        <v>43.284801483000003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184.403964</v>
      </c>
      <c r="B462" s="1">
        <f>DATE(2010,11,1) + TIME(9,41,42)</f>
        <v>40483.403958333336</v>
      </c>
      <c r="C462">
        <v>1304.9451904</v>
      </c>
      <c r="D462">
        <v>1292.7486572</v>
      </c>
      <c r="E462">
        <v>1403.4249268000001</v>
      </c>
      <c r="F462">
        <v>1381.0227050999999</v>
      </c>
      <c r="G462">
        <v>80</v>
      </c>
      <c r="H462">
        <v>79.774528502999999</v>
      </c>
      <c r="I462">
        <v>50</v>
      </c>
      <c r="J462">
        <v>43.697948455999999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184.45937799999999</v>
      </c>
      <c r="B463" s="1">
        <f>DATE(2010,11,1) + TIME(11,1,30)</f>
        <v>40483.459374999999</v>
      </c>
      <c r="C463">
        <v>1304.9404297000001</v>
      </c>
      <c r="D463">
        <v>1292.7434082</v>
      </c>
      <c r="E463">
        <v>1403.1110839999999</v>
      </c>
      <c r="F463">
        <v>1380.8741454999999</v>
      </c>
      <c r="G463">
        <v>80</v>
      </c>
      <c r="H463">
        <v>79.757034301999994</v>
      </c>
      <c r="I463">
        <v>50</v>
      </c>
      <c r="J463">
        <v>44.101345062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184.51738599999999</v>
      </c>
      <c r="B464" s="1">
        <f>DATE(2010,11,1) + TIME(12,25,2)</f>
        <v>40483.517384259256</v>
      </c>
      <c r="C464">
        <v>1304.9357910000001</v>
      </c>
      <c r="D464">
        <v>1292.7382812000001</v>
      </c>
      <c r="E464">
        <v>1402.8063964999999</v>
      </c>
      <c r="F464">
        <v>1380.7288818</v>
      </c>
      <c r="G464">
        <v>80</v>
      </c>
      <c r="H464">
        <v>79.739021300999994</v>
      </c>
      <c r="I464">
        <v>50</v>
      </c>
      <c r="J464">
        <v>44.495098114000001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184.578284</v>
      </c>
      <c r="B465" s="1">
        <f>DATE(2010,11,1) + TIME(13,52,43)</f>
        <v>40483.578275462962</v>
      </c>
      <c r="C465">
        <v>1304.9311522999999</v>
      </c>
      <c r="D465">
        <v>1292.7331543</v>
      </c>
      <c r="E465">
        <v>1402.5102539</v>
      </c>
      <c r="F465">
        <v>1380.5864257999999</v>
      </c>
      <c r="G465">
        <v>80</v>
      </c>
      <c r="H465">
        <v>79.720420837000006</v>
      </c>
      <c r="I465">
        <v>50</v>
      </c>
      <c r="J465">
        <v>44.879249573000003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184.64242100000001</v>
      </c>
      <c r="B466" s="1">
        <f>DATE(2010,11,1) + TIME(15,25,5)</f>
        <v>40483.642418981479</v>
      </c>
      <c r="C466">
        <v>1304.9262695</v>
      </c>
      <c r="D466">
        <v>1292.7276611</v>
      </c>
      <c r="E466">
        <v>1402.2219238</v>
      </c>
      <c r="F466">
        <v>1380.4461670000001</v>
      </c>
      <c r="G466">
        <v>80</v>
      </c>
      <c r="H466">
        <v>79.701164246000005</v>
      </c>
      <c r="I466">
        <v>50</v>
      </c>
      <c r="J466">
        <v>45.253818512000002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184.710205</v>
      </c>
      <c r="B467" s="1">
        <f>DATE(2010,11,1) + TIME(17,2,41)</f>
        <v>40483.710196759261</v>
      </c>
      <c r="C467">
        <v>1304.9211425999999</v>
      </c>
      <c r="D467">
        <v>1292.7219238</v>
      </c>
      <c r="E467">
        <v>1401.9410399999999</v>
      </c>
      <c r="F467">
        <v>1380.3079834</v>
      </c>
      <c r="G467">
        <v>80</v>
      </c>
      <c r="H467">
        <v>79.681159973000007</v>
      </c>
      <c r="I467">
        <v>50</v>
      </c>
      <c r="J467">
        <v>45.618778229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184.782128</v>
      </c>
      <c r="B468" s="1">
        <f>DATE(2010,11,1) + TIME(18,46,15)</f>
        <v>40483.782118055555</v>
      </c>
      <c r="C468">
        <v>1304.9157714999999</v>
      </c>
      <c r="D468">
        <v>1292.7159423999999</v>
      </c>
      <c r="E468">
        <v>1401.6668701000001</v>
      </c>
      <c r="F468">
        <v>1380.1715088000001</v>
      </c>
      <c r="G468">
        <v>80</v>
      </c>
      <c r="H468">
        <v>79.660301208000007</v>
      </c>
      <c r="I468">
        <v>50</v>
      </c>
      <c r="J468">
        <v>45.974082946999999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184.858778</v>
      </c>
      <c r="B469" s="1">
        <f>DATE(2010,11,1) + TIME(20,36,38)</f>
        <v>40483.858773148146</v>
      </c>
      <c r="C469">
        <v>1304.9100341999999</v>
      </c>
      <c r="D469">
        <v>1292.7094727000001</v>
      </c>
      <c r="E469">
        <v>1401.3991699000001</v>
      </c>
      <c r="F469">
        <v>1380.0362548999999</v>
      </c>
      <c r="G469">
        <v>80</v>
      </c>
      <c r="H469">
        <v>79.638465881000002</v>
      </c>
      <c r="I469">
        <v>50</v>
      </c>
      <c r="J469">
        <v>46.319633484000001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184.94087400000001</v>
      </c>
      <c r="B470" s="1">
        <f>DATE(2010,11,1) + TIME(22,34,51)</f>
        <v>40483.940868055557</v>
      </c>
      <c r="C470">
        <v>1304.9038086</v>
      </c>
      <c r="D470">
        <v>1292.7025146000001</v>
      </c>
      <c r="E470">
        <v>1401.137207</v>
      </c>
      <c r="F470">
        <v>1379.9020995999999</v>
      </c>
      <c r="G470">
        <v>80</v>
      </c>
      <c r="H470">
        <v>79.615509032999995</v>
      </c>
      <c r="I470">
        <v>50</v>
      </c>
      <c r="J470">
        <v>46.655292510999999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185.02930499999999</v>
      </c>
      <c r="B471" s="1">
        <f>DATE(2010,11,2) + TIME(0,42,11)</f>
        <v>40484.029293981483</v>
      </c>
      <c r="C471">
        <v>1304.8972168</v>
      </c>
      <c r="D471">
        <v>1292.6951904</v>
      </c>
      <c r="E471">
        <v>1400.8806152</v>
      </c>
      <c r="F471">
        <v>1379.7684326000001</v>
      </c>
      <c r="G471">
        <v>80</v>
      </c>
      <c r="H471">
        <v>79.591247558999996</v>
      </c>
      <c r="I471">
        <v>50</v>
      </c>
      <c r="J471">
        <v>46.980850220000001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185.12518299999999</v>
      </c>
      <c r="B472" s="1">
        <f>DATE(2010,11,2) + TIME(3,0,15)</f>
        <v>40484.125173611108</v>
      </c>
      <c r="C472">
        <v>1304.8901367000001</v>
      </c>
      <c r="D472">
        <v>1292.6871338000001</v>
      </c>
      <c r="E472">
        <v>1400.6287841999999</v>
      </c>
      <c r="F472">
        <v>1379.6348877</v>
      </c>
      <c r="G472">
        <v>80</v>
      </c>
      <c r="H472">
        <v>79.565452575999998</v>
      </c>
      <c r="I472">
        <v>50</v>
      </c>
      <c r="J472">
        <v>47.296051024999997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185.22991200000001</v>
      </c>
      <c r="B473" s="1">
        <f>DATE(2010,11,2) + TIME(5,31,4)</f>
        <v>40484.229907407411</v>
      </c>
      <c r="C473">
        <v>1304.8824463000001</v>
      </c>
      <c r="D473">
        <v>1292.6785889</v>
      </c>
      <c r="E473">
        <v>1400.3813477000001</v>
      </c>
      <c r="F473">
        <v>1379.5009766000001</v>
      </c>
      <c r="G473">
        <v>80</v>
      </c>
      <c r="H473">
        <v>79.537849425999994</v>
      </c>
      <c r="I473">
        <v>50</v>
      </c>
      <c r="J473">
        <v>47.600482941000003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185.345348</v>
      </c>
      <c r="B474" s="1">
        <f>DATE(2010,11,2) + TIME(8,17,18)</f>
        <v>40484.345347222225</v>
      </c>
      <c r="C474">
        <v>1304.8740233999999</v>
      </c>
      <c r="D474">
        <v>1292.6691894999999</v>
      </c>
      <c r="E474">
        <v>1400.1374512</v>
      </c>
      <c r="F474">
        <v>1379.3662108999999</v>
      </c>
      <c r="G474">
        <v>80</v>
      </c>
      <c r="H474">
        <v>79.508087157999995</v>
      </c>
      <c r="I474">
        <v>50</v>
      </c>
      <c r="J474">
        <v>47.893722533999998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185.47395900000001</v>
      </c>
      <c r="B475" s="1">
        <f>DATE(2010,11,2) + TIME(11,22,30)</f>
        <v>40484.473958333336</v>
      </c>
      <c r="C475">
        <v>1304.8649902</v>
      </c>
      <c r="D475">
        <v>1292.6589355000001</v>
      </c>
      <c r="E475">
        <v>1399.8966064000001</v>
      </c>
      <c r="F475">
        <v>1379.2297363</v>
      </c>
      <c r="G475">
        <v>80</v>
      </c>
      <c r="H475">
        <v>79.475685119999994</v>
      </c>
      <c r="I475">
        <v>50</v>
      </c>
      <c r="J475">
        <v>48.175189971999998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185.545331</v>
      </c>
      <c r="B476" s="1">
        <f>DATE(2010,11,2) + TIME(13,5,16)</f>
        <v>40484.545324074075</v>
      </c>
      <c r="C476">
        <v>1304.8543701000001</v>
      </c>
      <c r="D476">
        <v>1292.6484375</v>
      </c>
      <c r="E476">
        <v>1399.7512207</v>
      </c>
      <c r="F476">
        <v>1379.1345214999999</v>
      </c>
      <c r="G476">
        <v>80</v>
      </c>
      <c r="H476">
        <v>79.456733704000001</v>
      </c>
      <c r="I476">
        <v>50</v>
      </c>
      <c r="J476">
        <v>48.318630218999999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185.616703</v>
      </c>
      <c r="B477" s="1">
        <f>DATE(2010,11,2) + TIME(14,48,3)</f>
        <v>40484.616701388892</v>
      </c>
      <c r="C477">
        <v>1304.8482666</v>
      </c>
      <c r="D477">
        <v>1292.6417236</v>
      </c>
      <c r="E477">
        <v>1399.6315918</v>
      </c>
      <c r="F477">
        <v>1379.0634766000001</v>
      </c>
      <c r="G477">
        <v>80</v>
      </c>
      <c r="H477">
        <v>79.437957764000004</v>
      </c>
      <c r="I477">
        <v>50</v>
      </c>
      <c r="J477">
        <v>48.450325012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185.688074</v>
      </c>
      <c r="B478" s="1">
        <f>DATE(2010,11,2) + TIME(16,30,49)</f>
        <v>40484.688067129631</v>
      </c>
      <c r="C478">
        <v>1304.8425293</v>
      </c>
      <c r="D478">
        <v>1292.635376</v>
      </c>
      <c r="E478">
        <v>1399.5189209</v>
      </c>
      <c r="F478">
        <v>1378.9957274999999</v>
      </c>
      <c r="G478">
        <v>80</v>
      </c>
      <c r="H478">
        <v>79.419342040999993</v>
      </c>
      <c r="I478">
        <v>50</v>
      </c>
      <c r="J478">
        <v>48.571239470999998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185.83081799999999</v>
      </c>
      <c r="B479" s="1">
        <f>DATE(2010,11,2) + TIME(19,56,22)</f>
        <v>40484.830810185187</v>
      </c>
      <c r="C479">
        <v>1304.8375243999999</v>
      </c>
      <c r="D479">
        <v>1292.6285399999999</v>
      </c>
      <c r="E479">
        <v>1399.3431396000001</v>
      </c>
      <c r="F479">
        <v>1378.8981934000001</v>
      </c>
      <c r="G479">
        <v>80</v>
      </c>
      <c r="H479">
        <v>79.385078429999993</v>
      </c>
      <c r="I479">
        <v>50</v>
      </c>
      <c r="J479">
        <v>48.776462555000002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185.97365300000001</v>
      </c>
      <c r="B480" s="1">
        <f>DATE(2010,11,2) + TIME(23,22,3)</f>
        <v>40484.973645833335</v>
      </c>
      <c r="C480">
        <v>1304.8266602000001</v>
      </c>
      <c r="D480">
        <v>1292.6165771000001</v>
      </c>
      <c r="E480">
        <v>1399.1625977000001</v>
      </c>
      <c r="F480">
        <v>1378.7827147999999</v>
      </c>
      <c r="G480">
        <v>80</v>
      </c>
      <c r="H480">
        <v>79.350944518999995</v>
      </c>
      <c r="I480">
        <v>50</v>
      </c>
      <c r="J480">
        <v>48.950759888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186.11860999999999</v>
      </c>
      <c r="B481" s="1">
        <f>DATE(2010,11,3) + TIME(2,50,47)</f>
        <v>40485.11859953704</v>
      </c>
      <c r="C481">
        <v>1304.8155518000001</v>
      </c>
      <c r="D481">
        <v>1292.6043701000001</v>
      </c>
      <c r="E481">
        <v>1398.9981689000001</v>
      </c>
      <c r="F481">
        <v>1378.6748047000001</v>
      </c>
      <c r="G481">
        <v>80</v>
      </c>
      <c r="H481">
        <v>79.316528320000003</v>
      </c>
      <c r="I481">
        <v>50</v>
      </c>
      <c r="J481">
        <v>49.100578308000003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186.26632000000001</v>
      </c>
      <c r="B482" s="1">
        <f>DATE(2010,11,3) + TIME(6,23,30)</f>
        <v>40485.266319444447</v>
      </c>
      <c r="C482">
        <v>1304.8043213000001</v>
      </c>
      <c r="D482">
        <v>1292.5920410000001</v>
      </c>
      <c r="E482">
        <v>1398.8469238</v>
      </c>
      <c r="F482">
        <v>1378.572876</v>
      </c>
      <c r="G482">
        <v>80</v>
      </c>
      <c r="H482">
        <v>79.281715392999999</v>
      </c>
      <c r="I482">
        <v>50</v>
      </c>
      <c r="J482">
        <v>49.229522705000001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186.41748999999999</v>
      </c>
      <c r="B483" s="1">
        <f>DATE(2010,11,3) + TIME(10,1,11)</f>
        <v>40485.417488425926</v>
      </c>
      <c r="C483">
        <v>1304.7929687999999</v>
      </c>
      <c r="D483">
        <v>1292.5794678</v>
      </c>
      <c r="E483">
        <v>1398.7067870999999</v>
      </c>
      <c r="F483">
        <v>1378.4759521000001</v>
      </c>
      <c r="G483">
        <v>80</v>
      </c>
      <c r="H483">
        <v>79.246368407999995</v>
      </c>
      <c r="I483">
        <v>50</v>
      </c>
      <c r="J483">
        <v>49.340602875000002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186.572821</v>
      </c>
      <c r="B484" s="1">
        <f>DATE(2010,11,3) + TIME(13,44,51)</f>
        <v>40485.572812500002</v>
      </c>
      <c r="C484">
        <v>1304.7814940999999</v>
      </c>
      <c r="D484">
        <v>1292.5667725000001</v>
      </c>
      <c r="E484">
        <v>1398.5761719</v>
      </c>
      <c r="F484">
        <v>1378.3833007999999</v>
      </c>
      <c r="G484">
        <v>80</v>
      </c>
      <c r="H484">
        <v>79.210334778000004</v>
      </c>
      <c r="I484">
        <v>50</v>
      </c>
      <c r="J484">
        <v>49.436279296999999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186.73311799999999</v>
      </c>
      <c r="B485" s="1">
        <f>DATE(2010,11,3) + TIME(17,35,41)</f>
        <v>40485.733113425929</v>
      </c>
      <c r="C485">
        <v>1304.7697754000001</v>
      </c>
      <c r="D485">
        <v>1292.5538329999999</v>
      </c>
      <c r="E485">
        <v>1398.4534911999999</v>
      </c>
      <c r="F485">
        <v>1378.2939452999999</v>
      </c>
      <c r="G485">
        <v>80</v>
      </c>
      <c r="H485">
        <v>79.173477172999995</v>
      </c>
      <c r="I485">
        <v>50</v>
      </c>
      <c r="J485">
        <v>49.518634796000001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186.899227</v>
      </c>
      <c r="B486" s="1">
        <f>DATE(2010,11,3) + TIME(21,34,53)</f>
        <v>40485.899224537039</v>
      </c>
      <c r="C486">
        <v>1304.7578125</v>
      </c>
      <c r="D486">
        <v>1292.5405272999999</v>
      </c>
      <c r="E486">
        <v>1398.3375243999999</v>
      </c>
      <c r="F486">
        <v>1378.2075195</v>
      </c>
      <c r="G486">
        <v>80</v>
      </c>
      <c r="H486">
        <v>79.135627747000001</v>
      </c>
      <c r="I486">
        <v>50</v>
      </c>
      <c r="J486">
        <v>49.589424133000001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187.07208900000001</v>
      </c>
      <c r="B487" s="1">
        <f>DATE(2010,11,4) + TIME(1,43,48)</f>
        <v>40486.072083333333</v>
      </c>
      <c r="C487">
        <v>1304.7454834</v>
      </c>
      <c r="D487">
        <v>1292.5268555</v>
      </c>
      <c r="E487">
        <v>1398.2272949000001</v>
      </c>
      <c r="F487">
        <v>1378.1232910000001</v>
      </c>
      <c r="G487">
        <v>80</v>
      </c>
      <c r="H487">
        <v>79.096618652000004</v>
      </c>
      <c r="I487">
        <v>50</v>
      </c>
      <c r="J487">
        <v>49.650123596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187.25277299999999</v>
      </c>
      <c r="B488" s="1">
        <f>DATE(2010,11,4) + TIME(6,3,59)</f>
        <v>40486.252766203703</v>
      </c>
      <c r="C488">
        <v>1304.7326660000001</v>
      </c>
      <c r="D488">
        <v>1292.5126952999999</v>
      </c>
      <c r="E488">
        <v>1398.1218262</v>
      </c>
      <c r="F488">
        <v>1378.0408935999999</v>
      </c>
      <c r="G488">
        <v>80</v>
      </c>
      <c r="H488">
        <v>79.056243895999998</v>
      </c>
      <c r="I488">
        <v>50</v>
      </c>
      <c r="J488">
        <v>49.702018738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187.44251299999999</v>
      </c>
      <c r="B489" s="1">
        <f>DATE(2010,11,4) + TIME(10,37,13)</f>
        <v>40486.442511574074</v>
      </c>
      <c r="C489">
        <v>1304.7194824000001</v>
      </c>
      <c r="D489">
        <v>1292.4979248</v>
      </c>
      <c r="E489">
        <v>1398.0200195</v>
      </c>
      <c r="F489">
        <v>1377.9595947</v>
      </c>
      <c r="G489">
        <v>80</v>
      </c>
      <c r="H489">
        <v>79.014297485</v>
      </c>
      <c r="I489">
        <v>50</v>
      </c>
      <c r="J489">
        <v>49.746212006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187.642754</v>
      </c>
      <c r="B490" s="1">
        <f>DATE(2010,11,4) + TIME(15,25,33)</f>
        <v>40486.642743055556</v>
      </c>
      <c r="C490">
        <v>1304.7056885</v>
      </c>
      <c r="D490">
        <v>1292.4825439000001</v>
      </c>
      <c r="E490">
        <v>1397.9212646000001</v>
      </c>
      <c r="F490">
        <v>1377.8791504000001</v>
      </c>
      <c r="G490">
        <v>80</v>
      </c>
      <c r="H490">
        <v>78.970512389999996</v>
      </c>
      <c r="I490">
        <v>50</v>
      </c>
      <c r="J490">
        <v>49.783668517999999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187.85521700000001</v>
      </c>
      <c r="B491" s="1">
        <f>DATE(2010,11,4) + TIME(20,31,30)</f>
        <v>40486.855208333334</v>
      </c>
      <c r="C491">
        <v>1304.6912841999999</v>
      </c>
      <c r="D491">
        <v>1292.4664307</v>
      </c>
      <c r="E491">
        <v>1397.824707</v>
      </c>
      <c r="F491">
        <v>1377.7990723</v>
      </c>
      <c r="G491">
        <v>80</v>
      </c>
      <c r="H491">
        <v>78.924591063999998</v>
      </c>
      <c r="I491">
        <v>50</v>
      </c>
      <c r="J491">
        <v>49.815235137999998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188.08105900000001</v>
      </c>
      <c r="B492" s="1">
        <f>DATE(2010,11,5) + TIME(1,56,43)</f>
        <v>40487.081053240741</v>
      </c>
      <c r="C492">
        <v>1304.6760254000001</v>
      </c>
      <c r="D492">
        <v>1292.4494629000001</v>
      </c>
      <c r="E492">
        <v>1397.7296143000001</v>
      </c>
      <c r="F492">
        <v>1377.71875</v>
      </c>
      <c r="G492">
        <v>80</v>
      </c>
      <c r="H492">
        <v>78.876350403000004</v>
      </c>
      <c r="I492">
        <v>50</v>
      </c>
      <c r="J492">
        <v>49.841583252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188.31831199999999</v>
      </c>
      <c r="B493" s="1">
        <f>DATE(2010,11,5) + TIME(7,38,22)</f>
        <v>40487.318310185183</v>
      </c>
      <c r="C493">
        <v>1304.6599120999999</v>
      </c>
      <c r="D493">
        <v>1292.4315185999999</v>
      </c>
      <c r="E493">
        <v>1397.6358643000001</v>
      </c>
      <c r="F493">
        <v>1377.6381836</v>
      </c>
      <c r="G493">
        <v>80</v>
      </c>
      <c r="H493">
        <v>78.826095581000004</v>
      </c>
      <c r="I493">
        <v>50</v>
      </c>
      <c r="J493">
        <v>49.863109588999997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188.568881</v>
      </c>
      <c r="B494" s="1">
        <f>DATE(2010,11,5) + TIME(13,39,11)</f>
        <v>40487.568877314814</v>
      </c>
      <c r="C494">
        <v>1304.6430664</v>
      </c>
      <c r="D494">
        <v>1292.4127197</v>
      </c>
      <c r="E494">
        <v>1397.5438231999999</v>
      </c>
      <c r="F494">
        <v>1377.5579834</v>
      </c>
      <c r="G494">
        <v>80</v>
      </c>
      <c r="H494">
        <v>78.773536682</v>
      </c>
      <c r="I494">
        <v>50</v>
      </c>
      <c r="J494">
        <v>49.880603790000002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188.83477400000001</v>
      </c>
      <c r="B495" s="1">
        <f>DATE(2010,11,5) + TIME(20,2,4)</f>
        <v>40487.834768518522</v>
      </c>
      <c r="C495">
        <v>1304.6254882999999</v>
      </c>
      <c r="D495">
        <v>1292.3930664</v>
      </c>
      <c r="E495">
        <v>1397.4528809000001</v>
      </c>
      <c r="F495">
        <v>1377.4777832</v>
      </c>
      <c r="G495">
        <v>80</v>
      </c>
      <c r="H495">
        <v>78.718345642000003</v>
      </c>
      <c r="I495">
        <v>50</v>
      </c>
      <c r="J495">
        <v>49.894729613999999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189.11842200000001</v>
      </c>
      <c r="B496" s="1">
        <f>DATE(2010,11,6) + TIME(2,50,31)</f>
        <v>40488.118414351855</v>
      </c>
      <c r="C496">
        <v>1304.6069336</v>
      </c>
      <c r="D496">
        <v>1292.3724365</v>
      </c>
      <c r="E496">
        <v>1397.3623047000001</v>
      </c>
      <c r="F496">
        <v>1377.3970947</v>
      </c>
      <c r="G496">
        <v>80</v>
      </c>
      <c r="H496">
        <v>78.66015625</v>
      </c>
      <c r="I496">
        <v>50</v>
      </c>
      <c r="J496">
        <v>49.906051636000001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189.422798</v>
      </c>
      <c r="B497" s="1">
        <f>DATE(2010,11,6) + TIME(10,8,49)</f>
        <v>40488.422789351855</v>
      </c>
      <c r="C497">
        <v>1304.5872803</v>
      </c>
      <c r="D497">
        <v>1292.3504639</v>
      </c>
      <c r="E497">
        <v>1397.2716064000001</v>
      </c>
      <c r="F497">
        <v>1377.3155518000001</v>
      </c>
      <c r="G497">
        <v>80</v>
      </c>
      <c r="H497">
        <v>78.598503113000007</v>
      </c>
      <c r="I497">
        <v>50</v>
      </c>
      <c r="J497">
        <v>49.915050506999997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189.734703</v>
      </c>
      <c r="B498" s="1">
        <f>DATE(2010,11,6) + TIME(17,37,58)</f>
        <v>40488.734699074077</v>
      </c>
      <c r="C498">
        <v>1304.5661620999999</v>
      </c>
      <c r="D498">
        <v>1292.3270264</v>
      </c>
      <c r="E498">
        <v>1397.1800536999999</v>
      </c>
      <c r="F498">
        <v>1377.2326660000001</v>
      </c>
      <c r="G498">
        <v>80</v>
      </c>
      <c r="H498">
        <v>78.535301208000007</v>
      </c>
      <c r="I498">
        <v>50</v>
      </c>
      <c r="J498">
        <v>49.921871185000001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190.04946000000001</v>
      </c>
      <c r="B499" s="1">
        <f>DATE(2010,11,7) + TIME(1,11,13)</f>
        <v>40489.049456018518</v>
      </c>
      <c r="C499">
        <v>1304.5446777</v>
      </c>
      <c r="D499">
        <v>1292.3032227000001</v>
      </c>
      <c r="E499">
        <v>1397.0915527</v>
      </c>
      <c r="F499">
        <v>1377.1519774999999</v>
      </c>
      <c r="G499">
        <v>80</v>
      </c>
      <c r="H499">
        <v>78.471366881999998</v>
      </c>
      <c r="I499">
        <v>50</v>
      </c>
      <c r="J499">
        <v>49.926982879999997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190.368875</v>
      </c>
      <c r="B500" s="1">
        <f>DATE(2010,11,7) + TIME(8,51,10)</f>
        <v>40489.36886574074</v>
      </c>
      <c r="C500">
        <v>1304.5230713000001</v>
      </c>
      <c r="D500">
        <v>1292.2792969</v>
      </c>
      <c r="E500">
        <v>1397.0070800999999</v>
      </c>
      <c r="F500">
        <v>1377.0745850000001</v>
      </c>
      <c r="G500">
        <v>80</v>
      </c>
      <c r="H500">
        <v>78.406623839999995</v>
      </c>
      <c r="I500">
        <v>50</v>
      </c>
      <c r="J500">
        <v>49.930847168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190.69469900000001</v>
      </c>
      <c r="B501" s="1">
        <f>DATE(2010,11,7) + TIME(16,40,21)</f>
        <v>40489.694687499999</v>
      </c>
      <c r="C501">
        <v>1304.5013428</v>
      </c>
      <c r="D501">
        <v>1292.2551269999999</v>
      </c>
      <c r="E501">
        <v>1396.9255370999999</v>
      </c>
      <c r="F501">
        <v>1376.9998779</v>
      </c>
      <c r="G501">
        <v>80</v>
      </c>
      <c r="H501">
        <v>78.340911864999995</v>
      </c>
      <c r="I501">
        <v>50</v>
      </c>
      <c r="J501">
        <v>49.933792113999999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191.028595</v>
      </c>
      <c r="B502" s="1">
        <f>DATE(2010,11,8) + TIME(0,41,10)</f>
        <v>40490.028587962966</v>
      </c>
      <c r="C502">
        <v>1304.4793701000001</v>
      </c>
      <c r="D502">
        <v>1292.2305908000001</v>
      </c>
      <c r="E502">
        <v>1396.8464355000001</v>
      </c>
      <c r="F502">
        <v>1376.927124</v>
      </c>
      <c r="G502">
        <v>80</v>
      </c>
      <c r="H502">
        <v>78.274070739999999</v>
      </c>
      <c r="I502">
        <v>50</v>
      </c>
      <c r="J502">
        <v>49.936058043999999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191.37239400000001</v>
      </c>
      <c r="B503" s="1">
        <f>DATE(2010,11,8) + TIME(8,56,14)</f>
        <v>40490.372384259259</v>
      </c>
      <c r="C503">
        <v>1304.4570312000001</v>
      </c>
      <c r="D503">
        <v>1292.2055664</v>
      </c>
      <c r="E503">
        <v>1396.7691649999999</v>
      </c>
      <c r="F503">
        <v>1376.8558350000001</v>
      </c>
      <c r="G503">
        <v>80</v>
      </c>
      <c r="H503">
        <v>78.205848693999997</v>
      </c>
      <c r="I503">
        <v>50</v>
      </c>
      <c r="J503">
        <v>49.937812805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191.72800000000001</v>
      </c>
      <c r="B504" s="1">
        <f>DATE(2010,11,8) + TIME(17,28,19)</f>
        <v>40490.727997685186</v>
      </c>
      <c r="C504">
        <v>1304.434082</v>
      </c>
      <c r="D504">
        <v>1292.1798096</v>
      </c>
      <c r="E504">
        <v>1396.6932373</v>
      </c>
      <c r="F504">
        <v>1376.7857666</v>
      </c>
      <c r="G504">
        <v>80</v>
      </c>
      <c r="H504">
        <v>78.135993958</v>
      </c>
      <c r="I504">
        <v>50</v>
      </c>
      <c r="J504">
        <v>49.939186096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192.097489</v>
      </c>
      <c r="B505" s="1">
        <f>DATE(2010,11,9) + TIME(2,20,23)</f>
        <v>40491.097488425927</v>
      </c>
      <c r="C505">
        <v>1304.4105225000001</v>
      </c>
      <c r="D505">
        <v>1292.1534423999999</v>
      </c>
      <c r="E505">
        <v>1396.6181641000001</v>
      </c>
      <c r="F505">
        <v>1376.7164307</v>
      </c>
      <c r="G505">
        <v>80</v>
      </c>
      <c r="H505">
        <v>78.064216614000003</v>
      </c>
      <c r="I505">
        <v>50</v>
      </c>
      <c r="J505">
        <v>49.940273285000004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192.481199</v>
      </c>
      <c r="B506" s="1">
        <f>DATE(2010,11,9) + TIME(11,32,55)</f>
        <v>40491.481192129628</v>
      </c>
      <c r="C506">
        <v>1304.3859863</v>
      </c>
      <c r="D506">
        <v>1292.1260986</v>
      </c>
      <c r="E506">
        <v>1396.5435791</v>
      </c>
      <c r="F506">
        <v>1376.6474608999999</v>
      </c>
      <c r="G506">
        <v>80</v>
      </c>
      <c r="H506">
        <v>77.990447997999993</v>
      </c>
      <c r="I506">
        <v>50</v>
      </c>
      <c r="J506">
        <v>49.941139221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192.877545</v>
      </c>
      <c r="B507" s="1">
        <f>DATE(2010,11,9) + TIME(21,3,39)</f>
        <v>40491.877534722225</v>
      </c>
      <c r="C507">
        <v>1304.3607178</v>
      </c>
      <c r="D507">
        <v>1292.0976562000001</v>
      </c>
      <c r="E507">
        <v>1396.4693603999999</v>
      </c>
      <c r="F507">
        <v>1376.5788574000001</v>
      </c>
      <c r="G507">
        <v>80</v>
      </c>
      <c r="H507">
        <v>77.914871215999995</v>
      </c>
      <c r="I507">
        <v>50</v>
      </c>
      <c r="J507">
        <v>49.941837311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193.288836</v>
      </c>
      <c r="B508" s="1">
        <f>DATE(2010,11,10) + TIME(6,55,55)</f>
        <v>40492.288831018515</v>
      </c>
      <c r="C508">
        <v>1304.3345947</v>
      </c>
      <c r="D508">
        <v>1292.0684814000001</v>
      </c>
      <c r="E508">
        <v>1396.3959961</v>
      </c>
      <c r="F508">
        <v>1376.5111084</v>
      </c>
      <c r="G508">
        <v>80</v>
      </c>
      <c r="H508">
        <v>77.837219238000003</v>
      </c>
      <c r="I508">
        <v>50</v>
      </c>
      <c r="J508">
        <v>49.942401885999999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193.71757600000001</v>
      </c>
      <c r="B509" s="1">
        <f>DATE(2010,11,10) + TIME(17,13,18)</f>
        <v>40492.717569444445</v>
      </c>
      <c r="C509">
        <v>1304.3076172000001</v>
      </c>
      <c r="D509">
        <v>1292.0382079999999</v>
      </c>
      <c r="E509">
        <v>1396.3232422000001</v>
      </c>
      <c r="F509">
        <v>1376.4437256000001</v>
      </c>
      <c r="G509">
        <v>80</v>
      </c>
      <c r="H509">
        <v>77.757179260000001</v>
      </c>
      <c r="I509">
        <v>50</v>
      </c>
      <c r="J509">
        <v>49.942867278999998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194.16668000000001</v>
      </c>
      <c r="B510" s="1">
        <f>DATE(2010,11,11) + TIME(4,0,1)</f>
        <v>40493.166678240741</v>
      </c>
      <c r="C510">
        <v>1304.2796631000001</v>
      </c>
      <c r="D510">
        <v>1292.0067139</v>
      </c>
      <c r="E510">
        <v>1396.2504882999999</v>
      </c>
      <c r="F510">
        <v>1376.3764647999999</v>
      </c>
      <c r="G510">
        <v>80</v>
      </c>
      <c r="H510">
        <v>77.674362183</v>
      </c>
      <c r="I510">
        <v>50</v>
      </c>
      <c r="J510">
        <v>49.943256378000001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194.63354899999999</v>
      </c>
      <c r="B511" s="1">
        <f>DATE(2010,11,11) + TIME(15,12,18)</f>
        <v>40493.63354166667</v>
      </c>
      <c r="C511">
        <v>1304.2503661999999</v>
      </c>
      <c r="D511">
        <v>1291.973999</v>
      </c>
      <c r="E511">
        <v>1396.1776123</v>
      </c>
      <c r="F511">
        <v>1376.3089600000001</v>
      </c>
      <c r="G511">
        <v>80</v>
      </c>
      <c r="H511">
        <v>77.589035034000005</v>
      </c>
      <c r="I511">
        <v>50</v>
      </c>
      <c r="J511">
        <v>49.943584442000002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195.10797299999999</v>
      </c>
      <c r="B512" s="1">
        <f>DATE(2010,11,12) + TIME(2,35,28)</f>
        <v>40494.10796296296</v>
      </c>
      <c r="C512">
        <v>1304.2199707</v>
      </c>
      <c r="D512">
        <v>1291.9399414</v>
      </c>
      <c r="E512">
        <v>1396.1051024999999</v>
      </c>
      <c r="F512">
        <v>1376.2418213000001</v>
      </c>
      <c r="G512">
        <v>80</v>
      </c>
      <c r="H512">
        <v>77.502410889000004</v>
      </c>
      <c r="I512">
        <v>50</v>
      </c>
      <c r="J512">
        <v>49.943859099999997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195.59285800000001</v>
      </c>
      <c r="B513" s="1">
        <f>DATE(2010,11,12) + TIME(14,13,42)</f>
        <v>40494.592847222222</v>
      </c>
      <c r="C513">
        <v>1304.1890868999999</v>
      </c>
      <c r="D513">
        <v>1291.9053954999999</v>
      </c>
      <c r="E513">
        <v>1396.0345459</v>
      </c>
      <c r="F513">
        <v>1376.1765137</v>
      </c>
      <c r="G513">
        <v>80</v>
      </c>
      <c r="H513">
        <v>77.414405822999996</v>
      </c>
      <c r="I513">
        <v>50</v>
      </c>
      <c r="J513">
        <v>49.944091796999999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196.09109100000001</v>
      </c>
      <c r="B514" s="1">
        <f>DATE(2010,11,13) + TIME(2,11,10)</f>
        <v>40495.091087962966</v>
      </c>
      <c r="C514">
        <v>1304.1578368999999</v>
      </c>
      <c r="D514">
        <v>1291.8701172000001</v>
      </c>
      <c r="E514">
        <v>1395.9654541</v>
      </c>
      <c r="F514">
        <v>1376.1126709</v>
      </c>
      <c r="G514">
        <v>80</v>
      </c>
      <c r="H514">
        <v>77.324821471999996</v>
      </c>
      <c r="I514">
        <v>50</v>
      </c>
      <c r="J514">
        <v>49.944290160999998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196.605795</v>
      </c>
      <c r="B515" s="1">
        <f>DATE(2010,11,13) + TIME(14,32,20)</f>
        <v>40495.605787037035</v>
      </c>
      <c r="C515">
        <v>1304.1256103999999</v>
      </c>
      <c r="D515">
        <v>1291.8339844</v>
      </c>
      <c r="E515">
        <v>1395.8974608999999</v>
      </c>
      <c r="F515">
        <v>1376.0496826000001</v>
      </c>
      <c r="G515">
        <v>80</v>
      </c>
      <c r="H515">
        <v>77.233314514</v>
      </c>
      <c r="I515">
        <v>50</v>
      </c>
      <c r="J515">
        <v>49.944461822999997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197.13844</v>
      </c>
      <c r="B516" s="1">
        <f>DATE(2010,11,14) + TIME(3,19,21)</f>
        <v>40496.138437499998</v>
      </c>
      <c r="C516">
        <v>1304.0925293</v>
      </c>
      <c r="D516">
        <v>1291.7966309000001</v>
      </c>
      <c r="E516">
        <v>1395.8300781</v>
      </c>
      <c r="F516">
        <v>1375.9873047000001</v>
      </c>
      <c r="G516">
        <v>80</v>
      </c>
      <c r="H516">
        <v>77.139709472999996</v>
      </c>
      <c r="I516">
        <v>50</v>
      </c>
      <c r="J516">
        <v>49.94461441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197.680914</v>
      </c>
      <c r="B517" s="1">
        <f>DATE(2010,11,14) + TIME(16,20,30)</f>
        <v>40496.680902777778</v>
      </c>
      <c r="C517">
        <v>1304.0583495999999</v>
      </c>
      <c r="D517">
        <v>1291.7581786999999</v>
      </c>
      <c r="E517">
        <v>1395.7630615</v>
      </c>
      <c r="F517">
        <v>1375.9254149999999</v>
      </c>
      <c r="G517">
        <v>80</v>
      </c>
      <c r="H517">
        <v>77.044837951999995</v>
      </c>
      <c r="I517">
        <v>50</v>
      </c>
      <c r="J517">
        <v>49.944747925000001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198.236031</v>
      </c>
      <c r="B518" s="1">
        <f>DATE(2010,11,15) + TIME(5,39,53)</f>
        <v>40497.236030092594</v>
      </c>
      <c r="C518">
        <v>1304.0235596</v>
      </c>
      <c r="D518">
        <v>1291.7188721</v>
      </c>
      <c r="E518">
        <v>1395.6976318</v>
      </c>
      <c r="F518">
        <v>1375.8648682</v>
      </c>
      <c r="G518">
        <v>80</v>
      </c>
      <c r="H518">
        <v>76.948600768999995</v>
      </c>
      <c r="I518">
        <v>50</v>
      </c>
      <c r="J518">
        <v>49.944866179999998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198.806623</v>
      </c>
      <c r="B519" s="1">
        <f>DATE(2010,11,15) + TIME(19,21,32)</f>
        <v>40497.806620370371</v>
      </c>
      <c r="C519">
        <v>1303.9879149999999</v>
      </c>
      <c r="D519">
        <v>1291.6787108999999</v>
      </c>
      <c r="E519">
        <v>1395.6334228999999</v>
      </c>
      <c r="F519">
        <v>1375.8054199000001</v>
      </c>
      <c r="G519">
        <v>80</v>
      </c>
      <c r="H519">
        <v>76.850746154999996</v>
      </c>
      <c r="I519">
        <v>50</v>
      </c>
      <c r="J519">
        <v>49.944972991999997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199.39419000000001</v>
      </c>
      <c r="B520" s="1">
        <f>DATE(2010,11,16) + TIME(9,27,38)</f>
        <v>40498.394189814811</v>
      </c>
      <c r="C520">
        <v>1303.9514160000001</v>
      </c>
      <c r="D520">
        <v>1291.6374512</v>
      </c>
      <c r="E520">
        <v>1395.5698242000001</v>
      </c>
      <c r="F520">
        <v>1375.7467041</v>
      </c>
      <c r="G520">
        <v>80</v>
      </c>
      <c r="H520">
        <v>76.751129149999997</v>
      </c>
      <c r="I520">
        <v>50</v>
      </c>
      <c r="J520">
        <v>49.945068358999997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199.999132</v>
      </c>
      <c r="B521" s="1">
        <f>DATE(2010,11,16) + TIME(23,58,45)</f>
        <v>40498.999131944445</v>
      </c>
      <c r="C521">
        <v>1303.9138184000001</v>
      </c>
      <c r="D521">
        <v>1291.5948486</v>
      </c>
      <c r="E521">
        <v>1395.5070800999999</v>
      </c>
      <c r="F521">
        <v>1375.6885986</v>
      </c>
      <c r="G521">
        <v>80</v>
      </c>
      <c r="H521">
        <v>76.649688721000004</v>
      </c>
      <c r="I521">
        <v>50</v>
      </c>
      <c r="J521">
        <v>49.945156097000002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200.62195299999999</v>
      </c>
      <c r="B522" s="1">
        <f>DATE(2010,11,17) + TIME(14,55,36)</f>
        <v>40499.621944444443</v>
      </c>
      <c r="C522">
        <v>1303.8752440999999</v>
      </c>
      <c r="D522">
        <v>1291.5510254000001</v>
      </c>
      <c r="E522">
        <v>1395.4448242000001</v>
      </c>
      <c r="F522">
        <v>1375.6311035000001</v>
      </c>
      <c r="G522">
        <v>80</v>
      </c>
      <c r="H522">
        <v>76.546371460000003</v>
      </c>
      <c r="I522">
        <v>50</v>
      </c>
      <c r="J522">
        <v>49.945240020999996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201.266189</v>
      </c>
      <c r="B523" s="1">
        <f>DATE(2010,11,18) + TIME(6,23,18)</f>
        <v>40500.266180555554</v>
      </c>
      <c r="C523">
        <v>1303.8353271000001</v>
      </c>
      <c r="D523">
        <v>1291.5058594</v>
      </c>
      <c r="E523">
        <v>1395.3831786999999</v>
      </c>
      <c r="F523">
        <v>1375.5740966999999</v>
      </c>
      <c r="G523">
        <v>80</v>
      </c>
      <c r="H523">
        <v>76.440856933999996</v>
      </c>
      <c r="I523">
        <v>50</v>
      </c>
      <c r="J523">
        <v>49.945316314999999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201.935765</v>
      </c>
      <c r="B524" s="1">
        <f>DATE(2010,11,18) + TIME(22,27,30)</f>
        <v>40500.935763888891</v>
      </c>
      <c r="C524">
        <v>1303.7941894999999</v>
      </c>
      <c r="D524">
        <v>1291.4589844</v>
      </c>
      <c r="E524">
        <v>1395.3218993999999</v>
      </c>
      <c r="F524">
        <v>1375.5174560999999</v>
      </c>
      <c r="G524">
        <v>80</v>
      </c>
      <c r="H524">
        <v>76.332717896000005</v>
      </c>
      <c r="I524">
        <v>50</v>
      </c>
      <c r="J524">
        <v>49.945392609000002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202.63521399999999</v>
      </c>
      <c r="B525" s="1">
        <f>DATE(2010,11,19) + TIME(15,14,42)</f>
        <v>40501.635208333333</v>
      </c>
      <c r="C525">
        <v>1303.7513428</v>
      </c>
      <c r="D525">
        <v>1291.4101562000001</v>
      </c>
      <c r="E525">
        <v>1395.2606201000001</v>
      </c>
      <c r="F525">
        <v>1375.4609375</v>
      </c>
      <c r="G525">
        <v>80</v>
      </c>
      <c r="H525">
        <v>76.221458435000002</v>
      </c>
      <c r="I525">
        <v>50</v>
      </c>
      <c r="J525">
        <v>49.945468902999998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203.359816</v>
      </c>
      <c r="B526" s="1">
        <f>DATE(2010,11,20) + TIME(8,38,8)</f>
        <v>40502.359814814816</v>
      </c>
      <c r="C526">
        <v>1303.7064209</v>
      </c>
      <c r="D526">
        <v>1291.3591309000001</v>
      </c>
      <c r="E526">
        <v>1395.1990966999999</v>
      </c>
      <c r="F526">
        <v>1375.4040527</v>
      </c>
      <c r="G526">
        <v>80</v>
      </c>
      <c r="H526">
        <v>76.107330321999996</v>
      </c>
      <c r="I526">
        <v>50</v>
      </c>
      <c r="J526">
        <v>49.945537567000002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204.09183899999999</v>
      </c>
      <c r="B527" s="1">
        <f>DATE(2010,11,21) + TIME(2,12,14)</f>
        <v>40503.091828703706</v>
      </c>
      <c r="C527">
        <v>1303.6597899999999</v>
      </c>
      <c r="D527">
        <v>1291.3060303</v>
      </c>
      <c r="E527">
        <v>1395.1376952999999</v>
      </c>
      <c r="F527">
        <v>1375.3472899999999</v>
      </c>
      <c r="G527">
        <v>80</v>
      </c>
      <c r="H527">
        <v>75.991935729999994</v>
      </c>
      <c r="I527">
        <v>50</v>
      </c>
      <c r="J527">
        <v>49.945610045999999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204.82920999999999</v>
      </c>
      <c r="B528" s="1">
        <f>DATE(2010,11,21) + TIME(19,54,3)</f>
        <v>40503.829201388886</v>
      </c>
      <c r="C528">
        <v>1303.6124268000001</v>
      </c>
      <c r="D528">
        <v>1291.2520752</v>
      </c>
      <c r="E528">
        <v>1395.0780029</v>
      </c>
      <c r="F528">
        <v>1375.2922363</v>
      </c>
      <c r="G528">
        <v>80</v>
      </c>
      <c r="H528">
        <v>75.876098632999998</v>
      </c>
      <c r="I528">
        <v>50</v>
      </c>
      <c r="J528">
        <v>49.945674896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205.575672</v>
      </c>
      <c r="B529" s="1">
        <f>DATE(2010,11,22) + TIME(13,48,58)</f>
        <v>40504.575671296298</v>
      </c>
      <c r="C529">
        <v>1303.5646973</v>
      </c>
      <c r="D529">
        <v>1291.1973877</v>
      </c>
      <c r="E529">
        <v>1395.0201416</v>
      </c>
      <c r="F529">
        <v>1375.2387695</v>
      </c>
      <c r="G529">
        <v>80</v>
      </c>
      <c r="H529">
        <v>75.759925842000001</v>
      </c>
      <c r="I529">
        <v>50</v>
      </c>
      <c r="J529">
        <v>49.945743561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206.33501999999999</v>
      </c>
      <c r="B530" s="1">
        <f>DATE(2010,11,23) + TIME(8,2,25)</f>
        <v>40505.335011574076</v>
      </c>
      <c r="C530">
        <v>1303.5162353999999</v>
      </c>
      <c r="D530">
        <v>1291.1417236</v>
      </c>
      <c r="E530">
        <v>1394.9637451000001</v>
      </c>
      <c r="F530">
        <v>1375.1866454999999</v>
      </c>
      <c r="G530">
        <v>80</v>
      </c>
      <c r="H530">
        <v>75.643218993999994</v>
      </c>
      <c r="I530">
        <v>50</v>
      </c>
      <c r="J530">
        <v>49.945808411000002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207.11109200000001</v>
      </c>
      <c r="B531" s="1">
        <f>DATE(2010,11,24) + TIME(2,39,58)</f>
        <v>40506.111087962963</v>
      </c>
      <c r="C531">
        <v>1303.4666748</v>
      </c>
      <c r="D531">
        <v>1291.0848389</v>
      </c>
      <c r="E531">
        <v>1394.9083252</v>
      </c>
      <c r="F531">
        <v>1375.1356201000001</v>
      </c>
      <c r="G531">
        <v>80</v>
      </c>
      <c r="H531">
        <v>75.525634765999996</v>
      </c>
      <c r="I531">
        <v>50</v>
      </c>
      <c r="J531">
        <v>49.945873259999999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207.90772000000001</v>
      </c>
      <c r="B532" s="1">
        <f>DATE(2010,11,24) + TIME(21,47,7)</f>
        <v>40506.907719907409</v>
      </c>
      <c r="C532">
        <v>1303.4158935999999</v>
      </c>
      <c r="D532">
        <v>1291.0262451000001</v>
      </c>
      <c r="E532">
        <v>1394.8536377</v>
      </c>
      <c r="F532">
        <v>1375.0852050999999</v>
      </c>
      <c r="G532">
        <v>80</v>
      </c>
      <c r="H532">
        <v>75.406753539999997</v>
      </c>
      <c r="I532">
        <v>50</v>
      </c>
      <c r="J532">
        <v>49.945941925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208.72718900000001</v>
      </c>
      <c r="B533" s="1">
        <f>DATE(2010,11,25) + TIME(17,27,9)</f>
        <v>40507.727187500001</v>
      </c>
      <c r="C533">
        <v>1303.3635254000001</v>
      </c>
      <c r="D533">
        <v>1290.9658202999999</v>
      </c>
      <c r="E533">
        <v>1394.7995605000001</v>
      </c>
      <c r="F533">
        <v>1375.0352783000001</v>
      </c>
      <c r="G533">
        <v>80</v>
      </c>
      <c r="H533">
        <v>75.286231994999994</v>
      </c>
      <c r="I533">
        <v>50</v>
      </c>
      <c r="J533">
        <v>49.94601059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209.57192499999999</v>
      </c>
      <c r="B534" s="1">
        <f>DATE(2010,11,26) + TIME(13,43,34)</f>
        <v>40508.571921296294</v>
      </c>
      <c r="C534">
        <v>1303.3093262</v>
      </c>
      <c r="D534">
        <v>1290.9030762</v>
      </c>
      <c r="E534">
        <v>1394.7457274999999</v>
      </c>
      <c r="F534">
        <v>1374.9857178</v>
      </c>
      <c r="G534">
        <v>80</v>
      </c>
      <c r="H534">
        <v>75.163780212000006</v>
      </c>
      <c r="I534">
        <v>50</v>
      </c>
      <c r="J534">
        <v>49.946079253999997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210.44269</v>
      </c>
      <c r="B535" s="1">
        <f>DATE(2010,11,27) + TIME(10,37,28)</f>
        <v>40509.442685185182</v>
      </c>
      <c r="C535">
        <v>1303.2530518000001</v>
      </c>
      <c r="D535">
        <v>1290.8378906</v>
      </c>
      <c r="E535">
        <v>1394.6922606999999</v>
      </c>
      <c r="F535">
        <v>1374.9364014</v>
      </c>
      <c r="G535">
        <v>80</v>
      </c>
      <c r="H535">
        <v>75.039260863999999</v>
      </c>
      <c r="I535">
        <v>50</v>
      </c>
      <c r="J535">
        <v>49.946151733000001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211.34272899999999</v>
      </c>
      <c r="B536" s="1">
        <f>DATE(2010,11,28) + TIME(8,13,31)</f>
        <v>40510.342719907407</v>
      </c>
      <c r="C536">
        <v>1303.1948242000001</v>
      </c>
      <c r="D536">
        <v>1290.7701416</v>
      </c>
      <c r="E536">
        <v>1394.6390381000001</v>
      </c>
      <c r="F536">
        <v>1374.8873291</v>
      </c>
      <c r="G536">
        <v>80</v>
      </c>
      <c r="H536">
        <v>74.912338257000002</v>
      </c>
      <c r="I536">
        <v>50</v>
      </c>
      <c r="J536">
        <v>49.946228026999997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212.27689599999999</v>
      </c>
      <c r="B537" s="1">
        <f>DATE(2010,11,29) + TIME(6,38,43)</f>
        <v>40511.276886574073</v>
      </c>
      <c r="C537">
        <v>1303.1340332</v>
      </c>
      <c r="D537">
        <v>1290.6994629000001</v>
      </c>
      <c r="E537">
        <v>1394.5858154</v>
      </c>
      <c r="F537">
        <v>1374.8382568</v>
      </c>
      <c r="G537">
        <v>80</v>
      </c>
      <c r="H537">
        <v>74.782600403000004</v>
      </c>
      <c r="I537">
        <v>50</v>
      </c>
      <c r="J537">
        <v>49.946304321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213.24902399999999</v>
      </c>
      <c r="B538" s="1">
        <f>DATE(2010,11,30) + TIME(5,58,35)</f>
        <v>40512.249016203707</v>
      </c>
      <c r="C538">
        <v>1303.0705565999999</v>
      </c>
      <c r="D538">
        <v>1290.6253661999999</v>
      </c>
      <c r="E538">
        <v>1394.5325928</v>
      </c>
      <c r="F538">
        <v>1374.7893065999999</v>
      </c>
      <c r="G538">
        <v>80</v>
      </c>
      <c r="H538">
        <v>74.649673461999996</v>
      </c>
      <c r="I538">
        <v>50</v>
      </c>
      <c r="J538">
        <v>49.946384430000002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214</v>
      </c>
      <c r="B539" s="1">
        <f>DATE(2010,12,1) + TIME(0,0,0)</f>
        <v>40513</v>
      </c>
      <c r="C539">
        <v>1303.0030518000001</v>
      </c>
      <c r="D539">
        <v>1290.5485839999999</v>
      </c>
      <c r="E539">
        <v>1394.4786377</v>
      </c>
      <c r="F539">
        <v>1374.7395019999999</v>
      </c>
      <c r="G539">
        <v>80</v>
      </c>
      <c r="H539">
        <v>74.532341002999999</v>
      </c>
      <c r="I539">
        <v>50</v>
      </c>
      <c r="J539">
        <v>49.946441649999997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214.976902</v>
      </c>
      <c r="B540" s="1">
        <f>DATE(2010,12,1) + TIME(23,26,44)</f>
        <v>40513.976898148147</v>
      </c>
      <c r="C540">
        <v>1302.9515381000001</v>
      </c>
      <c r="D540">
        <v>1290.4853516000001</v>
      </c>
      <c r="E540">
        <v>1394.4388428</v>
      </c>
      <c r="F540">
        <v>1374.7030029</v>
      </c>
      <c r="G540">
        <v>80</v>
      </c>
      <c r="H540">
        <v>74.405830382999994</v>
      </c>
      <c r="I540">
        <v>50</v>
      </c>
      <c r="J540">
        <v>49.946525573999999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215.96722299999999</v>
      </c>
      <c r="B541" s="1">
        <f>DATE(2010,12,2) + TIME(23,12,48)</f>
        <v>40514.967222222222</v>
      </c>
      <c r="C541">
        <v>1302.8834228999999</v>
      </c>
      <c r="D541">
        <v>1290.4057617000001</v>
      </c>
      <c r="E541">
        <v>1394.3883057</v>
      </c>
      <c r="F541">
        <v>1374.6563721</v>
      </c>
      <c r="G541">
        <v>80</v>
      </c>
      <c r="H541">
        <v>74.275428771999998</v>
      </c>
      <c r="I541">
        <v>50</v>
      </c>
      <c r="J541">
        <v>49.946605681999998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216.97186300000001</v>
      </c>
      <c r="B542" s="1">
        <f>DATE(2010,12,3) + TIME(23,19,28)</f>
        <v>40515.971851851849</v>
      </c>
      <c r="C542">
        <v>1302.8135986</v>
      </c>
      <c r="D542">
        <v>1290.3236084</v>
      </c>
      <c r="E542">
        <v>1394.3386230000001</v>
      </c>
      <c r="F542">
        <v>1374.6107178</v>
      </c>
      <c r="G542">
        <v>80</v>
      </c>
      <c r="H542">
        <v>74.143043517999999</v>
      </c>
      <c r="I542">
        <v>50</v>
      </c>
      <c r="J542">
        <v>49.946689606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217.995946</v>
      </c>
      <c r="B543" s="1">
        <f>DATE(2010,12,4) + TIME(23,54,9)</f>
        <v>40516.995937500003</v>
      </c>
      <c r="C543">
        <v>1302.7420654</v>
      </c>
      <c r="D543">
        <v>1290.2390137</v>
      </c>
      <c r="E543">
        <v>1394.2899170000001</v>
      </c>
      <c r="F543">
        <v>1374.565918</v>
      </c>
      <c r="G543">
        <v>80</v>
      </c>
      <c r="H543">
        <v>74.009284973000007</v>
      </c>
      <c r="I543">
        <v>50</v>
      </c>
      <c r="J543">
        <v>49.946769713999998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219.04482400000001</v>
      </c>
      <c r="B544" s="1">
        <f>DATE(2010,12,6) + TIME(1,4,32)</f>
        <v>40518.044814814813</v>
      </c>
      <c r="C544">
        <v>1302.6682129000001</v>
      </c>
      <c r="D544">
        <v>1290.1514893000001</v>
      </c>
      <c r="E544">
        <v>1394.2419434000001</v>
      </c>
      <c r="F544">
        <v>1374.5217285000001</v>
      </c>
      <c r="G544">
        <v>80</v>
      </c>
      <c r="H544">
        <v>73.874107361</v>
      </c>
      <c r="I544">
        <v>50</v>
      </c>
      <c r="J544">
        <v>49.946857452000003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220.122614</v>
      </c>
      <c r="B545" s="1">
        <f>DATE(2010,12,7) + TIME(2,56,33)</f>
        <v>40519.122604166667</v>
      </c>
      <c r="C545">
        <v>1302.5917969</v>
      </c>
      <c r="D545">
        <v>1290.0604248</v>
      </c>
      <c r="E545">
        <v>1394.1943358999999</v>
      </c>
      <c r="F545">
        <v>1374.4779053</v>
      </c>
      <c r="G545">
        <v>80</v>
      </c>
      <c r="H545">
        <v>73.737236022999994</v>
      </c>
      <c r="I545">
        <v>50</v>
      </c>
      <c r="J545">
        <v>49.946945190000001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221.23266699999999</v>
      </c>
      <c r="B546" s="1">
        <f>DATE(2010,12,8) + TIME(5,35,2)</f>
        <v>40520.232662037037</v>
      </c>
      <c r="C546">
        <v>1302.5123291</v>
      </c>
      <c r="D546">
        <v>1289.9654541</v>
      </c>
      <c r="E546">
        <v>1394.1468506000001</v>
      </c>
      <c r="F546">
        <v>1374.4343262</v>
      </c>
      <c r="G546">
        <v>80</v>
      </c>
      <c r="H546">
        <v>73.598350525000001</v>
      </c>
      <c r="I546">
        <v>50</v>
      </c>
      <c r="J546">
        <v>49.947036742999998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222.37668300000001</v>
      </c>
      <c r="B547" s="1">
        <f>DATE(2010,12,9) + TIME(9,2,25)</f>
        <v>40521.37667824074</v>
      </c>
      <c r="C547">
        <v>1302.4293213000001</v>
      </c>
      <c r="D547">
        <v>1289.8660889</v>
      </c>
      <c r="E547">
        <v>1394.0996094</v>
      </c>
      <c r="F547">
        <v>1374.3908690999999</v>
      </c>
      <c r="G547">
        <v>80</v>
      </c>
      <c r="H547">
        <v>73.457221985000004</v>
      </c>
      <c r="I547">
        <v>50</v>
      </c>
      <c r="J547">
        <v>49.947128296000002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223.556715</v>
      </c>
      <c r="B548" s="1">
        <f>DATE(2010,12,10) + TIME(13,21,40)</f>
        <v>40522.556712962964</v>
      </c>
      <c r="C548">
        <v>1302.3427733999999</v>
      </c>
      <c r="D548">
        <v>1289.7619629000001</v>
      </c>
      <c r="E548">
        <v>1394.0524902</v>
      </c>
      <c r="F548">
        <v>1374.3475341999999</v>
      </c>
      <c r="G548">
        <v>80</v>
      </c>
      <c r="H548">
        <v>73.313644409000005</v>
      </c>
      <c r="I548">
        <v>50</v>
      </c>
      <c r="J548">
        <v>49.947223663000003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224.77908400000001</v>
      </c>
      <c r="B549" s="1">
        <f>DATE(2010,12,11) + TIME(18,41,52)</f>
        <v>40523.779074074075</v>
      </c>
      <c r="C549">
        <v>1302.2520752</v>
      </c>
      <c r="D549">
        <v>1289.6525879000001</v>
      </c>
      <c r="E549">
        <v>1394.0053711</v>
      </c>
      <c r="F549">
        <v>1374.3041992000001</v>
      </c>
      <c r="G549">
        <v>80</v>
      </c>
      <c r="H549">
        <v>73.167243958</v>
      </c>
      <c r="I549">
        <v>50</v>
      </c>
      <c r="J549">
        <v>49.947326660000002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226.01143400000001</v>
      </c>
      <c r="B550" s="1">
        <f>DATE(2010,12,13) + TIME(0,16,27)</f>
        <v>40525.011423611111</v>
      </c>
      <c r="C550">
        <v>1302.1567382999999</v>
      </c>
      <c r="D550">
        <v>1289.5373535000001</v>
      </c>
      <c r="E550">
        <v>1393.9581298999999</v>
      </c>
      <c r="F550">
        <v>1374.2608643000001</v>
      </c>
      <c r="G550">
        <v>80</v>
      </c>
      <c r="H550">
        <v>73.019401549999998</v>
      </c>
      <c r="I550">
        <v>50</v>
      </c>
      <c r="J550">
        <v>49.947425842000001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227.24921900000001</v>
      </c>
      <c r="B551" s="1">
        <f>DATE(2010,12,14) + TIME(5,58,52)</f>
        <v>40526.249212962961</v>
      </c>
      <c r="C551">
        <v>1302.0589600000001</v>
      </c>
      <c r="D551">
        <v>1289.4187012</v>
      </c>
      <c r="E551">
        <v>1393.9119873</v>
      </c>
      <c r="F551">
        <v>1374.2183838000001</v>
      </c>
      <c r="G551">
        <v>80</v>
      </c>
      <c r="H551">
        <v>72.871543884000005</v>
      </c>
      <c r="I551">
        <v>50</v>
      </c>
      <c r="J551">
        <v>49.947525024000001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228.499009</v>
      </c>
      <c r="B552" s="1">
        <f>DATE(2010,12,15) + TIME(11,58,34)</f>
        <v>40527.49900462963</v>
      </c>
      <c r="C552">
        <v>1301.9591064000001</v>
      </c>
      <c r="D552">
        <v>1289.296875</v>
      </c>
      <c r="E552">
        <v>1393.8670654</v>
      </c>
      <c r="F552">
        <v>1374.177124</v>
      </c>
      <c r="G552">
        <v>80</v>
      </c>
      <c r="H552">
        <v>72.723999023000005</v>
      </c>
      <c r="I552">
        <v>50</v>
      </c>
      <c r="J552">
        <v>49.947628021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229.76727299999999</v>
      </c>
      <c r="B553" s="1">
        <f>DATE(2010,12,16) + TIME(18,24,52)</f>
        <v>40528.767268518517</v>
      </c>
      <c r="C553">
        <v>1301.8565673999999</v>
      </c>
      <c r="D553">
        <v>1289.1712646000001</v>
      </c>
      <c r="E553">
        <v>1393.8231201000001</v>
      </c>
      <c r="F553">
        <v>1374.1368408000001</v>
      </c>
      <c r="G553">
        <v>80</v>
      </c>
      <c r="H553">
        <v>72.576454162999994</v>
      </c>
      <c r="I553">
        <v>50</v>
      </c>
      <c r="J553">
        <v>49.947727202999999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231.06055699999999</v>
      </c>
      <c r="B554" s="1">
        <f>DATE(2010,12,18) + TIME(1,27,12)</f>
        <v>40530.060555555552</v>
      </c>
      <c r="C554">
        <v>1301.7507324000001</v>
      </c>
      <c r="D554">
        <v>1289.0410156</v>
      </c>
      <c r="E554">
        <v>1393.7799072</v>
      </c>
      <c r="F554">
        <v>1374.0970459</v>
      </c>
      <c r="G554">
        <v>80</v>
      </c>
      <c r="H554">
        <v>72.428306579999997</v>
      </c>
      <c r="I554">
        <v>50</v>
      </c>
      <c r="J554">
        <v>49.947834014999998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232.38579300000001</v>
      </c>
      <c r="B555" s="1">
        <f>DATE(2010,12,19) + TIME(9,15,32)</f>
        <v>40531.385787037034</v>
      </c>
      <c r="C555">
        <v>1301.6408690999999</v>
      </c>
      <c r="D555">
        <v>1288.9053954999999</v>
      </c>
      <c r="E555">
        <v>1393.7370605000001</v>
      </c>
      <c r="F555">
        <v>1374.0577393000001</v>
      </c>
      <c r="G555">
        <v>80</v>
      </c>
      <c r="H555">
        <v>72.278869628999999</v>
      </c>
      <c r="I555">
        <v>50</v>
      </c>
      <c r="J555">
        <v>49.947940826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233.74572499999999</v>
      </c>
      <c r="B556" s="1">
        <f>DATE(2010,12,20) + TIME(17,53,50)</f>
        <v>40532.745717592596</v>
      </c>
      <c r="C556">
        <v>1301.5262451000001</v>
      </c>
      <c r="D556">
        <v>1288.7633057</v>
      </c>
      <c r="E556">
        <v>1393.6944579999999</v>
      </c>
      <c r="F556">
        <v>1374.0186768000001</v>
      </c>
      <c r="G556">
        <v>80</v>
      </c>
      <c r="H556">
        <v>72.127555846999996</v>
      </c>
      <c r="I556">
        <v>50</v>
      </c>
      <c r="J556">
        <v>49.948047637999998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235.14595600000001</v>
      </c>
      <c r="B557" s="1">
        <f>DATE(2010,12,22) + TIME(3,30,10)</f>
        <v>40534.145949074074</v>
      </c>
      <c r="C557">
        <v>1301.4063721</v>
      </c>
      <c r="D557">
        <v>1288.6141356999999</v>
      </c>
      <c r="E557">
        <v>1393.6520995999999</v>
      </c>
      <c r="F557">
        <v>1373.9797363</v>
      </c>
      <c r="G557">
        <v>80</v>
      </c>
      <c r="H557">
        <v>71.973838806000003</v>
      </c>
      <c r="I557">
        <v>50</v>
      </c>
      <c r="J557">
        <v>49.948162078999999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236.587413</v>
      </c>
      <c r="B558" s="1">
        <f>DATE(2010,12,23) + TIME(14,5,52)</f>
        <v>40535.587407407409</v>
      </c>
      <c r="C558">
        <v>1301.2806396000001</v>
      </c>
      <c r="D558">
        <v>1288.4570312000001</v>
      </c>
      <c r="E558">
        <v>1393.6097411999999</v>
      </c>
      <c r="F558">
        <v>1373.940918</v>
      </c>
      <c r="G558">
        <v>80</v>
      </c>
      <c r="H558">
        <v>71.817298889</v>
      </c>
      <c r="I558">
        <v>50</v>
      </c>
      <c r="J558">
        <v>49.94827652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238.07366999999999</v>
      </c>
      <c r="B559" s="1">
        <f>DATE(2010,12,25) + TIME(1,46,5)</f>
        <v>40537.07366898148</v>
      </c>
      <c r="C559">
        <v>1301.1485596</v>
      </c>
      <c r="D559">
        <v>1288.2911377</v>
      </c>
      <c r="E559">
        <v>1393.5673827999999</v>
      </c>
      <c r="F559">
        <v>1373.9019774999999</v>
      </c>
      <c r="G559">
        <v>80</v>
      </c>
      <c r="H559">
        <v>71.657577515</v>
      </c>
      <c r="I559">
        <v>50</v>
      </c>
      <c r="J559">
        <v>49.948394774999997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239.59691000000001</v>
      </c>
      <c r="B560" s="1">
        <f>DATE(2010,12,26) + TIME(14,19,33)</f>
        <v>40538.596909722219</v>
      </c>
      <c r="C560">
        <v>1301.0093993999999</v>
      </c>
      <c r="D560">
        <v>1288.1158447</v>
      </c>
      <c r="E560">
        <v>1393.5250243999999</v>
      </c>
      <c r="F560">
        <v>1373.8631591999999</v>
      </c>
      <c r="G560">
        <v>80</v>
      </c>
      <c r="H560">
        <v>71.494705199999999</v>
      </c>
      <c r="I560">
        <v>50</v>
      </c>
      <c r="J560">
        <v>49.948516845999997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241.12330600000001</v>
      </c>
      <c r="B561" s="1">
        <f>DATE(2010,12,28) + TIME(2,57,33)</f>
        <v>40540.123298611114</v>
      </c>
      <c r="C561">
        <v>1300.8637695</v>
      </c>
      <c r="D561">
        <v>1287.9316406</v>
      </c>
      <c r="E561">
        <v>1393.4827881000001</v>
      </c>
      <c r="F561">
        <v>1373.8244629000001</v>
      </c>
      <c r="G561">
        <v>80</v>
      </c>
      <c r="H561">
        <v>71.330169678000004</v>
      </c>
      <c r="I561">
        <v>50</v>
      </c>
      <c r="J561">
        <v>49.948638916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242.660855</v>
      </c>
      <c r="B562" s="1">
        <f>DATE(2010,12,29) + TIME(15,51,37)</f>
        <v>40541.660844907405</v>
      </c>
      <c r="C562">
        <v>1300.7142334</v>
      </c>
      <c r="D562">
        <v>1287.7413329999999</v>
      </c>
      <c r="E562">
        <v>1393.4417725000001</v>
      </c>
      <c r="F562">
        <v>1373.7868652</v>
      </c>
      <c r="G562">
        <v>80</v>
      </c>
      <c r="H562">
        <v>71.165039062000005</v>
      </c>
      <c r="I562">
        <v>50</v>
      </c>
      <c r="J562">
        <v>49.948757172000001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244.217735</v>
      </c>
      <c r="B563" s="1">
        <f>DATE(2010,12,31) + TIME(5,13,32)</f>
        <v>40543.217731481483</v>
      </c>
      <c r="C563">
        <v>1300.5601807</v>
      </c>
      <c r="D563">
        <v>1287.5443115</v>
      </c>
      <c r="E563">
        <v>1393.4017334</v>
      </c>
      <c r="F563">
        <v>1373.7501221</v>
      </c>
      <c r="G563">
        <v>80</v>
      </c>
      <c r="H563">
        <v>70.999015807999996</v>
      </c>
      <c r="I563">
        <v>50</v>
      </c>
      <c r="J563">
        <v>49.948879241999997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245</v>
      </c>
      <c r="B564" s="1">
        <f>DATE(2011,1,1) + TIME(0,0,0)</f>
        <v>40544</v>
      </c>
      <c r="C564">
        <v>1300.4029541</v>
      </c>
      <c r="D564">
        <v>1287.3502197</v>
      </c>
      <c r="E564">
        <v>1393.3612060999999</v>
      </c>
      <c r="F564">
        <v>1373.7128906</v>
      </c>
      <c r="G564">
        <v>80</v>
      </c>
      <c r="H564">
        <v>70.876548767000003</v>
      </c>
      <c r="I564">
        <v>50</v>
      </c>
      <c r="J564">
        <v>49.948940276999998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246.584304</v>
      </c>
      <c r="B565" s="1">
        <f>DATE(2011,1,2) + TIME(14,1,23)</f>
        <v>40545.584293981483</v>
      </c>
      <c r="C565">
        <v>1300.3143310999999</v>
      </c>
      <c r="D565">
        <v>1287.2242432</v>
      </c>
      <c r="E565">
        <v>1393.3428954999999</v>
      </c>
      <c r="F565">
        <v>1373.6960449000001</v>
      </c>
      <c r="G565">
        <v>80</v>
      </c>
      <c r="H565">
        <v>70.733459472999996</v>
      </c>
      <c r="I565">
        <v>50</v>
      </c>
      <c r="J565">
        <v>49.949066162000001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248.22384400000001</v>
      </c>
      <c r="B566" s="1">
        <f>DATE(2011,1,4) + TIME(5,22,20)</f>
        <v>40547.22384259259</v>
      </c>
      <c r="C566">
        <v>1300.1495361</v>
      </c>
      <c r="D566">
        <v>1287.0130615</v>
      </c>
      <c r="E566">
        <v>1393.3043213000001</v>
      </c>
      <c r="F566">
        <v>1373.6607666</v>
      </c>
      <c r="G566">
        <v>80</v>
      </c>
      <c r="H566">
        <v>70.571205139</v>
      </c>
      <c r="I566">
        <v>50</v>
      </c>
      <c r="J566">
        <v>49.949195862000003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249.90471299999999</v>
      </c>
      <c r="B567" s="1">
        <f>DATE(2011,1,5) + TIME(21,42,47)</f>
        <v>40548.904710648145</v>
      </c>
      <c r="C567">
        <v>1299.9730225000001</v>
      </c>
      <c r="D567">
        <v>1286.7844238</v>
      </c>
      <c r="E567">
        <v>1393.2655029</v>
      </c>
      <c r="F567">
        <v>1373.6252440999999</v>
      </c>
      <c r="G567">
        <v>80</v>
      </c>
      <c r="H567">
        <v>70.398460388000004</v>
      </c>
      <c r="I567">
        <v>50</v>
      </c>
      <c r="J567">
        <v>49.949325561999999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251.63446500000001</v>
      </c>
      <c r="B568" s="1">
        <f>DATE(2011,1,7) + TIME(15,13,37)</f>
        <v>40550.634456018517</v>
      </c>
      <c r="C568">
        <v>1299.7871094</v>
      </c>
      <c r="D568">
        <v>1286.5417480000001</v>
      </c>
      <c r="E568">
        <v>1393.2269286999999</v>
      </c>
      <c r="F568">
        <v>1373.5898437999999</v>
      </c>
      <c r="G568">
        <v>80</v>
      </c>
      <c r="H568">
        <v>70.218391417999996</v>
      </c>
      <c r="I568">
        <v>50</v>
      </c>
      <c r="J568">
        <v>49.949459075999997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253.413287</v>
      </c>
      <c r="B569" s="1">
        <f>DATE(2011,1,9) + TIME(9,55,8)</f>
        <v>40552.413287037038</v>
      </c>
      <c r="C569">
        <v>1299.5909423999999</v>
      </c>
      <c r="D569">
        <v>1286.2843018000001</v>
      </c>
      <c r="E569">
        <v>1393.1882324000001</v>
      </c>
      <c r="F569">
        <v>1373.5544434000001</v>
      </c>
      <c r="G569">
        <v>80</v>
      </c>
      <c r="H569">
        <v>70.031654357999997</v>
      </c>
      <c r="I569">
        <v>50</v>
      </c>
      <c r="J569">
        <v>49.949596405000001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255.237889</v>
      </c>
      <c r="B570" s="1">
        <f>DATE(2011,1,11) + TIME(5,42,33)</f>
        <v>40554.237881944442</v>
      </c>
      <c r="C570">
        <v>1299.3843993999999</v>
      </c>
      <c r="D570">
        <v>1286.0117187999999</v>
      </c>
      <c r="E570">
        <v>1393.1494141000001</v>
      </c>
      <c r="F570">
        <v>1373.519043</v>
      </c>
      <c r="G570">
        <v>80</v>
      </c>
      <c r="H570">
        <v>69.838012695000003</v>
      </c>
      <c r="I570">
        <v>50</v>
      </c>
      <c r="J570">
        <v>49.949733733999999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257.065226</v>
      </c>
      <c r="B571" s="1">
        <f>DATE(2011,1,13) + TIME(1,33,55)</f>
        <v>40556.06521990741</v>
      </c>
      <c r="C571">
        <v>1299.1674805</v>
      </c>
      <c r="D571">
        <v>1285.7241211</v>
      </c>
      <c r="E571">
        <v>1393.1107178</v>
      </c>
      <c r="F571">
        <v>1373.4835204999999</v>
      </c>
      <c r="G571">
        <v>80</v>
      </c>
      <c r="H571">
        <v>69.638748168999996</v>
      </c>
      <c r="I571">
        <v>50</v>
      </c>
      <c r="J571">
        <v>49.949874878000003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258.90500800000001</v>
      </c>
      <c r="B572" s="1">
        <f>DATE(2011,1,14) + TIME(21,43,12)</f>
        <v>40557.904999999999</v>
      </c>
      <c r="C572">
        <v>1298.9444579999999</v>
      </c>
      <c r="D572">
        <v>1285.4266356999999</v>
      </c>
      <c r="E572">
        <v>1393.072876</v>
      </c>
      <c r="F572">
        <v>1373.4489745999999</v>
      </c>
      <c r="G572">
        <v>80</v>
      </c>
      <c r="H572">
        <v>69.435180664000001</v>
      </c>
      <c r="I572">
        <v>50</v>
      </c>
      <c r="J572">
        <v>49.950012207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260.76713799999999</v>
      </c>
      <c r="B573" s="1">
        <f>DATE(2011,1,16) + TIME(18,24,40)</f>
        <v>40559.767129629632</v>
      </c>
      <c r="C573">
        <v>1298.7144774999999</v>
      </c>
      <c r="D573">
        <v>1285.1180420000001</v>
      </c>
      <c r="E573">
        <v>1393.0357666</v>
      </c>
      <c r="F573">
        <v>1373.4150391000001</v>
      </c>
      <c r="G573">
        <v>80</v>
      </c>
      <c r="H573">
        <v>69.226593018000003</v>
      </c>
      <c r="I573">
        <v>50</v>
      </c>
      <c r="J573">
        <v>49.950153350999997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262.661449</v>
      </c>
      <c r="B574" s="1">
        <f>DATE(2011,1,18) + TIME(15,52,29)</f>
        <v>40561.661446759259</v>
      </c>
      <c r="C574">
        <v>1298.4764404</v>
      </c>
      <c r="D574">
        <v>1284.7969971</v>
      </c>
      <c r="E574">
        <v>1392.9991454999999</v>
      </c>
      <c r="F574">
        <v>1373.3814697</v>
      </c>
      <c r="G574">
        <v>80</v>
      </c>
      <c r="H574">
        <v>69.011566161999994</v>
      </c>
      <c r="I574">
        <v>50</v>
      </c>
      <c r="J574">
        <v>49.950298308999997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264.59577100000001</v>
      </c>
      <c r="B575" s="1">
        <f>DATE(2011,1,20) + TIME(14,17,54)</f>
        <v>40563.595763888887</v>
      </c>
      <c r="C575">
        <v>1298.229126</v>
      </c>
      <c r="D575">
        <v>1284.4615478999999</v>
      </c>
      <c r="E575">
        <v>1392.9626464999999</v>
      </c>
      <c r="F575">
        <v>1373.3481445</v>
      </c>
      <c r="G575">
        <v>80</v>
      </c>
      <c r="H575">
        <v>68.78843689</v>
      </c>
      <c r="I575">
        <v>50</v>
      </c>
      <c r="J575">
        <v>49.950439453000001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266.57269600000001</v>
      </c>
      <c r="B576" s="1">
        <f>DATE(2011,1,22) + TIME(13,44,40)</f>
        <v>40565.572685185187</v>
      </c>
      <c r="C576">
        <v>1297.9710693</v>
      </c>
      <c r="D576">
        <v>1284.1098632999999</v>
      </c>
      <c r="E576">
        <v>1392.9261475000001</v>
      </c>
      <c r="F576">
        <v>1373.3149414</v>
      </c>
      <c r="G576">
        <v>80</v>
      </c>
      <c r="H576">
        <v>68.555633545000006</v>
      </c>
      <c r="I576">
        <v>50</v>
      </c>
      <c r="J576">
        <v>49.950588226000001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268.60339099999999</v>
      </c>
      <c r="B577" s="1">
        <f>DATE(2011,1,24) + TIME(14,28,53)</f>
        <v>40567.603391203702</v>
      </c>
      <c r="C577">
        <v>1297.7017822</v>
      </c>
      <c r="D577">
        <v>1283.7409668</v>
      </c>
      <c r="E577">
        <v>1392.8896483999999</v>
      </c>
      <c r="F577">
        <v>1373.2816161999999</v>
      </c>
      <c r="G577">
        <v>80</v>
      </c>
      <c r="H577">
        <v>68.311485290999997</v>
      </c>
      <c r="I577">
        <v>50</v>
      </c>
      <c r="J577">
        <v>49.950736999999997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270.69096400000001</v>
      </c>
      <c r="B578" s="1">
        <f>DATE(2011,1,26) + TIME(16,34,59)</f>
        <v>40569.690960648149</v>
      </c>
      <c r="C578">
        <v>1297.4196777</v>
      </c>
      <c r="D578">
        <v>1283.3524170000001</v>
      </c>
      <c r="E578">
        <v>1392.8529053</v>
      </c>
      <c r="F578">
        <v>1373.2480469</v>
      </c>
      <c r="G578">
        <v>80</v>
      </c>
      <c r="H578">
        <v>68.054046631000006</v>
      </c>
      <c r="I578">
        <v>50</v>
      </c>
      <c r="J578">
        <v>49.950889586999999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272.83631600000001</v>
      </c>
      <c r="B579" s="1">
        <f>DATE(2011,1,28) + TIME(20,4,17)</f>
        <v>40571.83630787037</v>
      </c>
      <c r="C579">
        <v>1297.1240233999999</v>
      </c>
      <c r="D579">
        <v>1282.9428711</v>
      </c>
      <c r="E579">
        <v>1392.8157959</v>
      </c>
      <c r="F579">
        <v>1373.2142334</v>
      </c>
      <c r="G579">
        <v>80</v>
      </c>
      <c r="H579">
        <v>67.781707764000004</v>
      </c>
      <c r="I579">
        <v>50</v>
      </c>
      <c r="J579">
        <v>49.951045989999997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274.99508400000002</v>
      </c>
      <c r="B580" s="1">
        <f>DATE(2011,1,30) + TIME(23,52,55)</f>
        <v>40573.995081018518</v>
      </c>
      <c r="C580">
        <v>1296.8144531</v>
      </c>
      <c r="D580">
        <v>1282.5124512</v>
      </c>
      <c r="E580">
        <v>1392.7783202999999</v>
      </c>
      <c r="F580">
        <v>1373.1800536999999</v>
      </c>
      <c r="G580">
        <v>80</v>
      </c>
      <c r="H580">
        <v>67.494667053000001</v>
      </c>
      <c r="I580">
        <v>50</v>
      </c>
      <c r="J580">
        <v>49.951202393000003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276</v>
      </c>
      <c r="B581" s="1">
        <f>DATE(2011,2,1) + TIME(0,0,0)</f>
        <v>40575</v>
      </c>
      <c r="C581">
        <v>1296.5047606999999</v>
      </c>
      <c r="D581">
        <v>1282.0964355000001</v>
      </c>
      <c r="E581">
        <v>1392.7397461</v>
      </c>
      <c r="F581">
        <v>1373.1448975000001</v>
      </c>
      <c r="G581">
        <v>80</v>
      </c>
      <c r="H581">
        <v>67.268745421999995</v>
      </c>
      <c r="I581">
        <v>50</v>
      </c>
      <c r="J581">
        <v>49.951271057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278.170931</v>
      </c>
      <c r="B582" s="1">
        <f>DATE(2011,2,3) + TIME(4,6,8)</f>
        <v>40577.170925925922</v>
      </c>
      <c r="C582">
        <v>1296.3316649999999</v>
      </c>
      <c r="D582">
        <v>1281.8267822</v>
      </c>
      <c r="E582">
        <v>1392.7241211</v>
      </c>
      <c r="F582">
        <v>1373.1306152</v>
      </c>
      <c r="G582">
        <v>80</v>
      </c>
      <c r="H582">
        <v>67.026107788000004</v>
      </c>
      <c r="I582">
        <v>50</v>
      </c>
      <c r="J582">
        <v>49.951431274000001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280.38230900000002</v>
      </c>
      <c r="B583" s="1">
        <f>DATE(2011,2,5) + TIME(9,10,31)</f>
        <v>40579.382303240738</v>
      </c>
      <c r="C583">
        <v>1296.0148925999999</v>
      </c>
      <c r="D583">
        <v>1281.3856201000001</v>
      </c>
      <c r="E583">
        <v>1392.6872559000001</v>
      </c>
      <c r="F583">
        <v>1373.097168</v>
      </c>
      <c r="G583">
        <v>80</v>
      </c>
      <c r="H583">
        <v>66.725357056000007</v>
      </c>
      <c r="I583">
        <v>50</v>
      </c>
      <c r="J583">
        <v>49.951587676999999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282.63477399999999</v>
      </c>
      <c r="B584" s="1">
        <f>DATE(2011,2,7) + TIME(15,14,4)</f>
        <v>40581.634768518517</v>
      </c>
      <c r="C584">
        <v>1295.6795654</v>
      </c>
      <c r="D584">
        <v>1280.9116211</v>
      </c>
      <c r="E584">
        <v>1392.6502685999999</v>
      </c>
      <c r="F584">
        <v>1373.0634766000001</v>
      </c>
      <c r="G584">
        <v>80</v>
      </c>
      <c r="H584">
        <v>66.395553589000002</v>
      </c>
      <c r="I584">
        <v>50</v>
      </c>
      <c r="J584">
        <v>49.951747894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284.92683299999999</v>
      </c>
      <c r="B585" s="1">
        <f>DATE(2011,2,9) + TIME(22,14,38)</f>
        <v>40583.926828703705</v>
      </c>
      <c r="C585">
        <v>1295.331543</v>
      </c>
      <c r="D585">
        <v>1280.4156493999999</v>
      </c>
      <c r="E585">
        <v>1392.6129149999999</v>
      </c>
      <c r="F585">
        <v>1373.0294189000001</v>
      </c>
      <c r="G585">
        <v>80</v>
      </c>
      <c r="H585">
        <v>66.044425963999998</v>
      </c>
      <c r="I585">
        <v>50</v>
      </c>
      <c r="J585">
        <v>49.951908111999998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287.24416300000001</v>
      </c>
      <c r="B586" s="1">
        <f>DATE(2011,2,12) + TIME(5,51,35)</f>
        <v>40586.244155092594</v>
      </c>
      <c r="C586">
        <v>1294.9725341999999</v>
      </c>
      <c r="D586">
        <v>1279.9012451000001</v>
      </c>
      <c r="E586">
        <v>1392.5753173999999</v>
      </c>
      <c r="F586">
        <v>1372.9951172000001</v>
      </c>
      <c r="G586">
        <v>80</v>
      </c>
      <c r="H586">
        <v>65.674301146999994</v>
      </c>
      <c r="I586">
        <v>50</v>
      </c>
      <c r="J586">
        <v>49.952068328999999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289.587739</v>
      </c>
      <c r="B587" s="1">
        <f>DATE(2011,2,14) + TIME(14,6,20)</f>
        <v>40588.587731481479</v>
      </c>
      <c r="C587">
        <v>1294.6054687999999</v>
      </c>
      <c r="D587">
        <v>1279.3721923999999</v>
      </c>
      <c r="E587">
        <v>1392.5373535000001</v>
      </c>
      <c r="F587">
        <v>1372.9606934000001</v>
      </c>
      <c r="G587">
        <v>80</v>
      </c>
      <c r="H587">
        <v>65.286537170000003</v>
      </c>
      <c r="I587">
        <v>50</v>
      </c>
      <c r="J587">
        <v>49.952232361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291.96295900000001</v>
      </c>
      <c r="B588" s="1">
        <f>DATE(2011,2,16) + TIME(23,6,39)</f>
        <v>40590.962951388887</v>
      </c>
      <c r="C588">
        <v>1294.2308350000001</v>
      </c>
      <c r="D588">
        <v>1278.8292236</v>
      </c>
      <c r="E588">
        <v>1392.4992675999999</v>
      </c>
      <c r="F588">
        <v>1372.9259033000001</v>
      </c>
      <c r="G588">
        <v>80</v>
      </c>
      <c r="H588">
        <v>64.881072997999993</v>
      </c>
      <c r="I588">
        <v>50</v>
      </c>
      <c r="J588">
        <v>49.952392578000001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294.367819</v>
      </c>
      <c r="B589" s="1">
        <f>DATE(2011,2,19) + TIME(8,49,39)</f>
        <v>40593.367812500001</v>
      </c>
      <c r="C589">
        <v>1293.8485106999999</v>
      </c>
      <c r="D589">
        <v>1278.2724608999999</v>
      </c>
      <c r="E589">
        <v>1392.4605713000001</v>
      </c>
      <c r="F589">
        <v>1372.8907471</v>
      </c>
      <c r="G589">
        <v>80</v>
      </c>
      <c r="H589">
        <v>64.457435607999997</v>
      </c>
      <c r="I589">
        <v>50</v>
      </c>
      <c r="J589">
        <v>49.952556610000002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296.80073199999998</v>
      </c>
      <c r="B590" s="1">
        <f>DATE(2011,2,21) + TIME(19,13,3)</f>
        <v>40595.800729166665</v>
      </c>
      <c r="C590">
        <v>1293.4593506000001</v>
      </c>
      <c r="D590">
        <v>1277.7026367000001</v>
      </c>
      <c r="E590">
        <v>1392.4215088000001</v>
      </c>
      <c r="F590">
        <v>1372.8551024999999</v>
      </c>
      <c r="G590">
        <v>80</v>
      </c>
      <c r="H590">
        <v>64.015617371000005</v>
      </c>
      <c r="I590">
        <v>50</v>
      </c>
      <c r="J590">
        <v>49.952720642000003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299.265131</v>
      </c>
      <c r="B591" s="1">
        <f>DATE(2011,2,24) + TIME(6,21,47)</f>
        <v>40598.265127314815</v>
      </c>
      <c r="C591">
        <v>1293.0639647999999</v>
      </c>
      <c r="D591">
        <v>1277.1209716999999</v>
      </c>
      <c r="E591">
        <v>1392.3819579999999</v>
      </c>
      <c r="F591">
        <v>1372.8190918</v>
      </c>
      <c r="G591">
        <v>80</v>
      </c>
      <c r="H591">
        <v>63.555679321</v>
      </c>
      <c r="I591">
        <v>50</v>
      </c>
      <c r="J591">
        <v>49.952884674000003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301.76071000000002</v>
      </c>
      <c r="B592" s="1">
        <f>DATE(2011,2,26) + TIME(18,15,25)</f>
        <v>40600.760706018518</v>
      </c>
      <c r="C592">
        <v>1292.6628418</v>
      </c>
      <c r="D592">
        <v>1276.5275879000001</v>
      </c>
      <c r="E592">
        <v>1392.3419189000001</v>
      </c>
      <c r="F592">
        <v>1372.7823486</v>
      </c>
      <c r="G592">
        <v>80</v>
      </c>
      <c r="H592">
        <v>63.077526093000003</v>
      </c>
      <c r="I592">
        <v>50</v>
      </c>
      <c r="J592">
        <v>49.953052520999996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304</v>
      </c>
      <c r="B593" s="1">
        <f>DATE(2011,3,1) + TIME(0,0,0)</f>
        <v>40603</v>
      </c>
      <c r="C593">
        <v>1292.2576904</v>
      </c>
      <c r="D593">
        <v>1275.9291992000001</v>
      </c>
      <c r="E593">
        <v>1392.3009033000001</v>
      </c>
      <c r="F593">
        <v>1372.7448730000001</v>
      </c>
      <c r="G593">
        <v>80</v>
      </c>
      <c r="H593">
        <v>62.596443176000001</v>
      </c>
      <c r="I593">
        <v>50</v>
      </c>
      <c r="J593">
        <v>49.953197479000004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306.52437400000002</v>
      </c>
      <c r="B594" s="1">
        <f>DATE(2011,3,3) + TIME(12,35,5)</f>
        <v>40605.524363425924</v>
      </c>
      <c r="C594">
        <v>1291.8875731999999</v>
      </c>
      <c r="D594">
        <v>1275.3692627</v>
      </c>
      <c r="E594">
        <v>1392.2642822</v>
      </c>
      <c r="F594">
        <v>1372.7114257999999</v>
      </c>
      <c r="G594">
        <v>80</v>
      </c>
      <c r="H594">
        <v>62.117954253999997</v>
      </c>
      <c r="I594">
        <v>50</v>
      </c>
      <c r="J594">
        <v>49.953365325999997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309.12336199999999</v>
      </c>
      <c r="B595" s="1">
        <f>DATE(2011,3,6) + TIME(2,57,38)</f>
        <v>40608.123356481483</v>
      </c>
      <c r="C595">
        <v>1291.4815673999999</v>
      </c>
      <c r="D595">
        <v>1274.7617187999999</v>
      </c>
      <c r="E595">
        <v>1392.2226562000001</v>
      </c>
      <c r="F595">
        <v>1372.6733397999999</v>
      </c>
      <c r="G595">
        <v>80</v>
      </c>
      <c r="H595">
        <v>61.600704192999999</v>
      </c>
      <c r="I595">
        <v>50</v>
      </c>
      <c r="J595">
        <v>49.953533172999997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311.752568</v>
      </c>
      <c r="B596" s="1">
        <f>DATE(2011,3,8) + TIME(18,3,41)</f>
        <v>40610.752557870372</v>
      </c>
      <c r="C596">
        <v>1291.0639647999999</v>
      </c>
      <c r="D596">
        <v>1274.1329346</v>
      </c>
      <c r="E596">
        <v>1392.1795654</v>
      </c>
      <c r="F596">
        <v>1372.6339111</v>
      </c>
      <c r="G596">
        <v>80</v>
      </c>
      <c r="H596">
        <v>61.057224273999999</v>
      </c>
      <c r="I596">
        <v>50</v>
      </c>
      <c r="J596">
        <v>49.953701019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314.41890100000001</v>
      </c>
      <c r="B597" s="1">
        <f>DATE(2011,3,11) + TIME(10,3,13)</f>
        <v>40613.418900462966</v>
      </c>
      <c r="C597">
        <v>1290.6429443</v>
      </c>
      <c r="D597">
        <v>1273.4949951000001</v>
      </c>
      <c r="E597">
        <v>1392.1356201000001</v>
      </c>
      <c r="F597">
        <v>1372.5936279</v>
      </c>
      <c r="G597">
        <v>80</v>
      </c>
      <c r="H597">
        <v>60.496013640999998</v>
      </c>
      <c r="I597">
        <v>50</v>
      </c>
      <c r="J597">
        <v>49.953872681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317.12909500000001</v>
      </c>
      <c r="B598" s="1">
        <f>DATE(2011,3,14) + TIME(3,5,53)</f>
        <v>40616.12908564815</v>
      </c>
      <c r="C598">
        <v>1290.2194824000001</v>
      </c>
      <c r="D598">
        <v>1272.8500977000001</v>
      </c>
      <c r="E598">
        <v>1392.0908202999999</v>
      </c>
      <c r="F598">
        <v>1372.5524902</v>
      </c>
      <c r="G598">
        <v>80</v>
      </c>
      <c r="H598">
        <v>59.918659210000001</v>
      </c>
      <c r="I598">
        <v>50</v>
      </c>
      <c r="J598">
        <v>49.954044342000003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319.88169799999997</v>
      </c>
      <c r="B599" s="1">
        <f>DATE(2011,3,16) + TIME(21,9,38)</f>
        <v>40618.881689814814</v>
      </c>
      <c r="C599">
        <v>1289.7938231999999</v>
      </c>
      <c r="D599">
        <v>1272.1983643000001</v>
      </c>
      <c r="E599">
        <v>1392.0450439000001</v>
      </c>
      <c r="F599">
        <v>1372.5102539</v>
      </c>
      <c r="G599">
        <v>80</v>
      </c>
      <c r="H599">
        <v>59.325271606000001</v>
      </c>
      <c r="I599">
        <v>50</v>
      </c>
      <c r="J599">
        <v>49.954216002999999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322.67646999999999</v>
      </c>
      <c r="B600" s="1">
        <f>DATE(2011,3,19) + TIME(16,14,7)</f>
        <v>40621.676469907405</v>
      </c>
      <c r="C600">
        <v>1289.3666992000001</v>
      </c>
      <c r="D600">
        <v>1271.5413818</v>
      </c>
      <c r="E600">
        <v>1391.9980469</v>
      </c>
      <c r="F600">
        <v>1372.4670410000001</v>
      </c>
      <c r="G600">
        <v>80</v>
      </c>
      <c r="H600">
        <v>58.717617035000004</v>
      </c>
      <c r="I600">
        <v>50</v>
      </c>
      <c r="J600">
        <v>49.954387664999999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325.52150999999998</v>
      </c>
      <c r="B601" s="1">
        <f>DATE(2011,3,22) + TIME(12,30,58)</f>
        <v>40624.521504629629</v>
      </c>
      <c r="C601">
        <v>1288.9394531</v>
      </c>
      <c r="D601">
        <v>1270.8804932</v>
      </c>
      <c r="E601">
        <v>1391.9500731999999</v>
      </c>
      <c r="F601">
        <v>1372.4227295000001</v>
      </c>
      <c r="G601">
        <v>80</v>
      </c>
      <c r="H601">
        <v>58.096763611</v>
      </c>
      <c r="I601">
        <v>50</v>
      </c>
      <c r="J601">
        <v>49.954563141000001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328.42126000000002</v>
      </c>
      <c r="B602" s="1">
        <f>DATE(2011,3,25) + TIME(10,6,36)</f>
        <v>40627.421249999999</v>
      </c>
      <c r="C602">
        <v>1288.5117187999999</v>
      </c>
      <c r="D602">
        <v>1270.2156981999999</v>
      </c>
      <c r="E602">
        <v>1391.9008789</v>
      </c>
      <c r="F602">
        <v>1372.3773193</v>
      </c>
      <c r="G602">
        <v>80</v>
      </c>
      <c r="H602">
        <v>57.462966919000003</v>
      </c>
      <c r="I602">
        <v>50</v>
      </c>
      <c r="J602">
        <v>49.954742432000003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331.363381</v>
      </c>
      <c r="B603" s="1">
        <f>DATE(2011,3,28) + TIME(8,43,16)</f>
        <v>40630.363379629627</v>
      </c>
      <c r="C603">
        <v>1288.0838623</v>
      </c>
      <c r="D603">
        <v>1269.5477295000001</v>
      </c>
      <c r="E603">
        <v>1391.8504639</v>
      </c>
      <c r="F603">
        <v>1372.3306885</v>
      </c>
      <c r="G603">
        <v>80</v>
      </c>
      <c r="H603">
        <v>56.817726135000001</v>
      </c>
      <c r="I603">
        <v>50</v>
      </c>
      <c r="J603">
        <v>49.954917907999999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334.35529100000002</v>
      </c>
      <c r="B604" s="1">
        <f>DATE(2011,3,31) + TIME(8,31,37)</f>
        <v>40633.35528935185</v>
      </c>
      <c r="C604">
        <v>1287.6584473</v>
      </c>
      <c r="D604">
        <v>1268.8801269999999</v>
      </c>
      <c r="E604">
        <v>1391.7989502</v>
      </c>
      <c r="F604">
        <v>1372.2829589999999</v>
      </c>
      <c r="G604">
        <v>80</v>
      </c>
      <c r="H604">
        <v>56.163841247999997</v>
      </c>
      <c r="I604">
        <v>50</v>
      </c>
      <c r="J604">
        <v>49.955097197999997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335</v>
      </c>
      <c r="B605" s="1">
        <f>DATE(2011,4,1) + TIME(0,0,0)</f>
        <v>40634</v>
      </c>
      <c r="C605">
        <v>1287.2445068</v>
      </c>
      <c r="D605">
        <v>1268.3153076000001</v>
      </c>
      <c r="E605">
        <v>1391.7451172000001</v>
      </c>
      <c r="F605">
        <v>1372.2329102000001</v>
      </c>
      <c r="G605">
        <v>80</v>
      </c>
      <c r="H605">
        <v>55.785717009999999</v>
      </c>
      <c r="I605">
        <v>50</v>
      </c>
      <c r="J605">
        <v>49.955131530999999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338.02952900000003</v>
      </c>
      <c r="B606" s="1">
        <f>DATE(2011,4,4) + TIME(0,42,31)</f>
        <v>40637.02952546296</v>
      </c>
      <c r="C606">
        <v>1287.1292725000001</v>
      </c>
      <c r="D606">
        <v>1268.0279541</v>
      </c>
      <c r="E606">
        <v>1391.7348632999999</v>
      </c>
      <c r="F606">
        <v>1372.2233887</v>
      </c>
      <c r="G606">
        <v>80</v>
      </c>
      <c r="H606">
        <v>55.313194275000001</v>
      </c>
      <c r="I606">
        <v>50</v>
      </c>
      <c r="J606">
        <v>49.955318450999997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341.10660000000001</v>
      </c>
      <c r="B607" s="1">
        <f>DATE(2011,4,7) + TIME(2,33,30)</f>
        <v>40640.10659722222</v>
      </c>
      <c r="C607">
        <v>1286.7280272999999</v>
      </c>
      <c r="D607">
        <v>1267.4046631000001</v>
      </c>
      <c r="E607">
        <v>1391.6811522999999</v>
      </c>
      <c r="F607">
        <v>1372.1735839999999</v>
      </c>
      <c r="G607">
        <v>80</v>
      </c>
      <c r="H607">
        <v>54.687278747999997</v>
      </c>
      <c r="I607">
        <v>50</v>
      </c>
      <c r="J607">
        <v>49.955497741999999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344.233092</v>
      </c>
      <c r="B608" s="1">
        <f>DATE(2011,4,10) + TIME(5,35,39)</f>
        <v>40643.233090277776</v>
      </c>
      <c r="C608">
        <v>1286.3205565999999</v>
      </c>
      <c r="D608">
        <v>1266.7576904</v>
      </c>
      <c r="E608">
        <v>1391.6264647999999</v>
      </c>
      <c r="F608">
        <v>1372.1226807</v>
      </c>
      <c r="G608">
        <v>80</v>
      </c>
      <c r="H608">
        <v>54.027675629000001</v>
      </c>
      <c r="I608">
        <v>50</v>
      </c>
      <c r="J608">
        <v>49.955680846999996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347.41681</v>
      </c>
      <c r="B609" s="1">
        <f>DATE(2011,4,13) + TIME(10,0,12)</f>
        <v>40646.416805555556</v>
      </c>
      <c r="C609">
        <v>1285.9162598</v>
      </c>
      <c r="D609">
        <v>1266.1103516000001</v>
      </c>
      <c r="E609">
        <v>1391.5706786999999</v>
      </c>
      <c r="F609">
        <v>1372.0708007999999</v>
      </c>
      <c r="G609">
        <v>80</v>
      </c>
      <c r="H609">
        <v>53.360015869000001</v>
      </c>
      <c r="I609">
        <v>50</v>
      </c>
      <c r="J609">
        <v>49.955863952999998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350.64800200000002</v>
      </c>
      <c r="B610" s="1">
        <f>DATE(2011,4,16) + TIME(15,33,7)</f>
        <v>40649.647997685184</v>
      </c>
      <c r="C610">
        <v>1285.5167236</v>
      </c>
      <c r="D610">
        <v>1265.4676514</v>
      </c>
      <c r="E610">
        <v>1391.5139160000001</v>
      </c>
      <c r="F610">
        <v>1372.0177002</v>
      </c>
      <c r="G610">
        <v>80</v>
      </c>
      <c r="H610">
        <v>52.690322876000003</v>
      </c>
      <c r="I610">
        <v>50</v>
      </c>
      <c r="J610">
        <v>49.956047058000003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353.91660899999999</v>
      </c>
      <c r="B611" s="1">
        <f>DATE(2011,4,19) + TIME(21,59,54)</f>
        <v>40652.916597222225</v>
      </c>
      <c r="C611">
        <v>1285.1241454999999</v>
      </c>
      <c r="D611">
        <v>1264.833374</v>
      </c>
      <c r="E611">
        <v>1391.4561768000001</v>
      </c>
      <c r="F611">
        <v>1371.9638672000001</v>
      </c>
      <c r="G611">
        <v>80</v>
      </c>
      <c r="H611">
        <v>52.022777556999998</v>
      </c>
      <c r="I611">
        <v>50</v>
      </c>
      <c r="J611">
        <v>49.956233978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357.22069399999998</v>
      </c>
      <c r="B612" s="1">
        <f>DATE(2011,4,23) + TIME(5,17,47)</f>
        <v>40656.220682870371</v>
      </c>
      <c r="C612">
        <v>1284.7406006000001</v>
      </c>
      <c r="D612">
        <v>1264.2105713000001</v>
      </c>
      <c r="E612">
        <v>1391.3979492000001</v>
      </c>
      <c r="F612">
        <v>1371.9093018000001</v>
      </c>
      <c r="G612">
        <v>80</v>
      </c>
      <c r="H612">
        <v>51.360912323000001</v>
      </c>
      <c r="I612">
        <v>50</v>
      </c>
      <c r="J612">
        <v>49.956417084000002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360.55864100000002</v>
      </c>
      <c r="B613" s="1">
        <f>DATE(2011,4,26) + TIME(13,24,26)</f>
        <v>40659.558634259258</v>
      </c>
      <c r="C613">
        <v>1284.3668213000001</v>
      </c>
      <c r="D613">
        <v>1263.6008300999999</v>
      </c>
      <c r="E613">
        <v>1391.3391113</v>
      </c>
      <c r="F613">
        <v>1371.8542480000001</v>
      </c>
      <c r="G613">
        <v>80</v>
      </c>
      <c r="H613">
        <v>50.706874847000002</v>
      </c>
      <c r="I613">
        <v>50</v>
      </c>
      <c r="J613">
        <v>49.956604003999999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363.93096600000001</v>
      </c>
      <c r="B614" s="1">
        <f>DATE(2011,4,29) + TIME(22,20,35)</f>
        <v>40662.930960648147</v>
      </c>
      <c r="C614">
        <v>1284.0031738</v>
      </c>
      <c r="D614">
        <v>1263.0053711</v>
      </c>
      <c r="E614">
        <v>1391.2799072</v>
      </c>
      <c r="F614">
        <v>1371.7988281</v>
      </c>
      <c r="G614">
        <v>80</v>
      </c>
      <c r="H614">
        <v>50.062393188000001</v>
      </c>
      <c r="I614">
        <v>50</v>
      </c>
      <c r="J614">
        <v>49.956790924000003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365</v>
      </c>
      <c r="B615" s="1">
        <f>DATE(2011,5,1) + TIME(0,0,0)</f>
        <v>40664</v>
      </c>
      <c r="C615">
        <v>1283.6480713000001</v>
      </c>
      <c r="D615">
        <v>1262.4873047000001</v>
      </c>
      <c r="E615">
        <v>1391.2199707</v>
      </c>
      <c r="F615">
        <v>1371.7424315999999</v>
      </c>
      <c r="G615">
        <v>80</v>
      </c>
      <c r="H615">
        <v>49.609580993999998</v>
      </c>
      <c r="I615">
        <v>50</v>
      </c>
      <c r="J615">
        <v>49.956840515000003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365.000001</v>
      </c>
      <c r="B616" s="1">
        <f>DATE(2011,5,1) + TIME(0,0,0)</f>
        <v>40664</v>
      </c>
      <c r="C616">
        <v>1306.4783935999999</v>
      </c>
      <c r="D616">
        <v>1284.6253661999999</v>
      </c>
      <c r="E616">
        <v>1370.8681641000001</v>
      </c>
      <c r="F616">
        <v>1352.0024414</v>
      </c>
      <c r="G616">
        <v>80</v>
      </c>
      <c r="H616">
        <v>49.609745025999999</v>
      </c>
      <c r="I616">
        <v>50</v>
      </c>
      <c r="J616">
        <v>49.956733704000001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365.00000399999999</v>
      </c>
      <c r="B617" s="1">
        <f>DATE(2011,5,1) + TIME(0,0,0)</f>
        <v>40664</v>
      </c>
      <c r="C617">
        <v>1308.8740233999999</v>
      </c>
      <c r="D617">
        <v>1287.223999</v>
      </c>
      <c r="E617">
        <v>1368.5361327999999</v>
      </c>
      <c r="F617">
        <v>1349.6691894999999</v>
      </c>
      <c r="G617">
        <v>80</v>
      </c>
      <c r="H617">
        <v>49.610195160000004</v>
      </c>
      <c r="I617">
        <v>50</v>
      </c>
      <c r="J617">
        <v>49.956436156999999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365.00001300000002</v>
      </c>
      <c r="B618" s="1">
        <f>DATE(2011,5,1) + TIME(0,0,1)</f>
        <v>40664.000011574077</v>
      </c>
      <c r="C618">
        <v>1314.3732910000001</v>
      </c>
      <c r="D618">
        <v>1293.0255127</v>
      </c>
      <c r="E618">
        <v>1363.3043213000001</v>
      </c>
      <c r="F618">
        <v>1344.4357910000001</v>
      </c>
      <c r="G618">
        <v>80</v>
      </c>
      <c r="H618">
        <v>49.611282349</v>
      </c>
      <c r="I618">
        <v>50</v>
      </c>
      <c r="J618">
        <v>49.955780029000003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365.00004000000001</v>
      </c>
      <c r="B619" s="1">
        <f>DATE(2011,5,1) + TIME(0,0,3)</f>
        <v>40664.000034722223</v>
      </c>
      <c r="C619">
        <v>1323.8859863</v>
      </c>
      <c r="D619">
        <v>1302.7125243999999</v>
      </c>
      <c r="E619">
        <v>1354.5589600000001</v>
      </c>
      <c r="F619">
        <v>1335.6921387</v>
      </c>
      <c r="G619">
        <v>80</v>
      </c>
      <c r="H619">
        <v>49.613578795999999</v>
      </c>
      <c r="I619">
        <v>50</v>
      </c>
      <c r="J619">
        <v>49.954673767000003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365.00012099999998</v>
      </c>
      <c r="B620" s="1">
        <f>DATE(2011,5,1) + TIME(0,0,10)</f>
        <v>40664.000115740739</v>
      </c>
      <c r="C620">
        <v>1335.8804932</v>
      </c>
      <c r="D620">
        <v>1314.6356201000001</v>
      </c>
      <c r="E620">
        <v>1343.8790283000001</v>
      </c>
      <c r="F620">
        <v>1325.020874</v>
      </c>
      <c r="G620">
        <v>80</v>
      </c>
      <c r="H620">
        <v>49.618324280000003</v>
      </c>
      <c r="I620">
        <v>50</v>
      </c>
      <c r="J620">
        <v>49.953315734999997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365.00036399999999</v>
      </c>
      <c r="B621" s="1">
        <f>DATE(2011,5,1) + TIME(0,0,31)</f>
        <v>40664.000358796293</v>
      </c>
      <c r="C621">
        <v>1348.5023193</v>
      </c>
      <c r="D621">
        <v>1327.1243896000001</v>
      </c>
      <c r="E621">
        <v>1332.8775635</v>
      </c>
      <c r="F621">
        <v>1314.0355225000001</v>
      </c>
      <c r="G621">
        <v>80</v>
      </c>
      <c r="H621">
        <v>49.629688262999998</v>
      </c>
      <c r="I621">
        <v>50</v>
      </c>
      <c r="J621">
        <v>49.951885222999998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365.00109300000003</v>
      </c>
      <c r="B622" s="1">
        <f>DATE(2011,5,1) + TIME(0,1,34)</f>
        <v>40664.001087962963</v>
      </c>
      <c r="C622">
        <v>1361.4466553</v>
      </c>
      <c r="D622">
        <v>1339.9426269999999</v>
      </c>
      <c r="E622">
        <v>1321.8780518000001</v>
      </c>
      <c r="F622">
        <v>1303.0545654</v>
      </c>
      <c r="G622">
        <v>80</v>
      </c>
      <c r="H622">
        <v>49.660846710000001</v>
      </c>
      <c r="I622">
        <v>50</v>
      </c>
      <c r="J622">
        <v>49.950355530000003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365.00328000000002</v>
      </c>
      <c r="B623" s="1">
        <f>DATE(2011,5,1) + TIME(0,4,43)</f>
        <v>40664.003275462965</v>
      </c>
      <c r="C623">
        <v>1374.6473389</v>
      </c>
      <c r="D623">
        <v>1353.0490723</v>
      </c>
      <c r="E623">
        <v>1310.9658202999999</v>
      </c>
      <c r="F623">
        <v>1292.1278076000001</v>
      </c>
      <c r="G623">
        <v>80</v>
      </c>
      <c r="H623">
        <v>49.751388550000001</v>
      </c>
      <c r="I623">
        <v>50</v>
      </c>
      <c r="J623">
        <v>49.948551178000002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365.00984099999999</v>
      </c>
      <c r="B624" s="1">
        <f>DATE(2011,5,1) + TIME(0,14,10)</f>
        <v>40664.009837962964</v>
      </c>
      <c r="C624">
        <v>1386.4875488</v>
      </c>
      <c r="D624">
        <v>1364.9055175999999</v>
      </c>
      <c r="E624">
        <v>1301.0336914</v>
      </c>
      <c r="F624">
        <v>1282.145874</v>
      </c>
      <c r="G624">
        <v>80</v>
      </c>
      <c r="H624">
        <v>50.018177031999997</v>
      </c>
      <c r="I624">
        <v>50</v>
      </c>
      <c r="J624">
        <v>49.945999145999998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365.02952399999998</v>
      </c>
      <c r="B625" s="1">
        <f>DATE(2011,5,1) + TIME(0,42,30)</f>
        <v>40664.029513888891</v>
      </c>
      <c r="C625">
        <v>1394.3417969</v>
      </c>
      <c r="D625">
        <v>1373.0117187999999</v>
      </c>
      <c r="E625">
        <v>1294.0180664</v>
      </c>
      <c r="F625">
        <v>1275.0926514</v>
      </c>
      <c r="G625">
        <v>80</v>
      </c>
      <c r="H625">
        <v>50.795089722</v>
      </c>
      <c r="I625">
        <v>50</v>
      </c>
      <c r="J625">
        <v>49.941272736000002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365.05212499999999</v>
      </c>
      <c r="B626" s="1">
        <f>DATE(2011,5,1) + TIME(1,15,3)</f>
        <v>40664.052118055559</v>
      </c>
      <c r="C626">
        <v>1396.8337402</v>
      </c>
      <c r="D626">
        <v>1375.7855225000001</v>
      </c>
      <c r="E626">
        <v>1291.6815185999999</v>
      </c>
      <c r="F626">
        <v>1272.7452393000001</v>
      </c>
      <c r="G626">
        <v>80</v>
      </c>
      <c r="H626">
        <v>51.661117554</v>
      </c>
      <c r="I626">
        <v>50</v>
      </c>
      <c r="J626">
        <v>49.936595916999998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365.07517899999999</v>
      </c>
      <c r="B627" s="1">
        <f>DATE(2011,5,1) + TIME(1,48,15)</f>
        <v>40664.075173611112</v>
      </c>
      <c r="C627">
        <v>1397.5793457</v>
      </c>
      <c r="D627">
        <v>1376.8017577999999</v>
      </c>
      <c r="E627">
        <v>1290.9268798999999</v>
      </c>
      <c r="F627">
        <v>1271.9869385</v>
      </c>
      <c r="G627">
        <v>80</v>
      </c>
      <c r="H627">
        <v>52.518798828000001</v>
      </c>
      <c r="I627">
        <v>50</v>
      </c>
      <c r="J627">
        <v>49.932067871000001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365.098682</v>
      </c>
      <c r="B628" s="1">
        <f>DATE(2011,5,1) + TIME(2,22,6)</f>
        <v>40664.098680555559</v>
      </c>
      <c r="C628">
        <v>1397.7082519999999</v>
      </c>
      <c r="D628">
        <v>1377.1906738</v>
      </c>
      <c r="E628">
        <v>1290.7020264</v>
      </c>
      <c r="F628">
        <v>1271.7604980000001</v>
      </c>
      <c r="G628">
        <v>80</v>
      </c>
      <c r="H628">
        <v>53.367374419999997</v>
      </c>
      <c r="I628">
        <v>50</v>
      </c>
      <c r="J628">
        <v>49.927555083999998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365.12264699999997</v>
      </c>
      <c r="B629" s="1">
        <f>DATE(2011,5,1) + TIME(2,56,36)</f>
        <v>40664.12263888889</v>
      </c>
      <c r="C629">
        <v>1397.5864257999999</v>
      </c>
      <c r="D629">
        <v>1377.3192139</v>
      </c>
      <c r="E629">
        <v>1290.6585693</v>
      </c>
      <c r="F629">
        <v>1271.7161865</v>
      </c>
      <c r="G629">
        <v>80</v>
      </c>
      <c r="H629">
        <v>54.206676483000003</v>
      </c>
      <c r="I629">
        <v>50</v>
      </c>
      <c r="J629">
        <v>49.923015593999999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365.14709599999998</v>
      </c>
      <c r="B630" s="1">
        <f>DATE(2011,5,1) + TIME(3,31,49)</f>
        <v>40664.147094907406</v>
      </c>
      <c r="C630">
        <v>1397.3552245999999</v>
      </c>
      <c r="D630">
        <v>1377.3287353999999</v>
      </c>
      <c r="E630">
        <v>1290.6713867000001</v>
      </c>
      <c r="F630">
        <v>1271.7283935999999</v>
      </c>
      <c r="G630">
        <v>80</v>
      </c>
      <c r="H630">
        <v>55.036666869999998</v>
      </c>
      <c r="I630">
        <v>50</v>
      </c>
      <c r="J630">
        <v>49.918430327999999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365.17205300000001</v>
      </c>
      <c r="B631" s="1">
        <f>DATE(2011,5,1) + TIME(4,7,45)</f>
        <v>40664.172048611108</v>
      </c>
      <c r="C631">
        <v>1397.0755615</v>
      </c>
      <c r="D631">
        <v>1377.2810059000001</v>
      </c>
      <c r="E631">
        <v>1290.6960449000001</v>
      </c>
      <c r="F631">
        <v>1271.7524414</v>
      </c>
      <c r="G631">
        <v>80</v>
      </c>
      <c r="H631">
        <v>55.857330322000003</v>
      </c>
      <c r="I631">
        <v>50</v>
      </c>
      <c r="J631">
        <v>49.913791656000001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365.197542</v>
      </c>
      <c r="B632" s="1">
        <f>DATE(2011,5,1) + TIME(4,44,27)</f>
        <v>40664.197534722225</v>
      </c>
      <c r="C632">
        <v>1396.7758789</v>
      </c>
      <c r="D632">
        <v>1377.2049560999999</v>
      </c>
      <c r="E632">
        <v>1290.7181396000001</v>
      </c>
      <c r="F632">
        <v>1271.7740478999999</v>
      </c>
      <c r="G632">
        <v>80</v>
      </c>
      <c r="H632">
        <v>56.668647765999999</v>
      </c>
      <c r="I632">
        <v>50</v>
      </c>
      <c r="J632">
        <v>49.909095764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365.223591</v>
      </c>
      <c r="B633" s="1">
        <f>DATE(2011,5,1) + TIME(5,21,58)</f>
        <v>40664.223587962966</v>
      </c>
      <c r="C633">
        <v>1396.4704589999999</v>
      </c>
      <c r="D633">
        <v>1377.1149902</v>
      </c>
      <c r="E633">
        <v>1290.7347411999999</v>
      </c>
      <c r="F633">
        <v>1271.7901611</v>
      </c>
      <c r="G633">
        <v>80</v>
      </c>
      <c r="H633">
        <v>57.470588683999999</v>
      </c>
      <c r="I633">
        <v>50</v>
      </c>
      <c r="J633">
        <v>49.904338836999997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365.25022999999999</v>
      </c>
      <c r="B634" s="1">
        <f>DATE(2011,5,1) + TIME(6,0,19)</f>
        <v>40664.250219907408</v>
      </c>
      <c r="C634">
        <v>1396.1665039</v>
      </c>
      <c r="D634">
        <v>1377.0186768000001</v>
      </c>
      <c r="E634">
        <v>1290.7462158000001</v>
      </c>
      <c r="F634">
        <v>1271.8011475000001</v>
      </c>
      <c r="G634">
        <v>80</v>
      </c>
      <c r="H634">
        <v>58.263118744000003</v>
      </c>
      <c r="I634">
        <v>50</v>
      </c>
      <c r="J634">
        <v>49.899513245000001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365.27748500000001</v>
      </c>
      <c r="B635" s="1">
        <f>DATE(2011,5,1) + TIME(6,39,34)</f>
        <v>40664.27747685185</v>
      </c>
      <c r="C635">
        <v>1395.8676757999999</v>
      </c>
      <c r="D635">
        <v>1376.9201660000001</v>
      </c>
      <c r="E635">
        <v>1290.7539062000001</v>
      </c>
      <c r="F635">
        <v>1271.8083495999999</v>
      </c>
      <c r="G635">
        <v>80</v>
      </c>
      <c r="H635">
        <v>59.046047211000001</v>
      </c>
      <c r="I635">
        <v>50</v>
      </c>
      <c r="J635">
        <v>49.894622802999997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365.30539199999998</v>
      </c>
      <c r="B636" s="1">
        <f>DATE(2011,5,1) + TIME(7,19,45)</f>
        <v>40664.305381944447</v>
      </c>
      <c r="C636">
        <v>1395.5759277</v>
      </c>
      <c r="D636">
        <v>1376.8216553</v>
      </c>
      <c r="E636">
        <v>1290.7589111</v>
      </c>
      <c r="F636">
        <v>1271.8127440999999</v>
      </c>
      <c r="G636">
        <v>80</v>
      </c>
      <c r="H636">
        <v>59.819412231000001</v>
      </c>
      <c r="I636">
        <v>50</v>
      </c>
      <c r="J636">
        <v>49.889656066999997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365.33398999999997</v>
      </c>
      <c r="B637" s="1">
        <f>DATE(2011,5,1) + TIME(8,0,56)</f>
        <v>40664.333981481483</v>
      </c>
      <c r="C637">
        <v>1395.2922363</v>
      </c>
      <c r="D637">
        <v>1376.7242432</v>
      </c>
      <c r="E637">
        <v>1290.762207</v>
      </c>
      <c r="F637">
        <v>1271.8155518000001</v>
      </c>
      <c r="G637">
        <v>80</v>
      </c>
      <c r="H637">
        <v>60.582744597999998</v>
      </c>
      <c r="I637">
        <v>50</v>
      </c>
      <c r="J637">
        <v>49.884613037000001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365.36331799999999</v>
      </c>
      <c r="B638" s="1">
        <f>DATE(2011,5,1) + TIME(8,43,10)</f>
        <v>40664.363310185188</v>
      </c>
      <c r="C638">
        <v>1395.0168457</v>
      </c>
      <c r="D638">
        <v>1376.6286620999999</v>
      </c>
      <c r="E638">
        <v>1290.7642822</v>
      </c>
      <c r="F638">
        <v>1271.8171387</v>
      </c>
      <c r="G638">
        <v>80</v>
      </c>
      <c r="H638">
        <v>61.336242675999998</v>
      </c>
      <c r="I638">
        <v>50</v>
      </c>
      <c r="J638">
        <v>49.879486084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365.393417</v>
      </c>
      <c r="B639" s="1">
        <f>DATE(2011,5,1) + TIME(9,26,31)</f>
        <v>40664.393414351849</v>
      </c>
      <c r="C639">
        <v>1394.7498779</v>
      </c>
      <c r="D639">
        <v>1376.5352783000001</v>
      </c>
      <c r="E639">
        <v>1290.7657471</v>
      </c>
      <c r="F639">
        <v>1271.8179932</v>
      </c>
      <c r="G639">
        <v>80</v>
      </c>
      <c r="H639">
        <v>62.079925537000001</v>
      </c>
      <c r="I639">
        <v>50</v>
      </c>
      <c r="J639">
        <v>49.874275208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365.42433299999999</v>
      </c>
      <c r="B640" s="1">
        <f>DATE(2011,5,1) + TIME(10,11,2)</f>
        <v>40664.424328703702</v>
      </c>
      <c r="C640">
        <v>1394.4912108999999</v>
      </c>
      <c r="D640">
        <v>1376.4439697</v>
      </c>
      <c r="E640">
        <v>1290.7667236</v>
      </c>
      <c r="F640">
        <v>1271.8183594</v>
      </c>
      <c r="G640">
        <v>80</v>
      </c>
      <c r="H640">
        <v>62.813667297000002</v>
      </c>
      <c r="I640">
        <v>50</v>
      </c>
      <c r="J640">
        <v>49.868965148999997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365.45611700000001</v>
      </c>
      <c r="B641" s="1">
        <f>DATE(2011,5,1) + TIME(10,56,48)</f>
        <v>40664.456111111111</v>
      </c>
      <c r="C641">
        <v>1394.2404785000001</v>
      </c>
      <c r="D641">
        <v>1376.3549805</v>
      </c>
      <c r="E641">
        <v>1290.7674560999999</v>
      </c>
      <c r="F641">
        <v>1271.8184814000001</v>
      </c>
      <c r="G641">
        <v>80</v>
      </c>
      <c r="H641">
        <v>63.537345885999997</v>
      </c>
      <c r="I641">
        <v>50</v>
      </c>
      <c r="J641">
        <v>49.863559723000002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365.48882099999997</v>
      </c>
      <c r="B642" s="1">
        <f>DATE(2011,5,1) + TIME(11,43,54)</f>
        <v>40664.488819444443</v>
      </c>
      <c r="C642">
        <v>1393.9974365</v>
      </c>
      <c r="D642">
        <v>1376.2679443</v>
      </c>
      <c r="E642">
        <v>1290.7679443</v>
      </c>
      <c r="F642">
        <v>1271.8183594</v>
      </c>
      <c r="G642">
        <v>80</v>
      </c>
      <c r="H642">
        <v>64.250801085999996</v>
      </c>
      <c r="I642">
        <v>50</v>
      </c>
      <c r="J642">
        <v>49.858047485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365.52250500000002</v>
      </c>
      <c r="B643" s="1">
        <f>DATE(2011,5,1) + TIME(12,32,24)</f>
        <v>40664.522499999999</v>
      </c>
      <c r="C643">
        <v>1393.7618408000001</v>
      </c>
      <c r="D643">
        <v>1376.1829834</v>
      </c>
      <c r="E643">
        <v>1290.7681885</v>
      </c>
      <c r="F643">
        <v>1271.8179932</v>
      </c>
      <c r="G643">
        <v>80</v>
      </c>
      <c r="H643">
        <v>64.953880310000002</v>
      </c>
      <c r="I643">
        <v>50</v>
      </c>
      <c r="J643">
        <v>49.852424622000001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365.557231</v>
      </c>
      <c r="B644" s="1">
        <f>DATE(2011,5,1) + TIME(13,22,24)</f>
        <v>40664.557222222225</v>
      </c>
      <c r="C644">
        <v>1393.5332031</v>
      </c>
      <c r="D644">
        <v>1376.0998535000001</v>
      </c>
      <c r="E644">
        <v>1290.7684326000001</v>
      </c>
      <c r="F644">
        <v>1271.8176269999999</v>
      </c>
      <c r="G644">
        <v>80</v>
      </c>
      <c r="H644">
        <v>65.646553040000001</v>
      </c>
      <c r="I644">
        <v>50</v>
      </c>
      <c r="J644">
        <v>49.846679688000002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365.59307899999999</v>
      </c>
      <c r="B645" s="1">
        <f>DATE(2011,5,1) + TIME(14,14,2)</f>
        <v>40664.593078703707</v>
      </c>
      <c r="C645">
        <v>1393.3112793</v>
      </c>
      <c r="D645">
        <v>1376.0184326000001</v>
      </c>
      <c r="E645">
        <v>1290.7685547000001</v>
      </c>
      <c r="F645">
        <v>1271.8170166</v>
      </c>
      <c r="G645">
        <v>80</v>
      </c>
      <c r="H645">
        <v>66.328636169000006</v>
      </c>
      <c r="I645">
        <v>50</v>
      </c>
      <c r="J645">
        <v>49.840805054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365.63012700000002</v>
      </c>
      <c r="B646" s="1">
        <f>DATE(2011,5,1) + TIME(15,7,22)</f>
        <v>40664.630115740743</v>
      </c>
      <c r="C646">
        <v>1393.0957031</v>
      </c>
      <c r="D646">
        <v>1375.9383545000001</v>
      </c>
      <c r="E646">
        <v>1290.7685547000001</v>
      </c>
      <c r="F646">
        <v>1271.8164062000001</v>
      </c>
      <c r="G646">
        <v>80</v>
      </c>
      <c r="H646">
        <v>66.999908446999996</v>
      </c>
      <c r="I646">
        <v>50</v>
      </c>
      <c r="J646">
        <v>49.834789276000002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365.668451</v>
      </c>
      <c r="B647" s="1">
        <f>DATE(2011,5,1) + TIME(16,2,34)</f>
        <v>40664.668449074074</v>
      </c>
      <c r="C647">
        <v>1392.8861084</v>
      </c>
      <c r="D647">
        <v>1375.8597411999999</v>
      </c>
      <c r="E647">
        <v>1290.7685547000001</v>
      </c>
      <c r="F647">
        <v>1271.8156738</v>
      </c>
      <c r="G647">
        <v>80</v>
      </c>
      <c r="H647">
        <v>67.659980774000005</v>
      </c>
      <c r="I647">
        <v>50</v>
      </c>
      <c r="J647">
        <v>49.828628539999997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365.708145</v>
      </c>
      <c r="B648" s="1">
        <f>DATE(2011,5,1) + TIME(16,59,43)</f>
        <v>40664.708136574074</v>
      </c>
      <c r="C648">
        <v>1392.682251</v>
      </c>
      <c r="D648">
        <v>1375.7822266000001</v>
      </c>
      <c r="E648">
        <v>1290.7684326000001</v>
      </c>
      <c r="F648">
        <v>1271.8149414</v>
      </c>
      <c r="G648">
        <v>80</v>
      </c>
      <c r="H648">
        <v>68.308609008999994</v>
      </c>
      <c r="I648">
        <v>50</v>
      </c>
      <c r="J648">
        <v>49.822307586999997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365.74931299999997</v>
      </c>
      <c r="B649" s="1">
        <f>DATE(2011,5,1) + TIME(17,59,0)</f>
        <v>40664.749305555553</v>
      </c>
      <c r="C649">
        <v>1392.4838867000001</v>
      </c>
      <c r="D649">
        <v>1375.7056885</v>
      </c>
      <c r="E649">
        <v>1290.7683105000001</v>
      </c>
      <c r="F649">
        <v>1271.8140868999999</v>
      </c>
      <c r="G649">
        <v>80</v>
      </c>
      <c r="H649">
        <v>68.945503235000004</v>
      </c>
      <c r="I649">
        <v>50</v>
      </c>
      <c r="J649">
        <v>49.815814971999998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365.79207000000002</v>
      </c>
      <c r="B650" s="1">
        <f>DATE(2011,5,1) + TIME(19,0,34)</f>
        <v>40664.792060185187</v>
      </c>
      <c r="C650">
        <v>1392.2905272999999</v>
      </c>
      <c r="D650">
        <v>1375.6300048999999</v>
      </c>
      <c r="E650">
        <v>1290.7680664</v>
      </c>
      <c r="F650">
        <v>1271.8131103999999</v>
      </c>
      <c r="G650">
        <v>80</v>
      </c>
      <c r="H650">
        <v>69.570388793999996</v>
      </c>
      <c r="I650">
        <v>50</v>
      </c>
      <c r="J650">
        <v>49.809139252000001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365.836546</v>
      </c>
      <c r="B651" s="1">
        <f>DATE(2011,5,1) + TIME(20,4,37)</f>
        <v>40664.836539351854</v>
      </c>
      <c r="C651">
        <v>1392.1020507999999</v>
      </c>
      <c r="D651">
        <v>1375.5549315999999</v>
      </c>
      <c r="E651">
        <v>1290.7678223</v>
      </c>
      <c r="F651">
        <v>1271.8120117000001</v>
      </c>
      <c r="G651">
        <v>80</v>
      </c>
      <c r="H651">
        <v>70.182807921999995</v>
      </c>
      <c r="I651">
        <v>50</v>
      </c>
      <c r="J651">
        <v>49.802261352999999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365.88288499999999</v>
      </c>
      <c r="B652" s="1">
        <f>DATE(2011,5,1) + TIME(21,11,21)</f>
        <v>40664.882881944446</v>
      </c>
      <c r="C652">
        <v>1391.9180908000001</v>
      </c>
      <c r="D652">
        <v>1375.4802245999999</v>
      </c>
      <c r="E652">
        <v>1290.7674560999999</v>
      </c>
      <c r="F652">
        <v>1271.8109131000001</v>
      </c>
      <c r="G652">
        <v>80</v>
      </c>
      <c r="H652">
        <v>70.782241821</v>
      </c>
      <c r="I652">
        <v>50</v>
      </c>
      <c r="J652">
        <v>49.795169829999999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365.93124899999998</v>
      </c>
      <c r="B653" s="1">
        <f>DATE(2011,5,1) + TIME(22,20,59)</f>
        <v>40664.931238425925</v>
      </c>
      <c r="C653">
        <v>1391.7382812000001</v>
      </c>
      <c r="D653">
        <v>1375.4057617000001</v>
      </c>
      <c r="E653">
        <v>1290.7670897999999</v>
      </c>
      <c r="F653">
        <v>1271.8098144999999</v>
      </c>
      <c r="G653">
        <v>80</v>
      </c>
      <c r="H653">
        <v>71.368629455999994</v>
      </c>
      <c r="I653">
        <v>50</v>
      </c>
      <c r="J653">
        <v>49.787841796999999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365.98182500000001</v>
      </c>
      <c r="B654" s="1">
        <f>DATE(2011,5,1) + TIME(23,33,49)</f>
        <v>40664.981817129628</v>
      </c>
      <c r="C654">
        <v>1391.5623779</v>
      </c>
      <c r="D654">
        <v>1375.3314209</v>
      </c>
      <c r="E654">
        <v>1290.7666016000001</v>
      </c>
      <c r="F654">
        <v>1271.8085937999999</v>
      </c>
      <c r="G654">
        <v>80</v>
      </c>
      <c r="H654">
        <v>71.941581725999995</v>
      </c>
      <c r="I654">
        <v>50</v>
      </c>
      <c r="J654">
        <v>49.780261993000003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366.03482500000001</v>
      </c>
      <c r="B655" s="1">
        <f>DATE(2011,5,2) + TIME(0,50,8)</f>
        <v>40665.034814814811</v>
      </c>
      <c r="C655">
        <v>1391.3901367000001</v>
      </c>
      <c r="D655">
        <v>1375.2569579999999</v>
      </c>
      <c r="E655">
        <v>1290.7662353999999</v>
      </c>
      <c r="F655">
        <v>1271.807251</v>
      </c>
      <c r="G655">
        <v>80</v>
      </c>
      <c r="H655">
        <v>72.500740050999994</v>
      </c>
      <c r="I655">
        <v>50</v>
      </c>
      <c r="J655">
        <v>49.772399901999997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366.09052400000002</v>
      </c>
      <c r="B656" s="1">
        <f>DATE(2011,5,2) + TIME(2,10,21)</f>
        <v>40665.090520833335</v>
      </c>
      <c r="C656">
        <v>1391.2209473</v>
      </c>
      <c r="D656">
        <v>1375.1818848</v>
      </c>
      <c r="E656">
        <v>1290.765625</v>
      </c>
      <c r="F656">
        <v>1271.8059082</v>
      </c>
      <c r="G656">
        <v>80</v>
      </c>
      <c r="H656">
        <v>73.045951842999997</v>
      </c>
      <c r="I656">
        <v>50</v>
      </c>
      <c r="J656">
        <v>49.764225005999997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366.14916799999997</v>
      </c>
      <c r="B657" s="1">
        <f>DATE(2011,5,2) + TIME(3,34,48)</f>
        <v>40665.14916666667</v>
      </c>
      <c r="C657">
        <v>1391.0549315999999</v>
      </c>
      <c r="D657">
        <v>1375.1063231999999</v>
      </c>
      <c r="E657">
        <v>1290.7651367000001</v>
      </c>
      <c r="F657">
        <v>1271.8044434000001</v>
      </c>
      <c r="G657">
        <v>80</v>
      </c>
      <c r="H657">
        <v>73.576416015999996</v>
      </c>
      <c r="I657">
        <v>50</v>
      </c>
      <c r="J657">
        <v>49.755710602000001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366.21107999999998</v>
      </c>
      <c r="B658" s="1">
        <f>DATE(2011,5,2) + TIME(5,3,57)</f>
        <v>40665.211076388892</v>
      </c>
      <c r="C658">
        <v>1390.8914795000001</v>
      </c>
      <c r="D658">
        <v>1375.0299072</v>
      </c>
      <c r="E658">
        <v>1290.7644043</v>
      </c>
      <c r="F658">
        <v>1271.8028564000001</v>
      </c>
      <c r="G658">
        <v>80</v>
      </c>
      <c r="H658">
        <v>74.091621399000005</v>
      </c>
      <c r="I658">
        <v>50</v>
      </c>
      <c r="J658">
        <v>49.746826171999999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366.27663699999999</v>
      </c>
      <c r="B659" s="1">
        <f>DATE(2011,5,2) + TIME(6,38,21)</f>
        <v>40665.276631944442</v>
      </c>
      <c r="C659">
        <v>1390.7303466999999</v>
      </c>
      <c r="D659">
        <v>1374.9523925999999</v>
      </c>
      <c r="E659">
        <v>1290.7637939000001</v>
      </c>
      <c r="F659">
        <v>1271.8012695</v>
      </c>
      <c r="G659">
        <v>80</v>
      </c>
      <c r="H659">
        <v>74.591049193999993</v>
      </c>
      <c r="I659">
        <v>50</v>
      </c>
      <c r="J659">
        <v>49.737522124999998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366.34628300000003</v>
      </c>
      <c r="B660" s="1">
        <f>DATE(2011,5,2) + TIME(8,18,38)</f>
        <v>40665.346273148149</v>
      </c>
      <c r="C660">
        <v>1390.5711670000001</v>
      </c>
      <c r="D660">
        <v>1374.8734131000001</v>
      </c>
      <c r="E660">
        <v>1290.7630615</v>
      </c>
      <c r="F660">
        <v>1271.7995605000001</v>
      </c>
      <c r="G660">
        <v>80</v>
      </c>
      <c r="H660">
        <v>75.074050903</v>
      </c>
      <c r="I660">
        <v>50</v>
      </c>
      <c r="J660">
        <v>49.727752686000002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366.42053199999998</v>
      </c>
      <c r="B661" s="1">
        <f>DATE(2011,5,2) + TIME(10,5,33)</f>
        <v>40665.420520833337</v>
      </c>
      <c r="C661">
        <v>1390.4136963000001</v>
      </c>
      <c r="D661">
        <v>1374.7927245999999</v>
      </c>
      <c r="E661">
        <v>1290.762207</v>
      </c>
      <c r="F661">
        <v>1271.7977295000001</v>
      </c>
      <c r="G661">
        <v>80</v>
      </c>
      <c r="H661">
        <v>75.539672851999995</v>
      </c>
      <c r="I661">
        <v>50</v>
      </c>
      <c r="J661">
        <v>49.717460631999998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366.50002699999999</v>
      </c>
      <c r="B662" s="1">
        <f>DATE(2011,5,2) + TIME(12,0,2)</f>
        <v>40665.500023148146</v>
      </c>
      <c r="C662">
        <v>1390.2573242000001</v>
      </c>
      <c r="D662">
        <v>1374.7099608999999</v>
      </c>
      <c r="E662">
        <v>1290.7613524999999</v>
      </c>
      <c r="F662">
        <v>1271.7958983999999</v>
      </c>
      <c r="G662">
        <v>80</v>
      </c>
      <c r="H662">
        <v>75.987617493000002</v>
      </c>
      <c r="I662">
        <v>50</v>
      </c>
      <c r="J662">
        <v>49.706581116000002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366.58553999999998</v>
      </c>
      <c r="B663" s="1">
        <f>DATE(2011,5,2) + TIME(14,3,10)</f>
        <v>40665.585532407407</v>
      </c>
      <c r="C663">
        <v>1390.1016846</v>
      </c>
      <c r="D663">
        <v>1374.6246338000001</v>
      </c>
      <c r="E663">
        <v>1290.7604980000001</v>
      </c>
      <c r="F663">
        <v>1271.7938231999999</v>
      </c>
      <c r="G663">
        <v>80</v>
      </c>
      <c r="H663">
        <v>76.417182921999995</v>
      </c>
      <c r="I663">
        <v>50</v>
      </c>
      <c r="J663">
        <v>49.695026398000003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366.67801900000001</v>
      </c>
      <c r="B664" s="1">
        <f>DATE(2011,5,2) + TIME(16,16,20)</f>
        <v>40665.67800925926</v>
      </c>
      <c r="C664">
        <v>1389.9462891000001</v>
      </c>
      <c r="D664">
        <v>1374.5363769999999</v>
      </c>
      <c r="E664">
        <v>1290.7593993999999</v>
      </c>
      <c r="F664">
        <v>1271.791626</v>
      </c>
      <c r="G664">
        <v>80</v>
      </c>
      <c r="H664">
        <v>76.827590942</v>
      </c>
      <c r="I664">
        <v>50</v>
      </c>
      <c r="J664">
        <v>49.682697296000001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366.77691499999997</v>
      </c>
      <c r="B665" s="1">
        <f>DATE(2011,5,2) + TIME(18,38,45)</f>
        <v>40665.776909722219</v>
      </c>
      <c r="C665">
        <v>1389.7928466999999</v>
      </c>
      <c r="D665">
        <v>1374.4456786999999</v>
      </c>
      <c r="E665">
        <v>1290.7583007999999</v>
      </c>
      <c r="F665">
        <v>1271.7893065999999</v>
      </c>
      <c r="G665">
        <v>80</v>
      </c>
      <c r="H665">
        <v>77.212142943999993</v>
      </c>
      <c r="I665">
        <v>50</v>
      </c>
      <c r="J665">
        <v>49.669673920000001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366.876172</v>
      </c>
      <c r="B666" s="1">
        <f>DATE(2011,5,2) + TIME(21,1,41)</f>
        <v>40665.876168981478</v>
      </c>
      <c r="C666">
        <v>1389.6484375</v>
      </c>
      <c r="D666">
        <v>1374.3557129000001</v>
      </c>
      <c r="E666">
        <v>1290.7569579999999</v>
      </c>
      <c r="F666">
        <v>1271.7868652</v>
      </c>
      <c r="G666">
        <v>80</v>
      </c>
      <c r="H666">
        <v>77.550102233999993</v>
      </c>
      <c r="I666">
        <v>50</v>
      </c>
      <c r="J666">
        <v>49.656673431000002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366.97592600000002</v>
      </c>
      <c r="B667" s="1">
        <f>DATE(2011,5,2) + TIME(23,25,20)</f>
        <v>40665.975925925923</v>
      </c>
      <c r="C667">
        <v>1389.5128173999999</v>
      </c>
      <c r="D667">
        <v>1374.2684326000001</v>
      </c>
      <c r="E667">
        <v>1290.7556152</v>
      </c>
      <c r="F667">
        <v>1271.7844238</v>
      </c>
      <c r="G667">
        <v>80</v>
      </c>
      <c r="H667">
        <v>77.847290039000001</v>
      </c>
      <c r="I667">
        <v>50</v>
      </c>
      <c r="J667">
        <v>49.643676757999998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367.07640900000001</v>
      </c>
      <c r="B668" s="1">
        <f>DATE(2011,5,3) + TIME(1,50,1)</f>
        <v>40666.07640046296</v>
      </c>
      <c r="C668">
        <v>1389.3847656</v>
      </c>
      <c r="D668">
        <v>1374.1835937999999</v>
      </c>
      <c r="E668">
        <v>1290.7542725000001</v>
      </c>
      <c r="F668">
        <v>1271.7818603999999</v>
      </c>
      <c r="G668">
        <v>80</v>
      </c>
      <c r="H668">
        <v>78.108940125000004</v>
      </c>
      <c r="I668">
        <v>50</v>
      </c>
      <c r="J668">
        <v>49.630657196000001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367.17783500000002</v>
      </c>
      <c r="B669" s="1">
        <f>DATE(2011,5,3) + TIME(4,16,4)</f>
        <v>40666.177824074075</v>
      </c>
      <c r="C669">
        <v>1389.2630615</v>
      </c>
      <c r="D669">
        <v>1374.1005858999999</v>
      </c>
      <c r="E669">
        <v>1290.7528076000001</v>
      </c>
      <c r="F669">
        <v>1271.7794189000001</v>
      </c>
      <c r="G669">
        <v>80</v>
      </c>
      <c r="H669">
        <v>78.339485167999996</v>
      </c>
      <c r="I669">
        <v>50</v>
      </c>
      <c r="J669">
        <v>49.617588042999998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367.28041400000001</v>
      </c>
      <c r="B670" s="1">
        <f>DATE(2011,5,3) + TIME(6,43,47)</f>
        <v>40666.280405092592</v>
      </c>
      <c r="C670">
        <v>1389.1470947</v>
      </c>
      <c r="D670">
        <v>1374.0194091999999</v>
      </c>
      <c r="E670">
        <v>1290.7513428</v>
      </c>
      <c r="F670">
        <v>1271.7768555</v>
      </c>
      <c r="G670">
        <v>80</v>
      </c>
      <c r="H670">
        <v>78.542709350999999</v>
      </c>
      <c r="I670">
        <v>50</v>
      </c>
      <c r="J670">
        <v>49.604442595999998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367.38435199999998</v>
      </c>
      <c r="B671" s="1">
        <f>DATE(2011,5,3) + TIME(9,13,28)</f>
        <v>40666.384351851855</v>
      </c>
      <c r="C671">
        <v>1389.0360106999999</v>
      </c>
      <c r="D671">
        <v>1373.9398193</v>
      </c>
      <c r="E671">
        <v>1290.75</v>
      </c>
      <c r="F671">
        <v>1271.7742920000001</v>
      </c>
      <c r="G671">
        <v>80</v>
      </c>
      <c r="H671">
        <v>78.721870421999995</v>
      </c>
      <c r="I671">
        <v>50</v>
      </c>
      <c r="J671">
        <v>49.591197968000003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367.48985499999998</v>
      </c>
      <c r="B672" s="1">
        <f>DATE(2011,5,3) + TIME(11,45,23)</f>
        <v>40666.489849537036</v>
      </c>
      <c r="C672">
        <v>1388.9293213000001</v>
      </c>
      <c r="D672">
        <v>1373.8614502</v>
      </c>
      <c r="E672">
        <v>1290.7484131000001</v>
      </c>
      <c r="F672">
        <v>1271.7717285000001</v>
      </c>
      <c r="G672">
        <v>80</v>
      </c>
      <c r="H672">
        <v>78.879783630000006</v>
      </c>
      <c r="I672">
        <v>50</v>
      </c>
      <c r="J672">
        <v>49.577827454000001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367.59713199999999</v>
      </c>
      <c r="B673" s="1">
        <f>DATE(2011,5,3) + TIME(14,19,52)</f>
        <v>40666.597129629627</v>
      </c>
      <c r="C673">
        <v>1388.8261719</v>
      </c>
      <c r="D673">
        <v>1373.7843018000001</v>
      </c>
      <c r="E673">
        <v>1290.7469481999999</v>
      </c>
      <c r="F673">
        <v>1271.769043</v>
      </c>
      <c r="G673">
        <v>80</v>
      </c>
      <c r="H673">
        <v>79.018913268999995</v>
      </c>
      <c r="I673">
        <v>50</v>
      </c>
      <c r="J673">
        <v>49.564308167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367.70639899999998</v>
      </c>
      <c r="B674" s="1">
        <f>DATE(2011,5,3) + TIME(16,57,12)</f>
        <v>40666.706388888888</v>
      </c>
      <c r="C674">
        <v>1388.7264404</v>
      </c>
      <c r="D674">
        <v>1373.7081298999999</v>
      </c>
      <c r="E674">
        <v>1290.7453613</v>
      </c>
      <c r="F674">
        <v>1271.7663574000001</v>
      </c>
      <c r="G674">
        <v>80</v>
      </c>
      <c r="H674">
        <v>79.141410828000005</v>
      </c>
      <c r="I674">
        <v>50</v>
      </c>
      <c r="J674">
        <v>49.550617217999999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367.81790799999999</v>
      </c>
      <c r="B675" s="1">
        <f>DATE(2011,5,3) + TIME(19,37,47)</f>
        <v>40666.81790509259</v>
      </c>
      <c r="C675">
        <v>1388.6293945</v>
      </c>
      <c r="D675">
        <v>1373.6328125</v>
      </c>
      <c r="E675">
        <v>1290.7437743999999</v>
      </c>
      <c r="F675">
        <v>1271.7636719</v>
      </c>
      <c r="G675">
        <v>80</v>
      </c>
      <c r="H675">
        <v>79.249168396000002</v>
      </c>
      <c r="I675">
        <v>50</v>
      </c>
      <c r="J675">
        <v>49.536727904999999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367.93189599999999</v>
      </c>
      <c r="B676" s="1">
        <f>DATE(2011,5,3) + TIME(22,21,55)</f>
        <v>40666.931886574072</v>
      </c>
      <c r="C676">
        <v>1388.5349120999999</v>
      </c>
      <c r="D676">
        <v>1373.5581055</v>
      </c>
      <c r="E676">
        <v>1290.7420654</v>
      </c>
      <c r="F676">
        <v>1271.7608643000001</v>
      </c>
      <c r="G676">
        <v>80</v>
      </c>
      <c r="H676">
        <v>79.343849182</v>
      </c>
      <c r="I676">
        <v>50</v>
      </c>
      <c r="J676">
        <v>49.522609711000001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368.04859199999999</v>
      </c>
      <c r="B677" s="1">
        <f>DATE(2011,5,4) + TIME(1,9,58)</f>
        <v>40667.048587962963</v>
      </c>
      <c r="C677">
        <v>1388.4425048999999</v>
      </c>
      <c r="D677">
        <v>1373.4841309000001</v>
      </c>
      <c r="E677">
        <v>1290.7403564000001</v>
      </c>
      <c r="F677">
        <v>1271.7579346</v>
      </c>
      <c r="G677">
        <v>80</v>
      </c>
      <c r="H677">
        <v>79.426895142000006</v>
      </c>
      <c r="I677">
        <v>50</v>
      </c>
      <c r="J677">
        <v>49.508239746000001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368.168272</v>
      </c>
      <c r="B678" s="1">
        <f>DATE(2011,5,4) + TIME(4,2,18)</f>
        <v>40667.168263888889</v>
      </c>
      <c r="C678">
        <v>1388.3519286999999</v>
      </c>
      <c r="D678">
        <v>1373.4105225000001</v>
      </c>
      <c r="E678">
        <v>1290.7385254000001</v>
      </c>
      <c r="F678">
        <v>1271.7550048999999</v>
      </c>
      <c r="G678">
        <v>80</v>
      </c>
      <c r="H678">
        <v>79.499618530000006</v>
      </c>
      <c r="I678">
        <v>50</v>
      </c>
      <c r="J678">
        <v>49.493587494000003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368.29122799999999</v>
      </c>
      <c r="B679" s="1">
        <f>DATE(2011,5,4) + TIME(6,59,22)</f>
        <v>40667.291226851848</v>
      </c>
      <c r="C679">
        <v>1388.2628173999999</v>
      </c>
      <c r="D679">
        <v>1373.3372803</v>
      </c>
      <c r="E679">
        <v>1290.7366943</v>
      </c>
      <c r="F679">
        <v>1271.7519531</v>
      </c>
      <c r="G679">
        <v>80</v>
      </c>
      <c r="H679">
        <v>79.563171386999997</v>
      </c>
      <c r="I679">
        <v>50</v>
      </c>
      <c r="J679">
        <v>49.478626251000001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368.41778299999999</v>
      </c>
      <c r="B680" s="1">
        <f>DATE(2011,5,4) + TIME(10,1,36)</f>
        <v>40667.41777777778</v>
      </c>
      <c r="C680">
        <v>1388.1749268000001</v>
      </c>
      <c r="D680">
        <v>1373.2641602000001</v>
      </c>
      <c r="E680">
        <v>1290.7348632999999</v>
      </c>
      <c r="F680">
        <v>1271.7489014</v>
      </c>
      <c r="G680">
        <v>80</v>
      </c>
      <c r="H680">
        <v>79.618583678999997</v>
      </c>
      <c r="I680">
        <v>50</v>
      </c>
      <c r="J680">
        <v>49.463317871000001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368.54828900000001</v>
      </c>
      <c r="B681" s="1">
        <f>DATE(2011,5,4) + TIME(13,9,32)</f>
        <v>40667.54828703704</v>
      </c>
      <c r="C681">
        <v>1388.0880127</v>
      </c>
      <c r="D681">
        <v>1373.1911620999999</v>
      </c>
      <c r="E681">
        <v>1290.7329102000001</v>
      </c>
      <c r="F681">
        <v>1271.7456055</v>
      </c>
      <c r="G681">
        <v>80</v>
      </c>
      <c r="H681">
        <v>79.666786193999997</v>
      </c>
      <c r="I681">
        <v>50</v>
      </c>
      <c r="J681">
        <v>49.447628021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368.68313699999999</v>
      </c>
      <c r="B682" s="1">
        <f>DATE(2011,5,4) + TIME(16,23,43)</f>
        <v>40667.683136574073</v>
      </c>
      <c r="C682">
        <v>1388.0018310999999</v>
      </c>
      <c r="D682">
        <v>1373.1182861</v>
      </c>
      <c r="E682">
        <v>1290.7308350000001</v>
      </c>
      <c r="F682">
        <v>1271.7423096</v>
      </c>
      <c r="G682">
        <v>80</v>
      </c>
      <c r="H682">
        <v>79.708587645999998</v>
      </c>
      <c r="I682">
        <v>50</v>
      </c>
      <c r="J682">
        <v>49.431514739999997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368.82276200000001</v>
      </c>
      <c r="B683" s="1">
        <f>DATE(2011,5,4) + TIME(19,44,46)</f>
        <v>40667.822754629633</v>
      </c>
      <c r="C683">
        <v>1387.9162598</v>
      </c>
      <c r="D683">
        <v>1373.0450439000001</v>
      </c>
      <c r="E683">
        <v>1290.7286377</v>
      </c>
      <c r="F683">
        <v>1271.7388916</v>
      </c>
      <c r="G683">
        <v>80</v>
      </c>
      <c r="H683">
        <v>79.744728088000002</v>
      </c>
      <c r="I683">
        <v>50</v>
      </c>
      <c r="J683">
        <v>49.414939879999999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368.96765099999999</v>
      </c>
      <c r="B684" s="1">
        <f>DATE(2011,5,4) + TIME(23,13,25)</f>
        <v>40667.967650462961</v>
      </c>
      <c r="C684">
        <v>1387.8308105000001</v>
      </c>
      <c r="D684">
        <v>1372.9716797000001</v>
      </c>
      <c r="E684">
        <v>1290.7264404</v>
      </c>
      <c r="F684">
        <v>1271.7353516000001</v>
      </c>
      <c r="G684">
        <v>80</v>
      </c>
      <c r="H684">
        <v>79.775878906000003</v>
      </c>
      <c r="I684">
        <v>50</v>
      </c>
      <c r="J684">
        <v>49.397850036999998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369.118382</v>
      </c>
      <c r="B685" s="1">
        <f>DATE(2011,5,5) + TIME(2,50,28)</f>
        <v>40668.118379629632</v>
      </c>
      <c r="C685">
        <v>1387.7454834</v>
      </c>
      <c r="D685">
        <v>1372.8978271000001</v>
      </c>
      <c r="E685">
        <v>1290.7241211</v>
      </c>
      <c r="F685">
        <v>1271.7315673999999</v>
      </c>
      <c r="G685">
        <v>80</v>
      </c>
      <c r="H685">
        <v>79.802619934000006</v>
      </c>
      <c r="I685">
        <v>50</v>
      </c>
      <c r="J685">
        <v>49.380187988000003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369.27563700000002</v>
      </c>
      <c r="B686" s="1">
        <f>DATE(2011,5,5) + TIME(6,36,55)</f>
        <v>40668.275636574072</v>
      </c>
      <c r="C686">
        <v>1387.6599120999999</v>
      </c>
      <c r="D686">
        <v>1372.8233643000001</v>
      </c>
      <c r="E686">
        <v>1290.7218018000001</v>
      </c>
      <c r="F686">
        <v>1271.7276611</v>
      </c>
      <c r="G686">
        <v>80</v>
      </c>
      <c r="H686">
        <v>79.825485228999995</v>
      </c>
      <c r="I686">
        <v>50</v>
      </c>
      <c r="J686">
        <v>49.361888884999999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369.44006200000001</v>
      </c>
      <c r="B687" s="1">
        <f>DATE(2011,5,5) + TIME(10,33,41)</f>
        <v>40668.440057870372</v>
      </c>
      <c r="C687">
        <v>1387.5737305</v>
      </c>
      <c r="D687">
        <v>1372.7481689000001</v>
      </c>
      <c r="E687">
        <v>1290.7192382999999</v>
      </c>
      <c r="F687">
        <v>1271.7236327999999</v>
      </c>
      <c r="G687">
        <v>80</v>
      </c>
      <c r="H687">
        <v>79.844955443999993</v>
      </c>
      <c r="I687">
        <v>50</v>
      </c>
      <c r="J687">
        <v>49.342887877999999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369.61006600000002</v>
      </c>
      <c r="B688" s="1">
        <f>DATE(2011,5,5) + TIME(14,38,29)</f>
        <v>40668.61005787037</v>
      </c>
      <c r="C688">
        <v>1387.4870605000001</v>
      </c>
      <c r="D688">
        <v>1372.6719971</v>
      </c>
      <c r="E688">
        <v>1290.7165527</v>
      </c>
      <c r="F688">
        <v>1271.7193603999999</v>
      </c>
      <c r="G688">
        <v>80</v>
      </c>
      <c r="H688">
        <v>79.861244201999995</v>
      </c>
      <c r="I688">
        <v>50</v>
      </c>
      <c r="J688">
        <v>49.323345183999997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369.78593799999999</v>
      </c>
      <c r="B689" s="1">
        <f>DATE(2011,5,5) + TIME(18,51,45)</f>
        <v>40668.785937499997</v>
      </c>
      <c r="C689">
        <v>1387.4005127</v>
      </c>
      <c r="D689">
        <v>1372.5958252</v>
      </c>
      <c r="E689">
        <v>1290.7137451000001</v>
      </c>
      <c r="F689">
        <v>1271.7149658000001</v>
      </c>
      <c r="G689">
        <v>80</v>
      </c>
      <c r="H689">
        <v>79.874824524000005</v>
      </c>
      <c r="I689">
        <v>50</v>
      </c>
      <c r="J689">
        <v>49.303226471000002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369.96823599999999</v>
      </c>
      <c r="B690" s="1">
        <f>DATE(2011,5,5) + TIME(23,14,15)</f>
        <v>40668.968229166669</v>
      </c>
      <c r="C690">
        <v>1387.3140868999999</v>
      </c>
      <c r="D690">
        <v>1372.5195312000001</v>
      </c>
      <c r="E690">
        <v>1290.7108154</v>
      </c>
      <c r="F690">
        <v>1271.7104492000001</v>
      </c>
      <c r="G690">
        <v>80</v>
      </c>
      <c r="H690">
        <v>79.886108398000005</v>
      </c>
      <c r="I690">
        <v>50</v>
      </c>
      <c r="J690">
        <v>49.282485962000003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370.15757400000001</v>
      </c>
      <c r="B691" s="1">
        <f>DATE(2011,5,6) + TIME(3,46,54)</f>
        <v>40669.157569444447</v>
      </c>
      <c r="C691">
        <v>1387.2275391000001</v>
      </c>
      <c r="D691">
        <v>1372.4429932</v>
      </c>
      <c r="E691">
        <v>1290.7077637</v>
      </c>
      <c r="F691">
        <v>1271.7056885</v>
      </c>
      <c r="G691">
        <v>80</v>
      </c>
      <c r="H691">
        <v>79.895439147999994</v>
      </c>
      <c r="I691">
        <v>50</v>
      </c>
      <c r="J691">
        <v>49.261066436999997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370.35464999999999</v>
      </c>
      <c r="B692" s="1">
        <f>DATE(2011,5,6) + TIME(8,30,41)</f>
        <v>40669.354641203703</v>
      </c>
      <c r="C692">
        <v>1387.140625</v>
      </c>
      <c r="D692">
        <v>1372.3660889</v>
      </c>
      <c r="E692">
        <v>1290.7045897999999</v>
      </c>
      <c r="F692">
        <v>1271.7008057</v>
      </c>
      <c r="G692">
        <v>80</v>
      </c>
      <c r="H692">
        <v>79.903129578000005</v>
      </c>
      <c r="I692">
        <v>50</v>
      </c>
      <c r="J692">
        <v>49.238903045999997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370.55902900000001</v>
      </c>
      <c r="B693" s="1">
        <f>DATE(2011,5,6) + TIME(13,25,0)</f>
        <v>40669.559027777781</v>
      </c>
      <c r="C693">
        <v>1387.0532227000001</v>
      </c>
      <c r="D693">
        <v>1372.2886963000001</v>
      </c>
      <c r="E693">
        <v>1290.7012939000001</v>
      </c>
      <c r="F693">
        <v>1271.6956786999999</v>
      </c>
      <c r="G693">
        <v>80</v>
      </c>
      <c r="H693">
        <v>79.909416199000006</v>
      </c>
      <c r="I693">
        <v>50</v>
      </c>
      <c r="J693">
        <v>49.216041564999998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370.76442800000001</v>
      </c>
      <c r="B694" s="1">
        <f>DATE(2011,5,6) + TIME(18,20,46)</f>
        <v>40669.764421296299</v>
      </c>
      <c r="C694">
        <v>1386.9656981999999</v>
      </c>
      <c r="D694">
        <v>1372.2110596</v>
      </c>
      <c r="E694">
        <v>1290.6977539</v>
      </c>
      <c r="F694">
        <v>1271.6903076000001</v>
      </c>
      <c r="G694">
        <v>80</v>
      </c>
      <c r="H694">
        <v>79.914405822999996</v>
      </c>
      <c r="I694">
        <v>50</v>
      </c>
      <c r="J694">
        <v>49.19304657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370.97139099999998</v>
      </c>
      <c r="B695" s="1">
        <f>DATE(2011,5,6) + TIME(23,18,48)</f>
        <v>40669.971388888887</v>
      </c>
      <c r="C695">
        <v>1386.8804932</v>
      </c>
      <c r="D695">
        <v>1372.1354980000001</v>
      </c>
      <c r="E695">
        <v>1290.6942139</v>
      </c>
      <c r="F695">
        <v>1271.6849365</v>
      </c>
      <c r="G695">
        <v>80</v>
      </c>
      <c r="H695">
        <v>79.918380737000007</v>
      </c>
      <c r="I695">
        <v>50</v>
      </c>
      <c r="J695">
        <v>49.169887543000002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371.18051600000001</v>
      </c>
      <c r="B696" s="1">
        <f>DATE(2011,5,7) + TIME(4,19,56)</f>
        <v>40670.180509259262</v>
      </c>
      <c r="C696">
        <v>1386.7972411999999</v>
      </c>
      <c r="D696">
        <v>1372.0616454999999</v>
      </c>
      <c r="E696">
        <v>1290.6906738</v>
      </c>
      <c r="F696">
        <v>1271.6795654</v>
      </c>
      <c r="G696">
        <v>80</v>
      </c>
      <c r="H696">
        <v>79.921562195000007</v>
      </c>
      <c r="I696">
        <v>50</v>
      </c>
      <c r="J696">
        <v>49.146537780999999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371.39223800000002</v>
      </c>
      <c r="B697" s="1">
        <f>DATE(2011,5,7) + TIME(9,24,49)</f>
        <v>40670.392233796294</v>
      </c>
      <c r="C697">
        <v>1386.7156981999999</v>
      </c>
      <c r="D697">
        <v>1371.9895019999999</v>
      </c>
      <c r="E697">
        <v>1290.6870117000001</v>
      </c>
      <c r="F697">
        <v>1271.6740723</v>
      </c>
      <c r="G697">
        <v>80</v>
      </c>
      <c r="H697">
        <v>79.924118042000003</v>
      </c>
      <c r="I697">
        <v>50</v>
      </c>
      <c r="J697">
        <v>49.122959137000002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371.607057</v>
      </c>
      <c r="B698" s="1">
        <f>DATE(2011,5,7) + TIME(14,34,9)</f>
        <v>40670.607048611113</v>
      </c>
      <c r="C698">
        <v>1386.6356201000001</v>
      </c>
      <c r="D698">
        <v>1371.918457</v>
      </c>
      <c r="E698">
        <v>1290.6834716999999</v>
      </c>
      <c r="F698">
        <v>1271.6685791</v>
      </c>
      <c r="G698">
        <v>80</v>
      </c>
      <c r="H698">
        <v>79.926177979000002</v>
      </c>
      <c r="I698">
        <v>50</v>
      </c>
      <c r="J698">
        <v>49.099124908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371.82549699999998</v>
      </c>
      <c r="B699" s="1">
        <f>DATE(2011,5,7) + TIME(19,48,42)</f>
        <v>40670.825486111113</v>
      </c>
      <c r="C699">
        <v>1386.5566406</v>
      </c>
      <c r="D699">
        <v>1371.8486327999999</v>
      </c>
      <c r="E699">
        <v>1290.6796875</v>
      </c>
      <c r="F699">
        <v>1271.6628418</v>
      </c>
      <c r="G699">
        <v>80</v>
      </c>
      <c r="H699">
        <v>79.927848815999994</v>
      </c>
      <c r="I699">
        <v>50</v>
      </c>
      <c r="J699">
        <v>49.074993134000003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372.04810300000003</v>
      </c>
      <c r="B700" s="1">
        <f>DATE(2011,5,8) + TIME(1,9,16)</f>
        <v>40671.048101851855</v>
      </c>
      <c r="C700">
        <v>1386.4786377</v>
      </c>
      <c r="D700">
        <v>1371.7796631000001</v>
      </c>
      <c r="E700">
        <v>1290.6759033000001</v>
      </c>
      <c r="F700">
        <v>1271.6571045000001</v>
      </c>
      <c r="G700">
        <v>80</v>
      </c>
      <c r="H700">
        <v>79.929206848000007</v>
      </c>
      <c r="I700">
        <v>50</v>
      </c>
      <c r="J700">
        <v>49.050518036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372.27545300000003</v>
      </c>
      <c r="B701" s="1">
        <f>DATE(2011,5,8) + TIME(6,36,39)</f>
        <v>40671.275451388887</v>
      </c>
      <c r="C701">
        <v>1386.4012451000001</v>
      </c>
      <c r="D701">
        <v>1371.7113036999999</v>
      </c>
      <c r="E701">
        <v>1290.6721190999999</v>
      </c>
      <c r="F701">
        <v>1271.6512451000001</v>
      </c>
      <c r="G701">
        <v>80</v>
      </c>
      <c r="H701">
        <v>79.93031311</v>
      </c>
      <c r="I701">
        <v>50</v>
      </c>
      <c r="J701">
        <v>49.025650024000001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372.50816500000002</v>
      </c>
      <c r="B702" s="1">
        <f>DATE(2011,5,8) + TIME(12,11,45)</f>
        <v>40671.508159722223</v>
      </c>
      <c r="C702">
        <v>1386.3244629000001</v>
      </c>
      <c r="D702">
        <v>1371.6435547000001</v>
      </c>
      <c r="E702">
        <v>1290.6682129000001</v>
      </c>
      <c r="F702">
        <v>1271.6452637</v>
      </c>
      <c r="G702">
        <v>80</v>
      </c>
      <c r="H702">
        <v>79.931221007999994</v>
      </c>
      <c r="I702">
        <v>50</v>
      </c>
      <c r="J702">
        <v>49.000339508000003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372.74691000000001</v>
      </c>
      <c r="B703" s="1">
        <f>DATE(2011,5,8) + TIME(17,55,33)</f>
        <v>40671.74690972222</v>
      </c>
      <c r="C703">
        <v>1386.2479248</v>
      </c>
      <c r="D703">
        <v>1371.5761719</v>
      </c>
      <c r="E703">
        <v>1290.6641846</v>
      </c>
      <c r="F703">
        <v>1271.6391602000001</v>
      </c>
      <c r="G703">
        <v>80</v>
      </c>
      <c r="H703">
        <v>79.931968689000001</v>
      </c>
      <c r="I703">
        <v>50</v>
      </c>
      <c r="J703">
        <v>48.974525452000002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372.99242299999997</v>
      </c>
      <c r="B704" s="1">
        <f>DATE(2011,5,8) + TIME(23,49,5)</f>
        <v>40671.992418981485</v>
      </c>
      <c r="C704">
        <v>1386.1715088000001</v>
      </c>
      <c r="D704">
        <v>1371.5089111</v>
      </c>
      <c r="E704">
        <v>1290.6600341999999</v>
      </c>
      <c r="F704">
        <v>1271.6328125</v>
      </c>
      <c r="G704">
        <v>80</v>
      </c>
      <c r="H704">
        <v>79.932586670000006</v>
      </c>
      <c r="I704">
        <v>50</v>
      </c>
      <c r="J704">
        <v>48.948146819999998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373.24551700000001</v>
      </c>
      <c r="B705" s="1">
        <f>DATE(2011,5,9) + TIME(5,53,32)</f>
        <v>40672.245509259257</v>
      </c>
      <c r="C705">
        <v>1386.0949707</v>
      </c>
      <c r="D705">
        <v>1371.4416504000001</v>
      </c>
      <c r="E705">
        <v>1290.6557617000001</v>
      </c>
      <c r="F705">
        <v>1271.6263428</v>
      </c>
      <c r="G705">
        <v>80</v>
      </c>
      <c r="H705">
        <v>79.933105468999997</v>
      </c>
      <c r="I705">
        <v>50</v>
      </c>
      <c r="J705">
        <v>48.921131133999999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373.507227</v>
      </c>
      <c r="B706" s="1">
        <f>DATE(2011,5,9) + TIME(12,10,24)</f>
        <v>40672.507222222222</v>
      </c>
      <c r="C706">
        <v>1386.0181885</v>
      </c>
      <c r="D706">
        <v>1371.3741454999999</v>
      </c>
      <c r="E706">
        <v>1290.6513672000001</v>
      </c>
      <c r="F706">
        <v>1271.6196289</v>
      </c>
      <c r="G706">
        <v>80</v>
      </c>
      <c r="H706">
        <v>79.933532714999998</v>
      </c>
      <c r="I706">
        <v>50</v>
      </c>
      <c r="J706">
        <v>48.893390656000001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373.77853299999998</v>
      </c>
      <c r="B707" s="1">
        <f>DATE(2011,5,9) + TIME(18,41,5)</f>
        <v>40672.77853009259</v>
      </c>
      <c r="C707">
        <v>1385.940918</v>
      </c>
      <c r="D707">
        <v>1371.3063964999999</v>
      </c>
      <c r="E707">
        <v>1290.6468506000001</v>
      </c>
      <c r="F707">
        <v>1271.6126709</v>
      </c>
      <c r="G707">
        <v>80</v>
      </c>
      <c r="H707">
        <v>79.933891295999999</v>
      </c>
      <c r="I707">
        <v>50</v>
      </c>
      <c r="J707">
        <v>48.864837645999998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374.057908</v>
      </c>
      <c r="B708" s="1">
        <f>DATE(2011,5,10) + TIME(1,23,23)</f>
        <v>40673.057905092595</v>
      </c>
      <c r="C708">
        <v>1385.8629149999999</v>
      </c>
      <c r="D708">
        <v>1371.2380370999999</v>
      </c>
      <c r="E708">
        <v>1290.6419678</v>
      </c>
      <c r="F708">
        <v>1271.6054687999999</v>
      </c>
      <c r="G708">
        <v>80</v>
      </c>
      <c r="H708">
        <v>79.934196471999996</v>
      </c>
      <c r="I708">
        <v>50</v>
      </c>
      <c r="J708">
        <v>48.835586548000002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374.34451899999999</v>
      </c>
      <c r="B709" s="1">
        <f>DATE(2011,5,10) + TIME(8,16,6)</f>
        <v>40673.344513888886</v>
      </c>
      <c r="C709">
        <v>1385.784668</v>
      </c>
      <c r="D709">
        <v>1371.1695557</v>
      </c>
      <c r="E709">
        <v>1290.6370850000001</v>
      </c>
      <c r="F709">
        <v>1271.5980225000001</v>
      </c>
      <c r="G709">
        <v>80</v>
      </c>
      <c r="H709">
        <v>79.934448242000002</v>
      </c>
      <c r="I709">
        <v>50</v>
      </c>
      <c r="J709">
        <v>48.805706024000003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374.63681000000003</v>
      </c>
      <c r="B710" s="1">
        <f>DATE(2011,5,10) + TIME(15,17,0)</f>
        <v>40673.636805555558</v>
      </c>
      <c r="C710">
        <v>1385.706543</v>
      </c>
      <c r="D710">
        <v>1371.1013184000001</v>
      </c>
      <c r="E710">
        <v>1290.6319579999999</v>
      </c>
      <c r="F710">
        <v>1271.5904541</v>
      </c>
      <c r="G710">
        <v>80</v>
      </c>
      <c r="H710">
        <v>79.934654236</v>
      </c>
      <c r="I710">
        <v>50</v>
      </c>
      <c r="J710">
        <v>48.775321959999999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374.935453</v>
      </c>
      <c r="B711" s="1">
        <f>DATE(2011,5,10) + TIME(22,27,3)</f>
        <v>40673.93545138889</v>
      </c>
      <c r="C711">
        <v>1385.6289062000001</v>
      </c>
      <c r="D711">
        <v>1371.0335693</v>
      </c>
      <c r="E711">
        <v>1290.6268310999999</v>
      </c>
      <c r="F711">
        <v>1271.5826416</v>
      </c>
      <c r="G711">
        <v>80</v>
      </c>
      <c r="H711">
        <v>79.934829711999996</v>
      </c>
      <c r="I711">
        <v>50</v>
      </c>
      <c r="J711">
        <v>48.744400024000001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375.24113399999999</v>
      </c>
      <c r="B712" s="1">
        <f>DATE(2011,5,11) + TIME(5,47,14)</f>
        <v>40674.24113425926</v>
      </c>
      <c r="C712">
        <v>1385.5516356999999</v>
      </c>
      <c r="D712">
        <v>1370.9661865</v>
      </c>
      <c r="E712">
        <v>1290.6214600000001</v>
      </c>
      <c r="F712">
        <v>1271.5745850000001</v>
      </c>
      <c r="G712">
        <v>80</v>
      </c>
      <c r="H712">
        <v>79.934974670000003</v>
      </c>
      <c r="I712">
        <v>50</v>
      </c>
      <c r="J712">
        <v>48.712898254000002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375.55460699999998</v>
      </c>
      <c r="B713" s="1">
        <f>DATE(2011,5,11) + TIME(13,18,38)</f>
        <v>40674.554606481484</v>
      </c>
      <c r="C713">
        <v>1385.4746094</v>
      </c>
      <c r="D713">
        <v>1370.8991699000001</v>
      </c>
      <c r="E713">
        <v>1290.6159668</v>
      </c>
      <c r="F713">
        <v>1271.5664062000001</v>
      </c>
      <c r="G713">
        <v>80</v>
      </c>
      <c r="H713">
        <v>79.935096740999995</v>
      </c>
      <c r="I713">
        <v>50</v>
      </c>
      <c r="J713">
        <v>48.680770873999997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375.87677100000002</v>
      </c>
      <c r="B714" s="1">
        <f>DATE(2011,5,11) + TIME(21,2,33)</f>
        <v>40674.876770833333</v>
      </c>
      <c r="C714">
        <v>1385.3975829999999</v>
      </c>
      <c r="D714">
        <v>1370.8321533000001</v>
      </c>
      <c r="E714">
        <v>1290.6103516000001</v>
      </c>
      <c r="F714">
        <v>1271.5579834</v>
      </c>
      <c r="G714">
        <v>80</v>
      </c>
      <c r="H714">
        <v>79.935195922999995</v>
      </c>
      <c r="I714">
        <v>50</v>
      </c>
      <c r="J714">
        <v>48.647945403999998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376.20359200000001</v>
      </c>
      <c r="B715" s="1">
        <f>DATE(2011,5,12) + TIME(4,53,10)</f>
        <v>40675.203587962962</v>
      </c>
      <c r="C715">
        <v>1385.3204346</v>
      </c>
      <c r="D715">
        <v>1370.7651367000001</v>
      </c>
      <c r="E715">
        <v>1290.6044922000001</v>
      </c>
      <c r="F715">
        <v>1271.5493164</v>
      </c>
      <c r="G715">
        <v>80</v>
      </c>
      <c r="H715">
        <v>79.935279846</v>
      </c>
      <c r="I715">
        <v>50</v>
      </c>
      <c r="J715">
        <v>48.614719391000001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376.532442</v>
      </c>
      <c r="B716" s="1">
        <f>DATE(2011,5,12) + TIME(12,46,42)</f>
        <v>40675.532430555555</v>
      </c>
      <c r="C716">
        <v>1385.2441406</v>
      </c>
      <c r="D716">
        <v>1370.6989745999999</v>
      </c>
      <c r="E716">
        <v>1290.5986327999999</v>
      </c>
      <c r="F716">
        <v>1271.5405272999999</v>
      </c>
      <c r="G716">
        <v>80</v>
      </c>
      <c r="H716">
        <v>79.935348511000001</v>
      </c>
      <c r="I716">
        <v>50</v>
      </c>
      <c r="J716">
        <v>48.581317902000002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376.86411399999997</v>
      </c>
      <c r="B717" s="1">
        <f>DATE(2011,5,12) + TIME(20,44,19)</f>
        <v>40675.864108796297</v>
      </c>
      <c r="C717">
        <v>1385.1693115</v>
      </c>
      <c r="D717">
        <v>1370.6340332</v>
      </c>
      <c r="E717">
        <v>1290.5925293</v>
      </c>
      <c r="F717">
        <v>1271.5316161999999</v>
      </c>
      <c r="G717">
        <v>80</v>
      </c>
      <c r="H717">
        <v>79.935409546000002</v>
      </c>
      <c r="I717">
        <v>50</v>
      </c>
      <c r="J717">
        <v>48.547714233000001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377.19949000000003</v>
      </c>
      <c r="B718" s="1">
        <f>DATE(2011,5,13) + TIME(4,47,15)</f>
        <v>40676.199479166666</v>
      </c>
      <c r="C718">
        <v>1385.0955810999999</v>
      </c>
      <c r="D718">
        <v>1370.5701904</v>
      </c>
      <c r="E718">
        <v>1290.5865478999999</v>
      </c>
      <c r="F718">
        <v>1271.5225829999999</v>
      </c>
      <c r="G718">
        <v>80</v>
      </c>
      <c r="H718">
        <v>79.935455321999996</v>
      </c>
      <c r="I718">
        <v>50</v>
      </c>
      <c r="J718">
        <v>48.513870238999999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377.53930200000002</v>
      </c>
      <c r="B719" s="1">
        <f>DATE(2011,5,13) + TIME(12,56,35)</f>
        <v>40676.539293981485</v>
      </c>
      <c r="C719">
        <v>1385.0228271000001</v>
      </c>
      <c r="D719">
        <v>1370.5072021000001</v>
      </c>
      <c r="E719">
        <v>1290.5804443</v>
      </c>
      <c r="F719">
        <v>1271.5135498</v>
      </c>
      <c r="G719">
        <v>80</v>
      </c>
      <c r="H719">
        <v>79.935493468999994</v>
      </c>
      <c r="I719">
        <v>50</v>
      </c>
      <c r="J719">
        <v>48.479751587000003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377.88431500000002</v>
      </c>
      <c r="B720" s="1">
        <f>DATE(2011,5,13) + TIME(21,13,24)</f>
        <v>40676.884305555555</v>
      </c>
      <c r="C720">
        <v>1384.9508057</v>
      </c>
      <c r="D720">
        <v>1370.4449463000001</v>
      </c>
      <c r="E720">
        <v>1290.5742187999999</v>
      </c>
      <c r="F720">
        <v>1271.5042725000001</v>
      </c>
      <c r="G720">
        <v>80</v>
      </c>
      <c r="H720">
        <v>79.935516356999997</v>
      </c>
      <c r="I720">
        <v>50</v>
      </c>
      <c r="J720">
        <v>48.445301055999998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378.23537199999998</v>
      </c>
      <c r="B721" s="1">
        <f>DATE(2011,5,14) + TIME(5,38,56)</f>
        <v>40677.23537037037</v>
      </c>
      <c r="C721">
        <v>1384.8793945</v>
      </c>
      <c r="D721">
        <v>1370.3833007999999</v>
      </c>
      <c r="E721">
        <v>1290.5678711</v>
      </c>
      <c r="F721">
        <v>1271.4948730000001</v>
      </c>
      <c r="G721">
        <v>80</v>
      </c>
      <c r="H721">
        <v>79.935546875</v>
      </c>
      <c r="I721">
        <v>50</v>
      </c>
      <c r="J721">
        <v>48.410457610999998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378.59336300000001</v>
      </c>
      <c r="B722" s="1">
        <f>DATE(2011,5,14) + TIME(14,14,26)</f>
        <v>40677.593356481484</v>
      </c>
      <c r="C722">
        <v>1384.8084716999999</v>
      </c>
      <c r="D722">
        <v>1370.3220214999999</v>
      </c>
      <c r="E722">
        <v>1290.5614014</v>
      </c>
      <c r="F722">
        <v>1271.4852295000001</v>
      </c>
      <c r="G722">
        <v>80</v>
      </c>
      <c r="H722">
        <v>79.935562133999994</v>
      </c>
      <c r="I722">
        <v>50</v>
      </c>
      <c r="J722">
        <v>48.375160217000001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378.95924100000002</v>
      </c>
      <c r="B723" s="1">
        <f>DATE(2011,5,14) + TIME(23,1,18)</f>
        <v>40677.959236111114</v>
      </c>
      <c r="C723">
        <v>1384.7376709</v>
      </c>
      <c r="D723">
        <v>1370.2609863</v>
      </c>
      <c r="E723">
        <v>1290.5548096</v>
      </c>
      <c r="F723">
        <v>1271.4754639</v>
      </c>
      <c r="G723">
        <v>80</v>
      </c>
      <c r="H723">
        <v>79.935577393000003</v>
      </c>
      <c r="I723">
        <v>50</v>
      </c>
      <c r="J723">
        <v>48.339328766000001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379.33403600000003</v>
      </c>
      <c r="B724" s="1">
        <f>DATE(2011,5,15) + TIME(8,1,0)</f>
        <v>40678.334027777775</v>
      </c>
      <c r="C724">
        <v>1384.6669922000001</v>
      </c>
      <c r="D724">
        <v>1370.2000731999999</v>
      </c>
      <c r="E724">
        <v>1290.5480957</v>
      </c>
      <c r="F724">
        <v>1271.465332</v>
      </c>
      <c r="G724">
        <v>80</v>
      </c>
      <c r="H724">
        <v>79.935585021999998</v>
      </c>
      <c r="I724">
        <v>50</v>
      </c>
      <c r="J724">
        <v>48.302883147999999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379.71887700000002</v>
      </c>
      <c r="B725" s="1">
        <f>DATE(2011,5,15) + TIME(17,15,10)</f>
        <v>40678.718865740739</v>
      </c>
      <c r="C725">
        <v>1384.5960693</v>
      </c>
      <c r="D725">
        <v>1370.1391602000001</v>
      </c>
      <c r="E725">
        <v>1290.5411377</v>
      </c>
      <c r="F725">
        <v>1271.4550781</v>
      </c>
      <c r="G725">
        <v>80</v>
      </c>
      <c r="H725">
        <v>79.935592650999993</v>
      </c>
      <c r="I725">
        <v>50</v>
      </c>
      <c r="J725">
        <v>48.265731811999999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380.11500899999999</v>
      </c>
      <c r="B726" s="1">
        <f>DATE(2011,5,16) + TIME(2,45,36)</f>
        <v>40679.114999999998</v>
      </c>
      <c r="C726">
        <v>1384.5250243999999</v>
      </c>
      <c r="D726">
        <v>1370.0780029</v>
      </c>
      <c r="E726">
        <v>1290.5340576000001</v>
      </c>
      <c r="F726">
        <v>1271.4444579999999</v>
      </c>
      <c r="G726">
        <v>80</v>
      </c>
      <c r="H726">
        <v>79.935600281000006</v>
      </c>
      <c r="I726">
        <v>50</v>
      </c>
      <c r="J726">
        <v>48.227783203000001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380.52382699999998</v>
      </c>
      <c r="B727" s="1">
        <f>DATE(2011,5,16) + TIME(12,34,18)</f>
        <v>40679.523819444446</v>
      </c>
      <c r="C727">
        <v>1384.4534911999999</v>
      </c>
      <c r="D727">
        <v>1370.0164795000001</v>
      </c>
      <c r="E727">
        <v>1290.5267334</v>
      </c>
      <c r="F727">
        <v>1271.4334716999999</v>
      </c>
      <c r="G727">
        <v>80</v>
      </c>
      <c r="H727">
        <v>79.935600281000006</v>
      </c>
      <c r="I727">
        <v>50</v>
      </c>
      <c r="J727">
        <v>48.188926696999999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380.94703099999998</v>
      </c>
      <c r="B728" s="1">
        <f>DATE(2011,5,16) + TIME(22,43,43)</f>
        <v>40679.947025462963</v>
      </c>
      <c r="C728">
        <v>1384.3812256000001</v>
      </c>
      <c r="D728">
        <v>1369.9544678</v>
      </c>
      <c r="E728">
        <v>1290.5191649999999</v>
      </c>
      <c r="F728">
        <v>1271.4221190999999</v>
      </c>
      <c r="G728">
        <v>80</v>
      </c>
      <c r="H728">
        <v>79.935600281000006</v>
      </c>
      <c r="I728">
        <v>50</v>
      </c>
      <c r="J728">
        <v>48.149028778000002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381.38272899999998</v>
      </c>
      <c r="B729" s="1">
        <f>DATE(2011,5,17) + TIME(9,11,7)</f>
        <v>40680.382719907408</v>
      </c>
      <c r="C729">
        <v>1384.3081055</v>
      </c>
      <c r="D729">
        <v>1369.8917236</v>
      </c>
      <c r="E729">
        <v>1290.5112305</v>
      </c>
      <c r="F729">
        <v>1271.4104004000001</v>
      </c>
      <c r="G729">
        <v>80</v>
      </c>
      <c r="H729">
        <v>79.935600281000006</v>
      </c>
      <c r="I729">
        <v>50</v>
      </c>
      <c r="J729">
        <v>48.108184813999998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381.823419</v>
      </c>
      <c r="B730" s="1">
        <f>DATE(2011,5,17) + TIME(19,45,43)</f>
        <v>40680.823414351849</v>
      </c>
      <c r="C730">
        <v>1384.2346190999999</v>
      </c>
      <c r="D730">
        <v>1369.8286132999999</v>
      </c>
      <c r="E730">
        <v>1290.5029297000001</v>
      </c>
      <c r="F730">
        <v>1271.3981934000001</v>
      </c>
      <c r="G730">
        <v>80</v>
      </c>
      <c r="H730">
        <v>79.935592650999993</v>
      </c>
      <c r="I730">
        <v>50</v>
      </c>
      <c r="J730">
        <v>48.066860198999997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382.26865099999998</v>
      </c>
      <c r="B731" s="1">
        <f>DATE(2011,5,18) + TIME(6,26,51)</f>
        <v>40681.268645833334</v>
      </c>
      <c r="C731">
        <v>1384.1618652</v>
      </c>
      <c r="D731">
        <v>1369.7662353999999</v>
      </c>
      <c r="E731">
        <v>1290.4946289</v>
      </c>
      <c r="F731">
        <v>1271.3859863</v>
      </c>
      <c r="G731">
        <v>80</v>
      </c>
      <c r="H731">
        <v>79.935592650999993</v>
      </c>
      <c r="I731">
        <v>50</v>
      </c>
      <c r="J731">
        <v>48.025169372999997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382.71633700000001</v>
      </c>
      <c r="B732" s="1">
        <f>DATE(2011,5,18) + TIME(17,11,31)</f>
        <v>40681.716331018521</v>
      </c>
      <c r="C732">
        <v>1384.0899658000001</v>
      </c>
      <c r="D732">
        <v>1369.7045897999999</v>
      </c>
      <c r="E732">
        <v>1290.4862060999999</v>
      </c>
      <c r="F732">
        <v>1271.3734131000001</v>
      </c>
      <c r="G732">
        <v>80</v>
      </c>
      <c r="H732">
        <v>79.935585021999998</v>
      </c>
      <c r="I732">
        <v>50</v>
      </c>
      <c r="J732">
        <v>47.983295441000003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383.16765400000003</v>
      </c>
      <c r="B733" s="1">
        <f>DATE(2011,5,19) + TIME(4,1,25)</f>
        <v>40682.167650462965</v>
      </c>
      <c r="C733">
        <v>1384.0191649999999</v>
      </c>
      <c r="D733">
        <v>1369.644043</v>
      </c>
      <c r="E733">
        <v>1290.4776611</v>
      </c>
      <c r="F733">
        <v>1271.3608397999999</v>
      </c>
      <c r="G733">
        <v>80</v>
      </c>
      <c r="H733">
        <v>79.935577393000003</v>
      </c>
      <c r="I733">
        <v>50</v>
      </c>
      <c r="J733">
        <v>47.941230773999997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383.623603</v>
      </c>
      <c r="B734" s="1">
        <f>DATE(2011,5,19) + TIME(14,57,59)</f>
        <v>40682.623599537037</v>
      </c>
      <c r="C734">
        <v>1383.9494629000001</v>
      </c>
      <c r="D734">
        <v>1369.5842285000001</v>
      </c>
      <c r="E734">
        <v>1290.4689940999999</v>
      </c>
      <c r="F734">
        <v>1271.3480225000001</v>
      </c>
      <c r="G734">
        <v>80</v>
      </c>
      <c r="H734">
        <v>79.935577393000003</v>
      </c>
      <c r="I734">
        <v>50</v>
      </c>
      <c r="J734">
        <v>47.898944855000003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384.08532300000002</v>
      </c>
      <c r="B735" s="1">
        <f>DATE(2011,5,20) + TIME(2,2,51)</f>
        <v>40683.085312499999</v>
      </c>
      <c r="C735">
        <v>1383.8803711</v>
      </c>
      <c r="D735">
        <v>1369.5252685999999</v>
      </c>
      <c r="E735">
        <v>1290.4603271000001</v>
      </c>
      <c r="F735">
        <v>1271.3350829999999</v>
      </c>
      <c r="G735">
        <v>80</v>
      </c>
      <c r="H735">
        <v>79.935569763000004</v>
      </c>
      <c r="I735">
        <v>50</v>
      </c>
      <c r="J735">
        <v>47.856380463000001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384.55398300000002</v>
      </c>
      <c r="B736" s="1">
        <f>DATE(2011,5,20) + TIME(13,17,44)</f>
        <v>40683.553981481484</v>
      </c>
      <c r="C736">
        <v>1383.8118896000001</v>
      </c>
      <c r="D736">
        <v>1369.4666748</v>
      </c>
      <c r="E736">
        <v>1290.4514160000001</v>
      </c>
      <c r="F736">
        <v>1271.3218993999999</v>
      </c>
      <c r="G736">
        <v>80</v>
      </c>
      <c r="H736">
        <v>79.935562133999994</v>
      </c>
      <c r="I736">
        <v>50</v>
      </c>
      <c r="J736">
        <v>47.813465118000003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385.03081200000003</v>
      </c>
      <c r="B737" s="1">
        <f>DATE(2011,5,21) + TIME(0,44,22)</f>
        <v>40684.030810185184</v>
      </c>
      <c r="C737">
        <v>1383.7437743999999</v>
      </c>
      <c r="D737">
        <v>1369.4084473</v>
      </c>
      <c r="E737">
        <v>1290.4423827999999</v>
      </c>
      <c r="F737">
        <v>1271.3084716999999</v>
      </c>
      <c r="G737">
        <v>80</v>
      </c>
      <c r="H737">
        <v>79.935554503999995</v>
      </c>
      <c r="I737">
        <v>50</v>
      </c>
      <c r="J737">
        <v>47.770114898999999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385.51712199999997</v>
      </c>
      <c r="B738" s="1">
        <f>DATE(2011,5,21) + TIME(12,24,39)</f>
        <v>40684.517118055555</v>
      </c>
      <c r="C738">
        <v>1383.6759033000001</v>
      </c>
      <c r="D738">
        <v>1369.3504639</v>
      </c>
      <c r="E738">
        <v>1290.4332274999999</v>
      </c>
      <c r="F738">
        <v>1271.2946777</v>
      </c>
      <c r="G738">
        <v>80</v>
      </c>
      <c r="H738">
        <v>79.935554503999995</v>
      </c>
      <c r="I738">
        <v>50</v>
      </c>
      <c r="J738">
        <v>47.726230620999999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386.01432999999997</v>
      </c>
      <c r="B739" s="1">
        <f>DATE(2011,5,22) + TIME(0,20,38)</f>
        <v>40685.014328703706</v>
      </c>
      <c r="C739">
        <v>1383.6080322</v>
      </c>
      <c r="D739">
        <v>1369.2924805</v>
      </c>
      <c r="E739">
        <v>1290.4237060999999</v>
      </c>
      <c r="F739">
        <v>1271.2806396000001</v>
      </c>
      <c r="G739">
        <v>80</v>
      </c>
      <c r="H739">
        <v>79.935546875</v>
      </c>
      <c r="I739">
        <v>50</v>
      </c>
      <c r="J739">
        <v>47.681709290000001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386.52397999999999</v>
      </c>
      <c r="B740" s="1">
        <f>DATE(2011,5,22) + TIME(12,34,31)</f>
        <v>40685.523969907408</v>
      </c>
      <c r="C740">
        <v>1383.5400391000001</v>
      </c>
      <c r="D740">
        <v>1369.234375</v>
      </c>
      <c r="E740">
        <v>1290.4140625</v>
      </c>
      <c r="F740">
        <v>1271.2661132999999</v>
      </c>
      <c r="G740">
        <v>80</v>
      </c>
      <c r="H740">
        <v>79.935539246000005</v>
      </c>
      <c r="I740">
        <v>50</v>
      </c>
      <c r="J740">
        <v>47.636436461999999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387.04778099999999</v>
      </c>
      <c r="B741" s="1">
        <f>DATE(2011,5,23) + TIME(1,8,48)</f>
        <v>40686.047777777778</v>
      </c>
      <c r="C741">
        <v>1383.4716797000001</v>
      </c>
      <c r="D741">
        <v>1369.1761475000001</v>
      </c>
      <c r="E741">
        <v>1290.4040527</v>
      </c>
      <c r="F741">
        <v>1271.2512207</v>
      </c>
      <c r="G741">
        <v>80</v>
      </c>
      <c r="H741">
        <v>79.935539246000005</v>
      </c>
      <c r="I741">
        <v>50</v>
      </c>
      <c r="J741">
        <v>47.590286255000002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387.58770800000002</v>
      </c>
      <c r="B742" s="1">
        <f>DATE(2011,5,23) + TIME(14,6,17)</f>
        <v>40686.587696759256</v>
      </c>
      <c r="C742">
        <v>1383.402832</v>
      </c>
      <c r="D742">
        <v>1369.1173096</v>
      </c>
      <c r="E742">
        <v>1290.3937988</v>
      </c>
      <c r="F742">
        <v>1271.2357178</v>
      </c>
      <c r="G742">
        <v>80</v>
      </c>
      <c r="H742">
        <v>79.935531616000006</v>
      </c>
      <c r="I742">
        <v>50</v>
      </c>
      <c r="J742">
        <v>47.543117522999999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388.14615900000001</v>
      </c>
      <c r="B743" s="1">
        <f>DATE(2011,5,24) + TIME(3,30,28)</f>
        <v>40687.146157407406</v>
      </c>
      <c r="C743">
        <v>1383.3332519999999</v>
      </c>
      <c r="D743">
        <v>1369.0579834</v>
      </c>
      <c r="E743">
        <v>1290.3830565999999</v>
      </c>
      <c r="F743">
        <v>1271.2197266000001</v>
      </c>
      <c r="G743">
        <v>80</v>
      </c>
      <c r="H743">
        <v>79.935531616000006</v>
      </c>
      <c r="I743">
        <v>50</v>
      </c>
      <c r="J743">
        <v>47.494762420999997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388.72115100000002</v>
      </c>
      <c r="B744" s="1">
        <f>DATE(2011,5,24) + TIME(17,18,27)</f>
        <v>40687.721145833333</v>
      </c>
      <c r="C744">
        <v>1383.2626952999999</v>
      </c>
      <c r="D744">
        <v>1368.9979248</v>
      </c>
      <c r="E744">
        <v>1290.3719481999999</v>
      </c>
      <c r="F744">
        <v>1271.2030029</v>
      </c>
      <c r="G744">
        <v>80</v>
      </c>
      <c r="H744">
        <v>79.935531616000006</v>
      </c>
      <c r="I744">
        <v>50</v>
      </c>
      <c r="J744">
        <v>47.445274353000002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389.29913699999997</v>
      </c>
      <c r="B745" s="1">
        <f>DATE(2011,5,25) + TIME(7,10,45)</f>
        <v>40688.299131944441</v>
      </c>
      <c r="C745">
        <v>1383.1915283000001</v>
      </c>
      <c r="D745">
        <v>1368.9372559000001</v>
      </c>
      <c r="E745">
        <v>1290.3603516000001</v>
      </c>
      <c r="F745">
        <v>1271.1857910000001</v>
      </c>
      <c r="G745">
        <v>80</v>
      </c>
      <c r="H745">
        <v>79.935531616000006</v>
      </c>
      <c r="I745">
        <v>50</v>
      </c>
      <c r="J745">
        <v>47.395355225000003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389.88093400000002</v>
      </c>
      <c r="B746" s="1">
        <f>DATE(2011,5,25) + TIME(21,8,32)</f>
        <v>40688.880925925929</v>
      </c>
      <c r="C746">
        <v>1383.1213379000001</v>
      </c>
      <c r="D746">
        <v>1368.8774414</v>
      </c>
      <c r="E746">
        <v>1290.3486327999999</v>
      </c>
      <c r="F746">
        <v>1271.1683350000001</v>
      </c>
      <c r="G746">
        <v>80</v>
      </c>
      <c r="H746">
        <v>79.935523986999996</v>
      </c>
      <c r="I746">
        <v>50</v>
      </c>
      <c r="J746">
        <v>47.345138550000001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390.467962</v>
      </c>
      <c r="B747" s="1">
        <f>DATE(2011,5,26) + TIME(11,13,51)</f>
        <v>40689.467951388891</v>
      </c>
      <c r="C747">
        <v>1383.052124</v>
      </c>
      <c r="D747">
        <v>1368.8184814000001</v>
      </c>
      <c r="E747">
        <v>1290.3366699000001</v>
      </c>
      <c r="F747">
        <v>1271.1505127</v>
      </c>
      <c r="G747">
        <v>80</v>
      </c>
      <c r="H747">
        <v>79.935523986999996</v>
      </c>
      <c r="I747">
        <v>50</v>
      </c>
      <c r="J747">
        <v>47.294662475999999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391.06172199999997</v>
      </c>
      <c r="B748" s="1">
        <f>DATE(2011,5,27) + TIME(1,28,52)</f>
        <v>40690.061712962961</v>
      </c>
      <c r="C748">
        <v>1382.9836425999999</v>
      </c>
      <c r="D748">
        <v>1368.7600098</v>
      </c>
      <c r="E748">
        <v>1290.324707</v>
      </c>
      <c r="F748">
        <v>1271.1324463000001</v>
      </c>
      <c r="G748">
        <v>80</v>
      </c>
      <c r="H748">
        <v>79.935523986999996</v>
      </c>
      <c r="I748">
        <v>50</v>
      </c>
      <c r="J748">
        <v>47.243885040000002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391.663747</v>
      </c>
      <c r="B749" s="1">
        <f>DATE(2011,5,27) + TIME(15,55,47)</f>
        <v>40690.663738425923</v>
      </c>
      <c r="C749">
        <v>1382.9156493999999</v>
      </c>
      <c r="D749">
        <v>1368.7021483999999</v>
      </c>
      <c r="E749">
        <v>1290.3123779</v>
      </c>
      <c r="F749">
        <v>1271.1140137</v>
      </c>
      <c r="G749">
        <v>80</v>
      </c>
      <c r="H749">
        <v>79.935523986999996</v>
      </c>
      <c r="I749">
        <v>50</v>
      </c>
      <c r="J749">
        <v>47.192741394000002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392.27543200000002</v>
      </c>
      <c r="B750" s="1">
        <f>DATE(2011,5,28) + TIME(6,36,37)</f>
        <v>40691.27542824074</v>
      </c>
      <c r="C750">
        <v>1382.8480225000001</v>
      </c>
      <c r="D750">
        <v>1368.6445312000001</v>
      </c>
      <c r="E750">
        <v>1290.2999268000001</v>
      </c>
      <c r="F750">
        <v>1271.0950928</v>
      </c>
      <c r="G750">
        <v>80</v>
      </c>
      <c r="H750">
        <v>79.935531616000006</v>
      </c>
      <c r="I750">
        <v>50</v>
      </c>
      <c r="J750">
        <v>47.141139983999999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392.89732800000002</v>
      </c>
      <c r="B751" s="1">
        <f>DATE(2011,5,28) + TIME(21,32,9)</f>
        <v>40691.897326388891</v>
      </c>
      <c r="C751">
        <v>1382.7805175999999</v>
      </c>
      <c r="D751">
        <v>1368.5870361</v>
      </c>
      <c r="E751">
        <v>1290.2871094</v>
      </c>
      <c r="F751">
        <v>1271.0756836</v>
      </c>
      <c r="G751">
        <v>80</v>
      </c>
      <c r="H751">
        <v>79.935531616000006</v>
      </c>
      <c r="I751">
        <v>50</v>
      </c>
      <c r="J751">
        <v>47.089031218999999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393.53130199999998</v>
      </c>
      <c r="B752" s="1">
        <f>DATE(2011,5,29) + TIME(12,45,4)</f>
        <v>40692.5312962963</v>
      </c>
      <c r="C752">
        <v>1382.7132568</v>
      </c>
      <c r="D752">
        <v>1368.5296631000001</v>
      </c>
      <c r="E752">
        <v>1290.2739257999999</v>
      </c>
      <c r="F752">
        <v>1271.0557861</v>
      </c>
      <c r="G752">
        <v>80</v>
      </c>
      <c r="H752">
        <v>79.935531616000006</v>
      </c>
      <c r="I752">
        <v>50</v>
      </c>
      <c r="J752">
        <v>47.036304473999998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394.17915699999998</v>
      </c>
      <c r="B753" s="1">
        <f>DATE(2011,5,30) + TIME(4,17,59)</f>
        <v>40693.179155092592</v>
      </c>
      <c r="C753">
        <v>1382.645874</v>
      </c>
      <c r="D753">
        <v>1368.4722899999999</v>
      </c>
      <c r="E753">
        <v>1290.260376</v>
      </c>
      <c r="F753">
        <v>1271.0354004000001</v>
      </c>
      <c r="G753">
        <v>80</v>
      </c>
      <c r="H753">
        <v>79.935539246000005</v>
      </c>
      <c r="I753">
        <v>50</v>
      </c>
      <c r="J753">
        <v>46.982837676999999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394.83669900000001</v>
      </c>
      <c r="B754" s="1">
        <f>DATE(2011,5,30) + TIME(20,4,50)</f>
        <v>40693.836689814816</v>
      </c>
      <c r="C754">
        <v>1382.5782471</v>
      </c>
      <c r="D754">
        <v>1368.4146728999999</v>
      </c>
      <c r="E754">
        <v>1290.2464600000001</v>
      </c>
      <c r="F754">
        <v>1271.0142822</v>
      </c>
      <c r="G754">
        <v>80</v>
      </c>
      <c r="H754">
        <v>79.935546875</v>
      </c>
      <c r="I754">
        <v>50</v>
      </c>
      <c r="J754">
        <v>46.928787231000001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395.505672</v>
      </c>
      <c r="B755" s="1">
        <f>DATE(2011,5,31) + TIME(12,8,10)</f>
        <v>40694.505671296298</v>
      </c>
      <c r="C755">
        <v>1382.5108643000001</v>
      </c>
      <c r="D755">
        <v>1368.3572998</v>
      </c>
      <c r="E755">
        <v>1290.2321777</v>
      </c>
      <c r="F755">
        <v>1270.9925536999999</v>
      </c>
      <c r="G755">
        <v>80</v>
      </c>
      <c r="H755">
        <v>79.935546875</v>
      </c>
      <c r="I755">
        <v>50</v>
      </c>
      <c r="J755">
        <v>46.874103546000001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396</v>
      </c>
      <c r="B756" s="1">
        <f>DATE(2011,6,1) + TIME(0,0,0)</f>
        <v>40695</v>
      </c>
      <c r="C756">
        <v>1382.4433594</v>
      </c>
      <c r="D756">
        <v>1368.2998047000001</v>
      </c>
      <c r="E756">
        <v>1290.2164307</v>
      </c>
      <c r="F756">
        <v>1270.9711914</v>
      </c>
      <c r="G756">
        <v>80</v>
      </c>
      <c r="H756">
        <v>79.935546875</v>
      </c>
      <c r="I756">
        <v>50</v>
      </c>
      <c r="J756">
        <v>46.828475951999998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396.68217299999998</v>
      </c>
      <c r="B757" s="1">
        <f>DATE(2011,6,1) + TIME(16,22,19)</f>
        <v>40695.682164351849</v>
      </c>
      <c r="C757">
        <v>1382.3944091999999</v>
      </c>
      <c r="D757">
        <v>1368.2580565999999</v>
      </c>
      <c r="E757">
        <v>1290.2067870999999</v>
      </c>
      <c r="F757">
        <v>1270.9530029</v>
      </c>
      <c r="G757">
        <v>80</v>
      </c>
      <c r="H757">
        <v>79.935562133999994</v>
      </c>
      <c r="I757">
        <v>50</v>
      </c>
      <c r="J757">
        <v>46.775363921999997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397.38480099999998</v>
      </c>
      <c r="B758" s="1">
        <f>DATE(2011,6,2) + TIME(9,14,6)</f>
        <v>40696.384791666664</v>
      </c>
      <c r="C758">
        <v>1382.3278809000001</v>
      </c>
      <c r="D758">
        <v>1368.2014160000001</v>
      </c>
      <c r="E758">
        <v>1290.1915283000001</v>
      </c>
      <c r="F758">
        <v>1270.9299315999999</v>
      </c>
      <c r="G758">
        <v>80</v>
      </c>
      <c r="H758">
        <v>79.935569763000004</v>
      </c>
      <c r="I758">
        <v>50</v>
      </c>
      <c r="J758">
        <v>46.720302582000002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398.09268600000001</v>
      </c>
      <c r="B759" s="1">
        <f>DATE(2011,6,3) + TIME(2,13,28)</f>
        <v>40697.092685185184</v>
      </c>
      <c r="C759">
        <v>1382.2604980000001</v>
      </c>
      <c r="D759">
        <v>1368.144043</v>
      </c>
      <c r="E759">
        <v>1290.1756591999999</v>
      </c>
      <c r="F759">
        <v>1270.9058838000001</v>
      </c>
      <c r="G759">
        <v>80</v>
      </c>
      <c r="H759">
        <v>79.935577393000003</v>
      </c>
      <c r="I759">
        <v>50</v>
      </c>
      <c r="J759">
        <v>46.664203643999997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398.80781000000002</v>
      </c>
      <c r="B760" s="1">
        <f>DATE(2011,6,3) + TIME(19,23,14)</f>
        <v>40697.807800925926</v>
      </c>
      <c r="C760">
        <v>1382.1938477000001</v>
      </c>
      <c r="D760">
        <v>1368.0871582</v>
      </c>
      <c r="E760">
        <v>1290.1595459</v>
      </c>
      <c r="F760">
        <v>1270.8812256000001</v>
      </c>
      <c r="G760">
        <v>80</v>
      </c>
      <c r="H760">
        <v>79.935585021999998</v>
      </c>
      <c r="I760">
        <v>50</v>
      </c>
      <c r="J760">
        <v>46.607387543000002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399.532107</v>
      </c>
      <c r="B761" s="1">
        <f>DATE(2011,6,4) + TIME(12,46,14)</f>
        <v>40698.532106481478</v>
      </c>
      <c r="C761">
        <v>1382.1275635</v>
      </c>
      <c r="D761">
        <v>1368.0306396000001</v>
      </c>
      <c r="E761">
        <v>1290.1430664</v>
      </c>
      <c r="F761">
        <v>1270.855957</v>
      </c>
      <c r="G761">
        <v>80</v>
      </c>
      <c r="H761">
        <v>79.935600281000006</v>
      </c>
      <c r="I761">
        <v>50</v>
      </c>
      <c r="J761">
        <v>46.549957274999997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400.26758599999999</v>
      </c>
      <c r="B762" s="1">
        <f>DATE(2011,6,5) + TIME(6,25,19)</f>
        <v>40699.267581018517</v>
      </c>
      <c r="C762">
        <v>1382.0615233999999</v>
      </c>
      <c r="D762">
        <v>1367.9743652</v>
      </c>
      <c r="E762">
        <v>1290.1262207</v>
      </c>
      <c r="F762">
        <v>1270.8299560999999</v>
      </c>
      <c r="G762">
        <v>80</v>
      </c>
      <c r="H762">
        <v>79.935607910000002</v>
      </c>
      <c r="I762">
        <v>50</v>
      </c>
      <c r="J762">
        <v>46.491897582999997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401.01636999999999</v>
      </c>
      <c r="B763" s="1">
        <f>DATE(2011,6,6) + TIME(0,23,34)</f>
        <v>40700.016365740739</v>
      </c>
      <c r="C763">
        <v>1381.9957274999999</v>
      </c>
      <c r="D763">
        <v>1367.9182129000001</v>
      </c>
      <c r="E763">
        <v>1290.1088867000001</v>
      </c>
      <c r="F763">
        <v>1270.8032227000001</v>
      </c>
      <c r="G763">
        <v>80</v>
      </c>
      <c r="H763">
        <v>79.935623168999996</v>
      </c>
      <c r="I763">
        <v>50</v>
      </c>
      <c r="J763">
        <v>46.433139801000003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401.78072100000003</v>
      </c>
      <c r="B764" s="1">
        <f>DATE(2011,6,6) + TIME(18,44,14)</f>
        <v>40700.780717592592</v>
      </c>
      <c r="C764">
        <v>1381.9296875</v>
      </c>
      <c r="D764">
        <v>1367.8619385</v>
      </c>
      <c r="E764">
        <v>1290.0910644999999</v>
      </c>
      <c r="F764">
        <v>1270.7755127</v>
      </c>
      <c r="G764">
        <v>80</v>
      </c>
      <c r="H764">
        <v>79.935638428000004</v>
      </c>
      <c r="I764">
        <v>50</v>
      </c>
      <c r="J764">
        <v>46.373554230000003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402.56309499999998</v>
      </c>
      <c r="B765" s="1">
        <f>DATE(2011,6,7) + TIME(13,30,51)</f>
        <v>40701.563090277778</v>
      </c>
      <c r="C765">
        <v>1381.8635254000001</v>
      </c>
      <c r="D765">
        <v>1367.8054199000001</v>
      </c>
      <c r="E765">
        <v>1290.0727539</v>
      </c>
      <c r="F765">
        <v>1270.7469481999999</v>
      </c>
      <c r="G765">
        <v>80</v>
      </c>
      <c r="H765">
        <v>79.935653686999999</v>
      </c>
      <c r="I765">
        <v>50</v>
      </c>
      <c r="J765">
        <v>46.312995911000002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403.354668</v>
      </c>
      <c r="B766" s="1">
        <f>DATE(2011,6,8) + TIME(8,30,43)</f>
        <v>40702.354664351849</v>
      </c>
      <c r="C766">
        <v>1381.796875</v>
      </c>
      <c r="D766">
        <v>1367.7484131000001</v>
      </c>
      <c r="E766">
        <v>1290.0535889</v>
      </c>
      <c r="F766">
        <v>1270.7171631000001</v>
      </c>
      <c r="G766">
        <v>80</v>
      </c>
      <c r="H766">
        <v>79.935668945000003</v>
      </c>
      <c r="I766">
        <v>50</v>
      </c>
      <c r="J766">
        <v>46.251758574999997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404.15737200000001</v>
      </c>
      <c r="B767" s="1">
        <f>DATE(2011,6,9) + TIME(3,46,36)</f>
        <v>40703.157361111109</v>
      </c>
      <c r="C767">
        <v>1381.7304687999999</v>
      </c>
      <c r="D767">
        <v>1367.6917725000001</v>
      </c>
      <c r="E767">
        <v>1290.0340576000001</v>
      </c>
      <c r="F767">
        <v>1270.6866454999999</v>
      </c>
      <c r="G767">
        <v>80</v>
      </c>
      <c r="H767">
        <v>79.935684203999998</v>
      </c>
      <c r="I767">
        <v>50</v>
      </c>
      <c r="J767">
        <v>46.189872741999999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404.97333300000003</v>
      </c>
      <c r="B768" s="1">
        <f>DATE(2011,6,9) + TIME(23,21,35)</f>
        <v>40703.973321759258</v>
      </c>
      <c r="C768">
        <v>1381.6643065999999</v>
      </c>
      <c r="D768">
        <v>1367.6351318</v>
      </c>
      <c r="E768">
        <v>1290.0140381000001</v>
      </c>
      <c r="F768">
        <v>1270.6551514</v>
      </c>
      <c r="G768">
        <v>80</v>
      </c>
      <c r="H768">
        <v>79.935699463000006</v>
      </c>
      <c r="I768">
        <v>50</v>
      </c>
      <c r="J768">
        <v>46.127288817999997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405.804823</v>
      </c>
      <c r="B769" s="1">
        <f>DATE(2011,6,10) + TIME(19,18,56)</f>
        <v>40704.804814814815</v>
      </c>
      <c r="C769">
        <v>1381.5980225000001</v>
      </c>
      <c r="D769">
        <v>1367.5786132999999</v>
      </c>
      <c r="E769">
        <v>1289.9934082</v>
      </c>
      <c r="F769">
        <v>1270.6225586</v>
      </c>
      <c r="G769">
        <v>80</v>
      </c>
      <c r="H769">
        <v>79.935722350999995</v>
      </c>
      <c r="I769">
        <v>50</v>
      </c>
      <c r="J769">
        <v>46.063888550000001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406.65323999999998</v>
      </c>
      <c r="B770" s="1">
        <f>DATE(2011,6,11) + TIME(15,40,39)</f>
        <v>40705.653229166666</v>
      </c>
      <c r="C770">
        <v>1381.5316161999999</v>
      </c>
      <c r="D770">
        <v>1367.5217285000001</v>
      </c>
      <c r="E770">
        <v>1289.972168</v>
      </c>
      <c r="F770">
        <v>1270.5888672000001</v>
      </c>
      <c r="G770">
        <v>80</v>
      </c>
      <c r="H770">
        <v>79.935745238999999</v>
      </c>
      <c r="I770">
        <v>50</v>
      </c>
      <c r="J770">
        <v>45.999568939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407.509187</v>
      </c>
      <c r="B771" s="1">
        <f>DATE(2011,6,12) + TIME(12,13,13)</f>
        <v>40706.50917824074</v>
      </c>
      <c r="C771">
        <v>1381.4649658000001</v>
      </c>
      <c r="D771">
        <v>1367.4647216999999</v>
      </c>
      <c r="E771">
        <v>1289.9500731999999</v>
      </c>
      <c r="F771">
        <v>1270.5539550999999</v>
      </c>
      <c r="G771">
        <v>80</v>
      </c>
      <c r="H771">
        <v>79.935760497999993</v>
      </c>
      <c r="I771">
        <v>50</v>
      </c>
      <c r="J771">
        <v>45.934642791999998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408.375202</v>
      </c>
      <c r="B772" s="1">
        <f>DATE(2011,6,13) + TIME(9,0,17)</f>
        <v>40707.375196759262</v>
      </c>
      <c r="C772">
        <v>1381.3988036999999</v>
      </c>
      <c r="D772">
        <v>1367.4080810999999</v>
      </c>
      <c r="E772">
        <v>1289.9276123</v>
      </c>
      <c r="F772">
        <v>1270.5181885</v>
      </c>
      <c r="G772">
        <v>80</v>
      </c>
      <c r="H772">
        <v>79.935783385999997</v>
      </c>
      <c r="I772">
        <v>50</v>
      </c>
      <c r="J772">
        <v>45.869148254000002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409.25384300000002</v>
      </c>
      <c r="B773" s="1">
        <f>DATE(2011,6,14) + TIME(6,5,32)</f>
        <v>40708.253842592596</v>
      </c>
      <c r="C773">
        <v>1381.3328856999999</v>
      </c>
      <c r="D773">
        <v>1367.3515625</v>
      </c>
      <c r="E773">
        <v>1289.9045410000001</v>
      </c>
      <c r="F773">
        <v>1270.4812012</v>
      </c>
      <c r="G773">
        <v>80</v>
      </c>
      <c r="H773">
        <v>79.935806274000001</v>
      </c>
      <c r="I773">
        <v>50</v>
      </c>
      <c r="J773">
        <v>45.803020476999997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410.14776899999998</v>
      </c>
      <c r="B774" s="1">
        <f>DATE(2011,6,15) + TIME(3,32,47)</f>
        <v>40709.147766203707</v>
      </c>
      <c r="C774">
        <v>1381.2669678</v>
      </c>
      <c r="D774">
        <v>1367.2951660000001</v>
      </c>
      <c r="E774">
        <v>1289.8808594</v>
      </c>
      <c r="F774">
        <v>1270.4431152</v>
      </c>
      <c r="G774">
        <v>80</v>
      </c>
      <c r="H774">
        <v>79.935829162999994</v>
      </c>
      <c r="I774">
        <v>50</v>
      </c>
      <c r="J774">
        <v>45.736114502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411.05275599999999</v>
      </c>
      <c r="B775" s="1">
        <f>DATE(2011,6,16) + TIME(1,15,58)</f>
        <v>40710.052754629629</v>
      </c>
      <c r="C775">
        <v>1381.2010498</v>
      </c>
      <c r="D775">
        <v>1367.2385254000001</v>
      </c>
      <c r="E775">
        <v>1289.8563231999999</v>
      </c>
      <c r="F775">
        <v>1270.4038086</v>
      </c>
      <c r="G775">
        <v>80</v>
      </c>
      <c r="H775">
        <v>79.935852050999998</v>
      </c>
      <c r="I775">
        <v>50</v>
      </c>
      <c r="J775">
        <v>45.668525696000003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411.96770400000003</v>
      </c>
      <c r="B776" s="1">
        <f>DATE(2011,6,16) + TIME(23,13,29)</f>
        <v>40710.96769675926</v>
      </c>
      <c r="C776">
        <v>1381.1352539</v>
      </c>
      <c r="D776">
        <v>1367.1821289</v>
      </c>
      <c r="E776">
        <v>1289.8312988</v>
      </c>
      <c r="F776">
        <v>1270.3632812000001</v>
      </c>
      <c r="G776">
        <v>80</v>
      </c>
      <c r="H776">
        <v>79.935882567999997</v>
      </c>
      <c r="I776">
        <v>50</v>
      </c>
      <c r="J776">
        <v>45.600334167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412.89493499999998</v>
      </c>
      <c r="B777" s="1">
        <f>DATE(2011,6,17) + TIME(21,28,42)</f>
        <v>40711.894930555558</v>
      </c>
      <c r="C777">
        <v>1381.0698242000001</v>
      </c>
      <c r="D777">
        <v>1367.1258545000001</v>
      </c>
      <c r="E777">
        <v>1289.8055420000001</v>
      </c>
      <c r="F777">
        <v>1270.3215332</v>
      </c>
      <c r="G777">
        <v>80</v>
      </c>
      <c r="H777">
        <v>79.935905457000004</v>
      </c>
      <c r="I777">
        <v>50</v>
      </c>
      <c r="J777">
        <v>45.531490325999997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413.83684199999999</v>
      </c>
      <c r="B778" s="1">
        <f>DATE(2011,6,18) + TIME(20,5,3)</f>
        <v>40712.836840277778</v>
      </c>
      <c r="C778">
        <v>1381.0043945</v>
      </c>
      <c r="D778">
        <v>1367.0697021000001</v>
      </c>
      <c r="E778">
        <v>1289.7791748</v>
      </c>
      <c r="F778">
        <v>1270.2784423999999</v>
      </c>
      <c r="G778">
        <v>80</v>
      </c>
      <c r="H778">
        <v>79.935935974000003</v>
      </c>
      <c r="I778">
        <v>50</v>
      </c>
      <c r="J778">
        <v>45.461887359999999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414.795953</v>
      </c>
      <c r="B779" s="1">
        <f>DATE(2011,6,19) + TIME(19,6,10)</f>
        <v>40713.795949074076</v>
      </c>
      <c r="C779">
        <v>1380.9389647999999</v>
      </c>
      <c r="D779">
        <v>1367.0134277</v>
      </c>
      <c r="E779">
        <v>1289.7520752</v>
      </c>
      <c r="F779">
        <v>1270.2340088000001</v>
      </c>
      <c r="G779">
        <v>80</v>
      </c>
      <c r="H779">
        <v>79.935966492000006</v>
      </c>
      <c r="I779">
        <v>50</v>
      </c>
      <c r="J779">
        <v>45.391368866000001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415.77498500000002</v>
      </c>
      <c r="B780" s="1">
        <f>DATE(2011,6,20) + TIME(18,35,58)</f>
        <v>40714.774976851855</v>
      </c>
      <c r="C780">
        <v>1380.8732910000001</v>
      </c>
      <c r="D780">
        <v>1366.9569091999999</v>
      </c>
      <c r="E780">
        <v>1289.7241211</v>
      </c>
      <c r="F780">
        <v>1270.1878661999999</v>
      </c>
      <c r="G780">
        <v>80</v>
      </c>
      <c r="H780">
        <v>79.935997009000005</v>
      </c>
      <c r="I780">
        <v>50</v>
      </c>
      <c r="J780">
        <v>45.319759369000003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416.77689800000002</v>
      </c>
      <c r="B781" s="1">
        <f>DATE(2011,6,21) + TIME(18,38,43)</f>
        <v>40715.776886574073</v>
      </c>
      <c r="C781">
        <v>1380.807251</v>
      </c>
      <c r="D781">
        <v>1366.9000243999999</v>
      </c>
      <c r="E781">
        <v>1289.6951904</v>
      </c>
      <c r="F781">
        <v>1270.1400146000001</v>
      </c>
      <c r="G781">
        <v>80</v>
      </c>
      <c r="H781">
        <v>79.936027526999993</v>
      </c>
      <c r="I781">
        <v>50</v>
      </c>
      <c r="J781">
        <v>45.246868134000003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417.79842000000002</v>
      </c>
      <c r="B782" s="1">
        <f>DATE(2011,6,22) + TIME(19,9,43)</f>
        <v>40716.798414351855</v>
      </c>
      <c r="C782">
        <v>1380.7406006000001</v>
      </c>
      <c r="D782">
        <v>1366.8426514</v>
      </c>
      <c r="E782">
        <v>1289.6652832</v>
      </c>
      <c r="F782">
        <v>1270.0902100000001</v>
      </c>
      <c r="G782">
        <v>80</v>
      </c>
      <c r="H782">
        <v>79.936065674000005</v>
      </c>
      <c r="I782">
        <v>50</v>
      </c>
      <c r="J782">
        <v>45.172695160000004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418.82329600000003</v>
      </c>
      <c r="B783" s="1">
        <f>DATE(2011,6,23) + TIME(19,45,32)</f>
        <v>40717.823287037034</v>
      </c>
      <c r="C783">
        <v>1380.6737060999999</v>
      </c>
      <c r="D783">
        <v>1366.7849120999999</v>
      </c>
      <c r="E783">
        <v>1289.6342772999999</v>
      </c>
      <c r="F783">
        <v>1270.0386963000001</v>
      </c>
      <c r="G783">
        <v>80</v>
      </c>
      <c r="H783">
        <v>79.936096191000004</v>
      </c>
      <c r="I783">
        <v>50</v>
      </c>
      <c r="J783">
        <v>45.097808837999999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419.853386</v>
      </c>
      <c r="B784" s="1">
        <f>DATE(2011,6,24) + TIME(20,28,52)</f>
        <v>40718.853379629632</v>
      </c>
      <c r="C784">
        <v>1380.6075439000001</v>
      </c>
      <c r="D784">
        <v>1366.7277832</v>
      </c>
      <c r="E784">
        <v>1289.6029053</v>
      </c>
      <c r="F784">
        <v>1269.9858397999999</v>
      </c>
      <c r="G784">
        <v>80</v>
      </c>
      <c r="H784">
        <v>79.936126709000007</v>
      </c>
      <c r="I784">
        <v>50</v>
      </c>
      <c r="J784">
        <v>45.02249527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420.890919</v>
      </c>
      <c r="B785" s="1">
        <f>DATE(2011,6,25) + TIME(21,22,55)</f>
        <v>40719.890914351854</v>
      </c>
      <c r="C785">
        <v>1380.5418701000001</v>
      </c>
      <c r="D785">
        <v>1366.6710204999999</v>
      </c>
      <c r="E785">
        <v>1289.5709228999999</v>
      </c>
      <c r="F785">
        <v>1269.9318848</v>
      </c>
      <c r="G785">
        <v>80</v>
      </c>
      <c r="H785">
        <v>79.936164856000005</v>
      </c>
      <c r="I785">
        <v>50</v>
      </c>
      <c r="J785">
        <v>44.946800232000001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421.93852700000002</v>
      </c>
      <c r="B786" s="1">
        <f>DATE(2011,6,26) + TIME(22,31,28)</f>
        <v>40720.938518518517</v>
      </c>
      <c r="C786">
        <v>1380.4766846</v>
      </c>
      <c r="D786">
        <v>1366.6147461</v>
      </c>
      <c r="E786">
        <v>1289.5383300999999</v>
      </c>
      <c r="F786">
        <v>1269.8765868999999</v>
      </c>
      <c r="G786">
        <v>80</v>
      </c>
      <c r="H786">
        <v>79.936203003000003</v>
      </c>
      <c r="I786">
        <v>50</v>
      </c>
      <c r="J786">
        <v>44.870647429999998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422.99890299999998</v>
      </c>
      <c r="B787" s="1">
        <f>DATE(2011,6,27) + TIME(23,58,25)</f>
        <v>40721.998900462961</v>
      </c>
      <c r="C787">
        <v>1380.4118652</v>
      </c>
      <c r="D787">
        <v>1366.5584716999999</v>
      </c>
      <c r="E787">
        <v>1289.5051269999999</v>
      </c>
      <c r="F787">
        <v>1269.8198242000001</v>
      </c>
      <c r="G787">
        <v>80</v>
      </c>
      <c r="H787">
        <v>79.936241150000001</v>
      </c>
      <c r="I787">
        <v>50</v>
      </c>
      <c r="J787">
        <v>44.793903350999997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424.074862</v>
      </c>
      <c r="B788" s="1">
        <f>DATE(2011,6,29) + TIME(1,47,48)</f>
        <v>40723.074861111112</v>
      </c>
      <c r="C788">
        <v>1380.3470459</v>
      </c>
      <c r="D788">
        <v>1366.5023193</v>
      </c>
      <c r="E788">
        <v>1289.4711914</v>
      </c>
      <c r="F788">
        <v>1269.7614745999999</v>
      </c>
      <c r="G788">
        <v>80</v>
      </c>
      <c r="H788">
        <v>79.936279296999999</v>
      </c>
      <c r="I788">
        <v>50</v>
      </c>
      <c r="J788">
        <v>44.716400145999998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425.16936900000002</v>
      </c>
      <c r="B789" s="1">
        <f>DATE(2011,6,30) + TIME(4,3,53)</f>
        <v>40724.169363425928</v>
      </c>
      <c r="C789">
        <v>1380.2821045000001</v>
      </c>
      <c r="D789">
        <v>1366.4460449000001</v>
      </c>
      <c r="E789">
        <v>1289.4364014</v>
      </c>
      <c r="F789">
        <v>1269.7014160000001</v>
      </c>
      <c r="G789">
        <v>80</v>
      </c>
      <c r="H789">
        <v>79.936317443999997</v>
      </c>
      <c r="I789">
        <v>50</v>
      </c>
      <c r="J789">
        <v>44.637958527000002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426</v>
      </c>
      <c r="B790" s="1">
        <f>DATE(2011,7,1) + TIME(0,0,0)</f>
        <v>40725</v>
      </c>
      <c r="C790">
        <v>1380.2167969</v>
      </c>
      <c r="D790">
        <v>1366.3894043</v>
      </c>
      <c r="E790">
        <v>1289.4003906</v>
      </c>
      <c r="F790">
        <v>1269.6419678</v>
      </c>
      <c r="G790">
        <v>80</v>
      </c>
      <c r="H790">
        <v>79.936340332</v>
      </c>
      <c r="I790">
        <v>50</v>
      </c>
      <c r="J790">
        <v>44.568950653000002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427.11621600000001</v>
      </c>
      <c r="B791" s="1">
        <f>DATE(2011,7,2) + TIME(2,47,21)</f>
        <v>40726.116215277776</v>
      </c>
      <c r="C791">
        <v>1380.1679687999999</v>
      </c>
      <c r="D791">
        <v>1366.3469238</v>
      </c>
      <c r="E791">
        <v>1289.3731689000001</v>
      </c>
      <c r="F791">
        <v>1269.5898437999999</v>
      </c>
      <c r="G791">
        <v>80</v>
      </c>
      <c r="H791">
        <v>79.936386107999994</v>
      </c>
      <c r="I791">
        <v>50</v>
      </c>
      <c r="J791">
        <v>44.494396209999998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428.27899400000001</v>
      </c>
      <c r="B792" s="1">
        <f>DATE(2011,7,3) + TIME(6,41,45)</f>
        <v>40727.278993055559</v>
      </c>
      <c r="C792">
        <v>1380.1031493999999</v>
      </c>
      <c r="D792">
        <v>1366.2906493999999</v>
      </c>
      <c r="E792">
        <v>1289.3366699000001</v>
      </c>
      <c r="F792">
        <v>1269.5257568</v>
      </c>
      <c r="G792">
        <v>80</v>
      </c>
      <c r="H792">
        <v>79.936439514</v>
      </c>
      <c r="I792">
        <v>50</v>
      </c>
      <c r="J792">
        <v>44.415225982999999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429.46376299999997</v>
      </c>
      <c r="B793" s="1">
        <f>DATE(2011,7,4) + TIME(11,7,49)</f>
        <v>40728.463761574072</v>
      </c>
      <c r="C793">
        <v>1380.0363769999999</v>
      </c>
      <c r="D793">
        <v>1366.2324219</v>
      </c>
      <c r="E793">
        <v>1289.2980957</v>
      </c>
      <c r="F793">
        <v>1269.4580077999999</v>
      </c>
      <c r="G793">
        <v>80</v>
      </c>
      <c r="H793">
        <v>79.936485290999997</v>
      </c>
      <c r="I793">
        <v>50</v>
      </c>
      <c r="J793">
        <v>44.333045959000003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430.65249699999998</v>
      </c>
      <c r="B794" s="1">
        <f>DATE(2011,7,5) + TIME(15,39,35)</f>
        <v>40729.652488425927</v>
      </c>
      <c r="C794">
        <v>1379.9691161999999</v>
      </c>
      <c r="D794">
        <v>1366.1739502</v>
      </c>
      <c r="E794">
        <v>1289.2586670000001</v>
      </c>
      <c r="F794">
        <v>1269.3879394999999</v>
      </c>
      <c r="G794">
        <v>80</v>
      </c>
      <c r="H794">
        <v>79.936531067000004</v>
      </c>
      <c r="I794">
        <v>50</v>
      </c>
      <c r="J794">
        <v>44.249435425000001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431.84781199999998</v>
      </c>
      <c r="B795" s="1">
        <f>DATE(2011,7,6) + TIME(20,20,50)</f>
        <v>40730.847800925927</v>
      </c>
      <c r="C795">
        <v>1379.9024658000001</v>
      </c>
      <c r="D795">
        <v>1366.1158447</v>
      </c>
      <c r="E795">
        <v>1289.2188721</v>
      </c>
      <c r="F795">
        <v>1269.3165283000001</v>
      </c>
      <c r="G795">
        <v>80</v>
      </c>
      <c r="H795">
        <v>79.936576842999997</v>
      </c>
      <c r="I795">
        <v>50</v>
      </c>
      <c r="J795">
        <v>44.165237427000001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433.05309999999997</v>
      </c>
      <c r="B796" s="1">
        <f>DATE(2011,7,8) + TIME(1,16,27)</f>
        <v>40732.053090277775</v>
      </c>
      <c r="C796">
        <v>1379.8363036999999</v>
      </c>
      <c r="D796">
        <v>1366.0581055</v>
      </c>
      <c r="E796">
        <v>1289.1788329999999</v>
      </c>
      <c r="F796">
        <v>1269.2437743999999</v>
      </c>
      <c r="G796">
        <v>80</v>
      </c>
      <c r="H796">
        <v>79.936622619999994</v>
      </c>
      <c r="I796">
        <v>50</v>
      </c>
      <c r="J796">
        <v>44.080741881999998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434.271635</v>
      </c>
      <c r="B797" s="1">
        <f>DATE(2011,7,9) + TIME(6,31,9)</f>
        <v>40733.271631944444</v>
      </c>
      <c r="C797">
        <v>1379.7703856999999</v>
      </c>
      <c r="D797">
        <v>1366.0004882999999</v>
      </c>
      <c r="E797">
        <v>1289.1383057</v>
      </c>
      <c r="F797">
        <v>1269.1696777</v>
      </c>
      <c r="G797">
        <v>80</v>
      </c>
      <c r="H797">
        <v>79.936676024999997</v>
      </c>
      <c r="I797">
        <v>50</v>
      </c>
      <c r="J797">
        <v>43.995994568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435.506799</v>
      </c>
      <c r="B798" s="1">
        <f>DATE(2011,7,10) + TIME(12,9,47)</f>
        <v>40734.506793981483</v>
      </c>
      <c r="C798">
        <v>1379.7045897999999</v>
      </c>
      <c r="D798">
        <v>1365.942749</v>
      </c>
      <c r="E798">
        <v>1289.0975341999999</v>
      </c>
      <c r="F798">
        <v>1269.0943603999999</v>
      </c>
      <c r="G798">
        <v>80</v>
      </c>
      <c r="H798">
        <v>79.936721801999994</v>
      </c>
      <c r="I798">
        <v>50</v>
      </c>
      <c r="J798">
        <v>43.910968781000001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436.76215000000002</v>
      </c>
      <c r="B799" s="1">
        <f>DATE(2011,7,11) + TIME(18,17,29)</f>
        <v>40735.762141203704</v>
      </c>
      <c r="C799">
        <v>1379.6385498</v>
      </c>
      <c r="D799">
        <v>1365.8850098</v>
      </c>
      <c r="E799">
        <v>1289.0562743999999</v>
      </c>
      <c r="F799">
        <v>1269.0174560999999</v>
      </c>
      <c r="G799">
        <v>80</v>
      </c>
      <c r="H799">
        <v>79.936775208</v>
      </c>
      <c r="I799">
        <v>50</v>
      </c>
      <c r="J799">
        <v>43.825599670000003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438.04146400000002</v>
      </c>
      <c r="B800" s="1">
        <f>DATE(2011,7,13) + TIME(0,59,42)</f>
        <v>40737.041458333333</v>
      </c>
      <c r="C800">
        <v>1379.5722656</v>
      </c>
      <c r="D800">
        <v>1365.8267822</v>
      </c>
      <c r="E800">
        <v>1289.0146483999999</v>
      </c>
      <c r="F800">
        <v>1268.9390868999999</v>
      </c>
      <c r="G800">
        <v>80</v>
      </c>
      <c r="H800">
        <v>79.936828613000003</v>
      </c>
      <c r="I800">
        <v>50</v>
      </c>
      <c r="J800">
        <v>43.739845275999997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439.34883600000001</v>
      </c>
      <c r="B801" s="1">
        <f>DATE(2011,7,14) + TIME(8,22,19)</f>
        <v>40738.34883101852</v>
      </c>
      <c r="C801">
        <v>1379.5053711</v>
      </c>
      <c r="D801">
        <v>1365.7680664</v>
      </c>
      <c r="E801">
        <v>1288.9725341999999</v>
      </c>
      <c r="F801">
        <v>1268.8590088000001</v>
      </c>
      <c r="G801">
        <v>80</v>
      </c>
      <c r="H801">
        <v>79.936882018999995</v>
      </c>
      <c r="I801">
        <v>50</v>
      </c>
      <c r="J801">
        <v>43.653671265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440.678786</v>
      </c>
      <c r="B802" s="1">
        <f>DATE(2011,7,15) + TIME(16,17,27)</f>
        <v>40739.678784722222</v>
      </c>
      <c r="C802">
        <v>1379.4378661999999</v>
      </c>
      <c r="D802">
        <v>1365.7087402</v>
      </c>
      <c r="E802">
        <v>1288.9300536999999</v>
      </c>
      <c r="F802">
        <v>1268.7773437999999</v>
      </c>
      <c r="G802">
        <v>80</v>
      </c>
      <c r="H802">
        <v>79.936943053999997</v>
      </c>
      <c r="I802">
        <v>50</v>
      </c>
      <c r="J802">
        <v>43.567344665999997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442.02521100000001</v>
      </c>
      <c r="B803" s="1">
        <f>DATE(2011,7,17) + TIME(0,36,18)</f>
        <v>40741.025208333333</v>
      </c>
      <c r="C803">
        <v>1379.3698730000001</v>
      </c>
      <c r="D803">
        <v>1365.6488036999999</v>
      </c>
      <c r="E803">
        <v>1288.8874512</v>
      </c>
      <c r="F803">
        <v>1268.6945800999999</v>
      </c>
      <c r="G803">
        <v>80</v>
      </c>
      <c r="H803">
        <v>79.936996460000003</v>
      </c>
      <c r="I803">
        <v>50</v>
      </c>
      <c r="J803">
        <v>43.481407165999997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443.39188000000001</v>
      </c>
      <c r="B804" s="1">
        <f>DATE(2011,7,18) + TIME(9,24,18)</f>
        <v>40742.391875000001</v>
      </c>
      <c r="C804">
        <v>1379.3017577999999</v>
      </c>
      <c r="D804">
        <v>1365.5887451000001</v>
      </c>
      <c r="E804">
        <v>1288.8450928</v>
      </c>
      <c r="F804">
        <v>1268.6112060999999</v>
      </c>
      <c r="G804">
        <v>80</v>
      </c>
      <c r="H804">
        <v>79.937057495000005</v>
      </c>
      <c r="I804">
        <v>50</v>
      </c>
      <c r="J804">
        <v>43.396297455000003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444.77022899999997</v>
      </c>
      <c r="B805" s="1">
        <f>DATE(2011,7,19) + TIME(18,29,7)</f>
        <v>40743.770219907405</v>
      </c>
      <c r="C805">
        <v>1379.2332764</v>
      </c>
      <c r="D805">
        <v>1365.5283202999999</v>
      </c>
      <c r="E805">
        <v>1288.8031006000001</v>
      </c>
      <c r="F805">
        <v>1268.5274658000001</v>
      </c>
      <c r="G805">
        <v>80</v>
      </c>
      <c r="H805">
        <v>79.937118530000006</v>
      </c>
      <c r="I805">
        <v>50</v>
      </c>
      <c r="J805">
        <v>43.312618256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446.16066899999998</v>
      </c>
      <c r="B806" s="1">
        <f>DATE(2011,7,21) + TIME(3,51,21)</f>
        <v>40745.16065972222</v>
      </c>
      <c r="C806">
        <v>1379.1649170000001</v>
      </c>
      <c r="D806">
        <v>1365.4678954999999</v>
      </c>
      <c r="E806">
        <v>1288.7618408000001</v>
      </c>
      <c r="F806">
        <v>1268.4442139</v>
      </c>
      <c r="G806">
        <v>80</v>
      </c>
      <c r="H806">
        <v>79.937179564999994</v>
      </c>
      <c r="I806">
        <v>50</v>
      </c>
      <c r="J806">
        <v>43.231002808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447.56679700000001</v>
      </c>
      <c r="B807" s="1">
        <f>DATE(2011,7,22) + TIME(13,36,11)</f>
        <v>40746.566793981481</v>
      </c>
      <c r="C807">
        <v>1379.0966797000001</v>
      </c>
      <c r="D807">
        <v>1365.4074707</v>
      </c>
      <c r="E807">
        <v>1288.7215576000001</v>
      </c>
      <c r="F807">
        <v>1268.3615723</v>
      </c>
      <c r="G807">
        <v>80</v>
      </c>
      <c r="H807">
        <v>79.937240600999999</v>
      </c>
      <c r="I807">
        <v>50</v>
      </c>
      <c r="J807">
        <v>43.151950835999997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448.99236400000001</v>
      </c>
      <c r="B808" s="1">
        <f>DATE(2011,7,23) + TIME(23,49,0)</f>
        <v>40747.992361111108</v>
      </c>
      <c r="C808">
        <v>1379.0283202999999</v>
      </c>
      <c r="D808">
        <v>1365.3468018000001</v>
      </c>
      <c r="E808">
        <v>1288.6824951000001</v>
      </c>
      <c r="F808">
        <v>1268.2799072</v>
      </c>
      <c r="G808">
        <v>80</v>
      </c>
      <c r="H808">
        <v>79.937301636000001</v>
      </c>
      <c r="I808">
        <v>50</v>
      </c>
      <c r="J808">
        <v>43.075912475999999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450.441303</v>
      </c>
      <c r="B809" s="1">
        <f>DATE(2011,7,25) + TIME(10,35,28)</f>
        <v>40749.441296296296</v>
      </c>
      <c r="C809">
        <v>1378.9595947</v>
      </c>
      <c r="D809">
        <v>1365.2857666</v>
      </c>
      <c r="E809">
        <v>1288.6446533000001</v>
      </c>
      <c r="F809">
        <v>1268.1994629000001</v>
      </c>
      <c r="G809">
        <v>80</v>
      </c>
      <c r="H809">
        <v>79.937362671000002</v>
      </c>
      <c r="I809">
        <v>50</v>
      </c>
      <c r="J809">
        <v>43.003402710000003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451.91781700000001</v>
      </c>
      <c r="B810" s="1">
        <f>DATE(2011,7,26) + TIME(22,1,39)</f>
        <v>40750.917812500003</v>
      </c>
      <c r="C810">
        <v>1378.8903809000001</v>
      </c>
      <c r="D810">
        <v>1365.2242432</v>
      </c>
      <c r="E810">
        <v>1288.6082764</v>
      </c>
      <c r="F810">
        <v>1268.1206055</v>
      </c>
      <c r="G810">
        <v>80</v>
      </c>
      <c r="H810">
        <v>79.937431334999999</v>
      </c>
      <c r="I810">
        <v>50</v>
      </c>
      <c r="J810">
        <v>42.935050963999998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453.41030799999999</v>
      </c>
      <c r="B811" s="1">
        <f>DATE(2011,7,28) + TIME(9,50,50)</f>
        <v>40752.410300925927</v>
      </c>
      <c r="C811">
        <v>1378.8205565999999</v>
      </c>
      <c r="D811">
        <v>1365.1619873</v>
      </c>
      <c r="E811">
        <v>1288.5736084</v>
      </c>
      <c r="F811">
        <v>1268.0439452999999</v>
      </c>
      <c r="G811">
        <v>80</v>
      </c>
      <c r="H811">
        <v>79.9375</v>
      </c>
      <c r="I811">
        <v>50</v>
      </c>
      <c r="J811">
        <v>42.871879577999998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454.916043</v>
      </c>
      <c r="B812" s="1">
        <f>DATE(2011,7,29) + TIME(21,59,6)</f>
        <v>40753.916041666664</v>
      </c>
      <c r="C812">
        <v>1378.7504882999999</v>
      </c>
      <c r="D812">
        <v>1365.0996094</v>
      </c>
      <c r="E812">
        <v>1288.5412598</v>
      </c>
      <c r="F812">
        <v>1267.9703368999999</v>
      </c>
      <c r="G812">
        <v>80</v>
      </c>
      <c r="H812">
        <v>79.937568665000001</v>
      </c>
      <c r="I812">
        <v>50</v>
      </c>
      <c r="J812">
        <v>42.815052031999997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456.43974500000002</v>
      </c>
      <c r="B813" s="1">
        <f>DATE(2011,7,31) + TIME(10,33,13)</f>
        <v>40755.439733796295</v>
      </c>
      <c r="C813">
        <v>1378.6805420000001</v>
      </c>
      <c r="D813">
        <v>1365.0369873</v>
      </c>
      <c r="E813">
        <v>1288.5113524999999</v>
      </c>
      <c r="F813">
        <v>1267.9005127</v>
      </c>
      <c r="G813">
        <v>80</v>
      </c>
      <c r="H813">
        <v>79.937637328999998</v>
      </c>
      <c r="I813">
        <v>50</v>
      </c>
      <c r="J813">
        <v>42.765602112000003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457</v>
      </c>
      <c r="B814" s="1">
        <f>DATE(2011,8,1) + TIME(0,0,0)</f>
        <v>40756</v>
      </c>
      <c r="C814">
        <v>1378.6103516000001</v>
      </c>
      <c r="D814">
        <v>1364.9742432</v>
      </c>
      <c r="E814">
        <v>1288.4881591999999</v>
      </c>
      <c r="F814">
        <v>1267.847168</v>
      </c>
      <c r="G814">
        <v>80</v>
      </c>
      <c r="H814">
        <v>79.937652588000006</v>
      </c>
      <c r="I814">
        <v>50</v>
      </c>
      <c r="J814">
        <v>42.740531920999999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458.54626500000001</v>
      </c>
      <c r="B815" s="1">
        <f>DATE(2011,8,2) + TIME(13,6,37)</f>
        <v>40757.546261574076</v>
      </c>
      <c r="C815">
        <v>1378.5843506000001</v>
      </c>
      <c r="D815">
        <v>1364.9508057</v>
      </c>
      <c r="E815">
        <v>1288.4735106999999</v>
      </c>
      <c r="F815">
        <v>1267.8089600000001</v>
      </c>
      <c r="G815">
        <v>80</v>
      </c>
      <c r="H815">
        <v>79.937728882000002</v>
      </c>
      <c r="I815">
        <v>50</v>
      </c>
      <c r="J815">
        <v>42.709289550999998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460.11147399999999</v>
      </c>
      <c r="B816" s="1">
        <f>DATE(2011,8,4) + TIME(2,40,31)</f>
        <v>40759.11146990741</v>
      </c>
      <c r="C816">
        <v>1378.5141602000001</v>
      </c>
      <c r="D816">
        <v>1364.8879394999999</v>
      </c>
      <c r="E816">
        <v>1288.4520264</v>
      </c>
      <c r="F816">
        <v>1267.7536620999999</v>
      </c>
      <c r="G816">
        <v>80</v>
      </c>
      <c r="H816">
        <v>79.937805175999998</v>
      </c>
      <c r="I816">
        <v>50</v>
      </c>
      <c r="J816">
        <v>42.683841704999999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461.69518599999998</v>
      </c>
      <c r="B817" s="1">
        <f>DATE(2011,8,5) + TIME(16,41,4)</f>
        <v>40760.695185185185</v>
      </c>
      <c r="C817">
        <v>1378.4434814000001</v>
      </c>
      <c r="D817">
        <v>1364.8244629000001</v>
      </c>
      <c r="E817">
        <v>1288.4331055</v>
      </c>
      <c r="F817">
        <v>1267.7026367000001</v>
      </c>
      <c r="G817">
        <v>80</v>
      </c>
      <c r="H817">
        <v>79.937881469999994</v>
      </c>
      <c r="I817">
        <v>50</v>
      </c>
      <c r="J817">
        <v>42.667972564999999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463.30188600000002</v>
      </c>
      <c r="B818" s="1">
        <f>DATE(2011,8,7) + TIME(7,14,42)</f>
        <v>40762.301874999997</v>
      </c>
      <c r="C818">
        <v>1378.3725586</v>
      </c>
      <c r="D818">
        <v>1364.7607422000001</v>
      </c>
      <c r="E818">
        <v>1288.4176024999999</v>
      </c>
      <c r="F818">
        <v>1267.6575928</v>
      </c>
      <c r="G818">
        <v>80</v>
      </c>
      <c r="H818">
        <v>79.937957764000004</v>
      </c>
      <c r="I818">
        <v>50</v>
      </c>
      <c r="J818">
        <v>42.663856506000002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464.93622800000003</v>
      </c>
      <c r="B819" s="1">
        <f>DATE(2011,8,8) + TIME(22,28,10)</f>
        <v>40763.936226851853</v>
      </c>
      <c r="C819">
        <v>1378.3012695</v>
      </c>
      <c r="D819">
        <v>1364.6965332</v>
      </c>
      <c r="E819">
        <v>1288.4058838000001</v>
      </c>
      <c r="F819">
        <v>1267.619751</v>
      </c>
      <c r="G819">
        <v>80</v>
      </c>
      <c r="H819">
        <v>79.938034058</v>
      </c>
      <c r="I819">
        <v>50</v>
      </c>
      <c r="J819">
        <v>42.673149109000001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466.60180400000002</v>
      </c>
      <c r="B820" s="1">
        <f>DATE(2011,8,10) + TIME(14,26,35)</f>
        <v>40765.601793981485</v>
      </c>
      <c r="C820">
        <v>1378.2293701000001</v>
      </c>
      <c r="D820">
        <v>1364.6315918</v>
      </c>
      <c r="E820">
        <v>1288.3981934000001</v>
      </c>
      <c r="F820">
        <v>1267.5897216999999</v>
      </c>
      <c r="G820">
        <v>80</v>
      </c>
      <c r="H820">
        <v>79.938110351999995</v>
      </c>
      <c r="I820">
        <v>50</v>
      </c>
      <c r="J820">
        <v>42.697406768999997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468.30476199999998</v>
      </c>
      <c r="B821" s="1">
        <f>DATE(2011,8,12) + TIME(7,18,51)</f>
        <v>40767.304756944446</v>
      </c>
      <c r="C821">
        <v>1378.1568603999999</v>
      </c>
      <c r="D821">
        <v>1364.5661620999999</v>
      </c>
      <c r="E821">
        <v>1288.3947754000001</v>
      </c>
      <c r="F821">
        <v>1267.5682373</v>
      </c>
      <c r="G821">
        <v>80</v>
      </c>
      <c r="H821">
        <v>79.938186646000005</v>
      </c>
      <c r="I821">
        <v>50</v>
      </c>
      <c r="J821">
        <v>42.738220214999998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470.02057300000001</v>
      </c>
      <c r="B822" s="1">
        <f>DATE(2011,8,14) + TIME(0,29,37)</f>
        <v>40769.020567129628</v>
      </c>
      <c r="C822">
        <v>1378.083374</v>
      </c>
      <c r="D822">
        <v>1364.4997559000001</v>
      </c>
      <c r="E822">
        <v>1288.395874</v>
      </c>
      <c r="F822">
        <v>1267.5561522999999</v>
      </c>
      <c r="G822">
        <v>80</v>
      </c>
      <c r="H822">
        <v>79.938270568999997</v>
      </c>
      <c r="I822">
        <v>50</v>
      </c>
      <c r="J822">
        <v>42.796981811999999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471.75330100000002</v>
      </c>
      <c r="B823" s="1">
        <f>DATE(2011,8,15) + TIME(18,4,45)</f>
        <v>40770.753298611111</v>
      </c>
      <c r="C823">
        <v>1378.0101318</v>
      </c>
      <c r="D823">
        <v>1364.4333495999999</v>
      </c>
      <c r="E823">
        <v>1288.4016113</v>
      </c>
      <c r="F823">
        <v>1267.5538329999999</v>
      </c>
      <c r="G823">
        <v>80</v>
      </c>
      <c r="H823">
        <v>79.938354492000002</v>
      </c>
      <c r="I823">
        <v>50</v>
      </c>
      <c r="J823">
        <v>42.874496460000003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473.50877600000001</v>
      </c>
      <c r="B824" s="1">
        <f>DATE(2011,8,17) + TIME(12,12,38)</f>
        <v>40772.508773148147</v>
      </c>
      <c r="C824">
        <v>1377.9370117000001</v>
      </c>
      <c r="D824">
        <v>1364.3670654</v>
      </c>
      <c r="E824">
        <v>1288.4117432</v>
      </c>
      <c r="F824">
        <v>1267.5618896000001</v>
      </c>
      <c r="G824">
        <v>80</v>
      </c>
      <c r="H824">
        <v>79.938438415999997</v>
      </c>
      <c r="I824">
        <v>50</v>
      </c>
      <c r="J824">
        <v>42.971591949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475.27959399999997</v>
      </c>
      <c r="B825" s="1">
        <f>DATE(2011,8,19) + TIME(6,42,36)</f>
        <v>40774.279583333337</v>
      </c>
      <c r="C825">
        <v>1377.8638916</v>
      </c>
      <c r="D825">
        <v>1364.3006591999999</v>
      </c>
      <c r="E825">
        <v>1288.4262695</v>
      </c>
      <c r="F825">
        <v>1267.5800781</v>
      </c>
      <c r="G825">
        <v>80</v>
      </c>
      <c r="H825">
        <v>79.938522339000002</v>
      </c>
      <c r="I825">
        <v>50</v>
      </c>
      <c r="J825">
        <v>43.088825225999997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477.07066600000002</v>
      </c>
      <c r="B826" s="1">
        <f>DATE(2011,8,21) + TIME(1,41,45)</f>
        <v>40776.070659722223</v>
      </c>
      <c r="C826">
        <v>1377.7908935999999</v>
      </c>
      <c r="D826">
        <v>1364.234375</v>
      </c>
      <c r="E826">
        <v>1288.4450684000001</v>
      </c>
      <c r="F826">
        <v>1267.6085204999999</v>
      </c>
      <c r="G826">
        <v>80</v>
      </c>
      <c r="H826">
        <v>79.938606261999993</v>
      </c>
      <c r="I826">
        <v>50</v>
      </c>
      <c r="J826">
        <v>43.226375580000003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478.883151</v>
      </c>
      <c r="B827" s="1">
        <f>DATE(2011,8,22) + TIME(21,11,44)</f>
        <v>40777.883148148147</v>
      </c>
      <c r="C827">
        <v>1377.7181396000001</v>
      </c>
      <c r="D827">
        <v>1364.1682129000001</v>
      </c>
      <c r="E827">
        <v>1288.4677733999999</v>
      </c>
      <c r="F827">
        <v>1267.6468506000001</v>
      </c>
      <c r="G827">
        <v>80</v>
      </c>
      <c r="H827">
        <v>79.938690186000002</v>
      </c>
      <c r="I827">
        <v>50</v>
      </c>
      <c r="J827">
        <v>43.384269713999998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480.70777299999997</v>
      </c>
      <c r="B828" s="1">
        <f>DATE(2011,8,24) + TIME(16,59,11)</f>
        <v>40779.707766203705</v>
      </c>
      <c r="C828">
        <v>1377.6456298999999</v>
      </c>
      <c r="D828">
        <v>1364.1021728999999</v>
      </c>
      <c r="E828">
        <v>1288.4942627</v>
      </c>
      <c r="F828">
        <v>1267.6948242000001</v>
      </c>
      <c r="G828">
        <v>80</v>
      </c>
      <c r="H828">
        <v>79.938781738000003</v>
      </c>
      <c r="I828">
        <v>50</v>
      </c>
      <c r="J828">
        <v>43.561920166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482.550343</v>
      </c>
      <c r="B829" s="1">
        <f>DATE(2011,8,26) + TIME(13,12,29)</f>
        <v>40781.550335648149</v>
      </c>
      <c r="C829">
        <v>1377.5736084</v>
      </c>
      <c r="D829">
        <v>1364.0367432</v>
      </c>
      <c r="E829">
        <v>1288.5239257999999</v>
      </c>
      <c r="F829">
        <v>1267.7515868999999</v>
      </c>
      <c r="G829">
        <v>80</v>
      </c>
      <c r="H829">
        <v>79.938865661999998</v>
      </c>
      <c r="I829">
        <v>50</v>
      </c>
      <c r="J829">
        <v>43.758293152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484.40115900000001</v>
      </c>
      <c r="B830" s="1">
        <f>DATE(2011,8,28) + TIME(9,37,40)</f>
        <v>40783.40115740741</v>
      </c>
      <c r="C830">
        <v>1377.5020752</v>
      </c>
      <c r="D830">
        <v>1363.9715576000001</v>
      </c>
      <c r="E830">
        <v>1288.5565185999999</v>
      </c>
      <c r="F830">
        <v>1267.8164062000001</v>
      </c>
      <c r="G830">
        <v>80</v>
      </c>
      <c r="H830">
        <v>79.938957213999998</v>
      </c>
      <c r="I830">
        <v>50</v>
      </c>
      <c r="J830">
        <v>43.972114562999998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486.27367199999998</v>
      </c>
      <c r="B831" s="1">
        <f>DATE(2011,8,30) + TIME(6,34,5)</f>
        <v>40785.273668981485</v>
      </c>
      <c r="C831">
        <v>1377.4315185999999</v>
      </c>
      <c r="D831">
        <v>1363.9072266000001</v>
      </c>
      <c r="E831">
        <v>1288.5911865</v>
      </c>
      <c r="F831">
        <v>1267.8881836</v>
      </c>
      <c r="G831">
        <v>80</v>
      </c>
      <c r="H831">
        <v>79.939048767000003</v>
      </c>
      <c r="I831">
        <v>50</v>
      </c>
      <c r="J831">
        <v>44.201828003000003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488</v>
      </c>
      <c r="B832" s="1">
        <f>DATE(2011,9,1) + TIME(0,0,0)</f>
        <v>40787</v>
      </c>
      <c r="C832">
        <v>1377.3613281</v>
      </c>
      <c r="D832">
        <v>1363.8432617000001</v>
      </c>
      <c r="E832">
        <v>1288.6290283000001</v>
      </c>
      <c r="F832">
        <v>1267.9654541</v>
      </c>
      <c r="G832">
        <v>80</v>
      </c>
      <c r="H832">
        <v>79.939125060999999</v>
      </c>
      <c r="I832">
        <v>50</v>
      </c>
      <c r="J832">
        <v>44.439197540000002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489.899135</v>
      </c>
      <c r="B833" s="1">
        <f>DATE(2011,9,2) + TIME(21,34,45)</f>
        <v>40788.899131944447</v>
      </c>
      <c r="C833">
        <v>1377.2978516000001</v>
      </c>
      <c r="D833">
        <v>1363.7852783000001</v>
      </c>
      <c r="E833">
        <v>1288.6629639</v>
      </c>
      <c r="F833">
        <v>1268.0440673999999</v>
      </c>
      <c r="G833">
        <v>80</v>
      </c>
      <c r="H833">
        <v>79.939216614000003</v>
      </c>
      <c r="I833">
        <v>50</v>
      </c>
      <c r="J833">
        <v>44.685188293000003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491.84400099999999</v>
      </c>
      <c r="B834" s="1">
        <f>DATE(2011,9,4) + TIME(20,15,21)</f>
        <v>40790.843993055554</v>
      </c>
      <c r="C834">
        <v>1377.2293701000001</v>
      </c>
      <c r="D834">
        <v>1363.7229004000001</v>
      </c>
      <c r="E834">
        <v>1288.7021483999999</v>
      </c>
      <c r="F834">
        <v>1268.130249</v>
      </c>
      <c r="G834">
        <v>80</v>
      </c>
      <c r="H834">
        <v>79.939315796000002</v>
      </c>
      <c r="I834">
        <v>50</v>
      </c>
      <c r="J834">
        <v>44.949581146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493.82306999999997</v>
      </c>
      <c r="B835" s="1">
        <f>DATE(2011,9,6) + TIME(19,45,13)</f>
        <v>40792.823067129626</v>
      </c>
      <c r="C835">
        <v>1377.1605225000001</v>
      </c>
      <c r="D835">
        <v>1363.6601562000001</v>
      </c>
      <c r="E835">
        <v>1288.7425536999999</v>
      </c>
      <c r="F835">
        <v>1268.2215576000001</v>
      </c>
      <c r="G835">
        <v>80</v>
      </c>
      <c r="H835">
        <v>79.939407349000007</v>
      </c>
      <c r="I835">
        <v>50</v>
      </c>
      <c r="J835">
        <v>45.227676391999999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495.83328299999999</v>
      </c>
      <c r="B836" s="1">
        <f>DATE(2011,9,8) + TIME(19,59,55)</f>
        <v>40794.833275462966</v>
      </c>
      <c r="C836">
        <v>1377.0920410000001</v>
      </c>
      <c r="D836">
        <v>1363.5976562000001</v>
      </c>
      <c r="E836">
        <v>1288.7836914</v>
      </c>
      <c r="F836">
        <v>1268.3160399999999</v>
      </c>
      <c r="G836">
        <v>80</v>
      </c>
      <c r="H836">
        <v>79.939506531000006</v>
      </c>
      <c r="I836">
        <v>50</v>
      </c>
      <c r="J836">
        <v>45.515762328999998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497.84857199999999</v>
      </c>
      <c r="B837" s="1">
        <f>DATE(2011,9,10) + TIME(20,21,56)</f>
        <v>40796.848564814813</v>
      </c>
      <c r="C837">
        <v>1377.0240478999999</v>
      </c>
      <c r="D837">
        <v>1363.5357666</v>
      </c>
      <c r="E837">
        <v>1288.8250731999999</v>
      </c>
      <c r="F837">
        <v>1268.4125977000001</v>
      </c>
      <c r="G837">
        <v>80</v>
      </c>
      <c r="H837">
        <v>79.939605713000006</v>
      </c>
      <c r="I837">
        <v>50</v>
      </c>
      <c r="J837">
        <v>45.809864044000001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499.86432400000001</v>
      </c>
      <c r="B838" s="1">
        <f>DATE(2011,9,12) + TIME(20,44,37)</f>
        <v>40798.864317129628</v>
      </c>
      <c r="C838">
        <v>1376.9573975000001</v>
      </c>
      <c r="D838">
        <v>1363.4749756000001</v>
      </c>
      <c r="E838">
        <v>1288.8658447</v>
      </c>
      <c r="F838">
        <v>1268.5090332</v>
      </c>
      <c r="G838">
        <v>80</v>
      </c>
      <c r="H838">
        <v>79.939697265999996</v>
      </c>
      <c r="I838">
        <v>50</v>
      </c>
      <c r="J838">
        <v>46.105545044000003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501.89802800000001</v>
      </c>
      <c r="B839" s="1">
        <f>DATE(2011,9,14) + TIME(21,33,9)</f>
        <v>40800.898020833331</v>
      </c>
      <c r="C839">
        <v>1376.8923339999999</v>
      </c>
      <c r="D839">
        <v>1363.4156493999999</v>
      </c>
      <c r="E839">
        <v>1288.9053954999999</v>
      </c>
      <c r="F839">
        <v>1268.6044922000001</v>
      </c>
      <c r="G839">
        <v>80</v>
      </c>
      <c r="H839">
        <v>79.939796447999996</v>
      </c>
      <c r="I839">
        <v>50</v>
      </c>
      <c r="J839">
        <v>46.400699615000001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503.94684899999999</v>
      </c>
      <c r="B840" s="1">
        <f>DATE(2011,9,16) + TIME(22,43,27)</f>
        <v>40802.946840277778</v>
      </c>
      <c r="C840">
        <v>1376.8282471</v>
      </c>
      <c r="D840">
        <v>1363.3572998</v>
      </c>
      <c r="E840">
        <v>1288.9439697</v>
      </c>
      <c r="F840">
        <v>1268.6986084</v>
      </c>
      <c r="G840">
        <v>80</v>
      </c>
      <c r="H840">
        <v>79.939895629999995</v>
      </c>
      <c r="I840">
        <v>50</v>
      </c>
      <c r="J840">
        <v>46.694396973000003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506.00534599999997</v>
      </c>
      <c r="B841" s="1">
        <f>DATE(2011,9,19) + TIME(0,7,41)</f>
        <v>40805.005335648151</v>
      </c>
      <c r="C841">
        <v>1376.7652588000001</v>
      </c>
      <c r="D841">
        <v>1363.2999268000001</v>
      </c>
      <c r="E841">
        <v>1288.9812012</v>
      </c>
      <c r="F841">
        <v>1268.7906493999999</v>
      </c>
      <c r="G841">
        <v>80</v>
      </c>
      <c r="H841">
        <v>79.939994811999995</v>
      </c>
      <c r="I841">
        <v>50</v>
      </c>
      <c r="J841">
        <v>46.984832763999997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508.08047800000003</v>
      </c>
      <c r="B842" s="1">
        <f>DATE(2011,9,21) + TIME(1,55,53)</f>
        <v>40807.080474537041</v>
      </c>
      <c r="C842">
        <v>1376.7033690999999</v>
      </c>
      <c r="D842">
        <v>1363.2436522999999</v>
      </c>
      <c r="E842">
        <v>1289.0169678</v>
      </c>
      <c r="F842">
        <v>1268.8798827999999</v>
      </c>
      <c r="G842">
        <v>80</v>
      </c>
      <c r="H842">
        <v>79.940093993999994</v>
      </c>
      <c r="I842">
        <v>50</v>
      </c>
      <c r="J842">
        <v>47.270538330000001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510.18637899999999</v>
      </c>
      <c r="B843" s="1">
        <f>DATE(2011,9,23) + TIME(4,28,23)</f>
        <v>40809.186377314814</v>
      </c>
      <c r="C843">
        <v>1376.6425781</v>
      </c>
      <c r="D843">
        <v>1363.1883545000001</v>
      </c>
      <c r="E843">
        <v>1289.0510254000001</v>
      </c>
      <c r="F843">
        <v>1268.9663086</v>
      </c>
      <c r="G843">
        <v>80</v>
      </c>
      <c r="H843">
        <v>79.940193175999994</v>
      </c>
      <c r="I843">
        <v>50</v>
      </c>
      <c r="J843">
        <v>47.551303863999998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512.34065099999998</v>
      </c>
      <c r="B844" s="1">
        <f>DATE(2011,9,25) + TIME(8,10,32)</f>
        <v>40811.340648148151</v>
      </c>
      <c r="C844">
        <v>1376.5823975000001</v>
      </c>
      <c r="D844">
        <v>1363.1336670000001</v>
      </c>
      <c r="E844">
        <v>1289.0834961</v>
      </c>
      <c r="F844">
        <v>1269.0498047000001</v>
      </c>
      <c r="G844">
        <v>80</v>
      </c>
      <c r="H844">
        <v>79.940292357999994</v>
      </c>
      <c r="I844">
        <v>50</v>
      </c>
      <c r="J844">
        <v>47.827812195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514.53040999999996</v>
      </c>
      <c r="B845" s="1">
        <f>DATE(2011,9,27) + TIME(12,43,47)</f>
        <v>40813.530405092592</v>
      </c>
      <c r="C845">
        <v>1376.5224608999999</v>
      </c>
      <c r="D845">
        <v>1363.0791016000001</v>
      </c>
      <c r="E845">
        <v>1289.1147461</v>
      </c>
      <c r="F845">
        <v>1269.1307373</v>
      </c>
      <c r="G845">
        <v>80</v>
      </c>
      <c r="H845">
        <v>79.940399170000006</v>
      </c>
      <c r="I845">
        <v>50</v>
      </c>
      <c r="J845">
        <v>48.100120543999999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516.76314000000002</v>
      </c>
      <c r="B846" s="1">
        <f>DATE(2011,9,29) + TIME(18,18,55)</f>
        <v>40815.763136574074</v>
      </c>
      <c r="C846">
        <v>1376.4628906</v>
      </c>
      <c r="D846">
        <v>1363.0250243999999</v>
      </c>
      <c r="E846">
        <v>1289.1442870999999</v>
      </c>
      <c r="F846">
        <v>1269.208374</v>
      </c>
      <c r="G846">
        <v>80</v>
      </c>
      <c r="H846">
        <v>79.940505981000001</v>
      </c>
      <c r="I846">
        <v>50</v>
      </c>
      <c r="J846">
        <v>48.367141724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518</v>
      </c>
      <c r="B847" s="1">
        <f>DATE(2011,10,1) + TIME(0,0,0)</f>
        <v>40817</v>
      </c>
      <c r="C847">
        <v>1376.4038086</v>
      </c>
      <c r="D847">
        <v>1362.9714355000001</v>
      </c>
      <c r="E847">
        <v>1289.177124</v>
      </c>
      <c r="F847">
        <v>1269.2757568</v>
      </c>
      <c r="G847">
        <v>80</v>
      </c>
      <c r="H847">
        <v>79.940559386999993</v>
      </c>
      <c r="I847">
        <v>50</v>
      </c>
      <c r="J847">
        <v>48.580764770999998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520.25080100000002</v>
      </c>
      <c r="B848" s="1">
        <f>DATE(2011,10,3) + TIME(6,1,9)</f>
        <v>40819.250798611109</v>
      </c>
      <c r="C848">
        <v>1376.371582</v>
      </c>
      <c r="D848">
        <v>1362.9421387</v>
      </c>
      <c r="E848">
        <v>1289.1870117000001</v>
      </c>
      <c r="F848">
        <v>1269.328125</v>
      </c>
      <c r="G848">
        <v>80</v>
      </c>
      <c r="H848">
        <v>79.940673828000001</v>
      </c>
      <c r="I848">
        <v>50</v>
      </c>
      <c r="J848">
        <v>48.784725189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522.52543800000001</v>
      </c>
      <c r="B849" s="1">
        <f>DATE(2011,10,5) + TIME(12,36,37)</f>
        <v>40821.52542824074</v>
      </c>
      <c r="C849">
        <v>1376.3144531</v>
      </c>
      <c r="D849">
        <v>1362.8902588000001</v>
      </c>
      <c r="E849">
        <v>1289.2113036999999</v>
      </c>
      <c r="F849">
        <v>1269.3905029</v>
      </c>
      <c r="G849">
        <v>80</v>
      </c>
      <c r="H849">
        <v>79.94078064</v>
      </c>
      <c r="I849">
        <v>50</v>
      </c>
      <c r="J849">
        <v>49.016933440999999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524.81664699999999</v>
      </c>
      <c r="B850" s="1">
        <f>DATE(2011,10,7) + TIME(19,35,58)</f>
        <v>40823.816643518519</v>
      </c>
      <c r="C850">
        <v>1376.2580565999999</v>
      </c>
      <c r="D850">
        <v>1362.8391113</v>
      </c>
      <c r="E850">
        <v>1289.2341309000001</v>
      </c>
      <c r="F850">
        <v>1269.4526367000001</v>
      </c>
      <c r="G850">
        <v>80</v>
      </c>
      <c r="H850">
        <v>79.940887450999995</v>
      </c>
      <c r="I850">
        <v>50</v>
      </c>
      <c r="J850">
        <v>49.250225067000002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527.13751400000001</v>
      </c>
      <c r="B851" s="1">
        <f>DATE(2011,10,10) + TIME(3,18,1)</f>
        <v>40826.137511574074</v>
      </c>
      <c r="C851">
        <v>1376.2026367000001</v>
      </c>
      <c r="D851">
        <v>1362.7889404</v>
      </c>
      <c r="E851">
        <v>1289.2551269999999</v>
      </c>
      <c r="F851">
        <v>1269.5115966999999</v>
      </c>
      <c r="G851">
        <v>80</v>
      </c>
      <c r="H851">
        <v>79.940994262999993</v>
      </c>
      <c r="I851">
        <v>50</v>
      </c>
      <c r="J851">
        <v>49.477165221999996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529.48134000000005</v>
      </c>
      <c r="B852" s="1">
        <f>DATE(2011,10,12) + TIME(11,33,7)</f>
        <v>40828.48133101852</v>
      </c>
      <c r="C852">
        <v>1376.1478271000001</v>
      </c>
      <c r="D852">
        <v>1362.7392577999999</v>
      </c>
      <c r="E852">
        <v>1289.2742920000001</v>
      </c>
      <c r="F852">
        <v>1269.5670166</v>
      </c>
      <c r="G852">
        <v>80</v>
      </c>
      <c r="H852">
        <v>79.941108704000001</v>
      </c>
      <c r="I852">
        <v>50</v>
      </c>
      <c r="J852">
        <v>49.696186066000003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531.84015899999997</v>
      </c>
      <c r="B853" s="1">
        <f>DATE(2011,10,14) + TIME(20,9,49)</f>
        <v>40830.840150462966</v>
      </c>
      <c r="C853">
        <v>1376.0938721</v>
      </c>
      <c r="D853">
        <v>1362.6904297000001</v>
      </c>
      <c r="E853">
        <v>1289.2918701000001</v>
      </c>
      <c r="F853">
        <v>1269.6185303</v>
      </c>
      <c r="G853">
        <v>80</v>
      </c>
      <c r="H853">
        <v>79.941215514999996</v>
      </c>
      <c r="I853">
        <v>50</v>
      </c>
      <c r="J853">
        <v>49.906467438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534.22044000000005</v>
      </c>
      <c r="B854" s="1">
        <f>DATE(2011,10,17) + TIME(5,17,26)</f>
        <v>40833.220439814817</v>
      </c>
      <c r="C854">
        <v>1376.0407714999999</v>
      </c>
      <c r="D854">
        <v>1362.6424560999999</v>
      </c>
      <c r="E854">
        <v>1289.3077393000001</v>
      </c>
      <c r="F854">
        <v>1269.6665039</v>
      </c>
      <c r="G854">
        <v>80</v>
      </c>
      <c r="H854">
        <v>79.941329956000004</v>
      </c>
      <c r="I854">
        <v>50</v>
      </c>
      <c r="J854">
        <v>50.107624053999999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536.62875799999995</v>
      </c>
      <c r="B855" s="1">
        <f>DATE(2011,10,19) + TIME(15,5,24)</f>
        <v>40835.628750000003</v>
      </c>
      <c r="C855">
        <v>1375.9886475000001</v>
      </c>
      <c r="D855">
        <v>1362.5952147999999</v>
      </c>
      <c r="E855">
        <v>1289.3220214999999</v>
      </c>
      <c r="F855">
        <v>1269.7108154</v>
      </c>
      <c r="G855">
        <v>80</v>
      </c>
      <c r="H855">
        <v>79.941436768000003</v>
      </c>
      <c r="I855">
        <v>50</v>
      </c>
      <c r="J855">
        <v>50.300167084000002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539.07410000000004</v>
      </c>
      <c r="B856" s="1">
        <f>DATE(2011,10,22) + TIME(1,46,42)</f>
        <v>40838.074097222219</v>
      </c>
      <c r="C856">
        <v>1375.9371338000001</v>
      </c>
      <c r="D856">
        <v>1362.5485839999999</v>
      </c>
      <c r="E856">
        <v>1289.3349608999999</v>
      </c>
      <c r="F856">
        <v>1269.7519531</v>
      </c>
      <c r="G856">
        <v>80</v>
      </c>
      <c r="H856">
        <v>79.941551208000007</v>
      </c>
      <c r="I856">
        <v>50</v>
      </c>
      <c r="J856">
        <v>50.484958648999999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541.56770300000005</v>
      </c>
      <c r="B857" s="1">
        <f>DATE(2011,10,24) + TIME(13,37,29)</f>
        <v>40840.567696759259</v>
      </c>
      <c r="C857">
        <v>1375.8859863</v>
      </c>
      <c r="D857">
        <v>1362.5024414</v>
      </c>
      <c r="E857">
        <v>1289.3465576000001</v>
      </c>
      <c r="F857">
        <v>1269.7902832</v>
      </c>
      <c r="G857">
        <v>80</v>
      </c>
      <c r="H857">
        <v>79.941665649000001</v>
      </c>
      <c r="I857">
        <v>50</v>
      </c>
      <c r="J857">
        <v>50.662933350000003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544.07093299999997</v>
      </c>
      <c r="B858" s="1">
        <f>DATE(2011,10,27) + TIME(1,42,8)</f>
        <v>40843.070925925924</v>
      </c>
      <c r="C858">
        <v>1375.8350829999999</v>
      </c>
      <c r="D858">
        <v>1362.4564209</v>
      </c>
      <c r="E858">
        <v>1289.3571777</v>
      </c>
      <c r="F858">
        <v>1269.8259277</v>
      </c>
      <c r="G858">
        <v>80</v>
      </c>
      <c r="H858">
        <v>79.941787719999994</v>
      </c>
      <c r="I858">
        <v>50</v>
      </c>
      <c r="J858">
        <v>50.834159851000003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546.59206500000005</v>
      </c>
      <c r="B859" s="1">
        <f>DATE(2011,10,29) + TIME(14,12,34)</f>
        <v>40845.592060185183</v>
      </c>
      <c r="C859">
        <v>1375.7851562000001</v>
      </c>
      <c r="D859">
        <v>1362.4113769999999</v>
      </c>
      <c r="E859">
        <v>1289.3665771000001</v>
      </c>
      <c r="F859">
        <v>1269.8587646000001</v>
      </c>
      <c r="G859">
        <v>80</v>
      </c>
      <c r="H859">
        <v>79.941902161000002</v>
      </c>
      <c r="I859">
        <v>50</v>
      </c>
      <c r="J859">
        <v>50.997661591000004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549</v>
      </c>
      <c r="B860" s="1">
        <f>DATE(2011,11,1) + TIME(0,0,0)</f>
        <v>40848</v>
      </c>
      <c r="C860">
        <v>1375.7360839999999</v>
      </c>
      <c r="D860">
        <v>1362.3670654</v>
      </c>
      <c r="E860">
        <v>1289.3752440999999</v>
      </c>
      <c r="F860">
        <v>1269.8889160000001</v>
      </c>
      <c r="G860">
        <v>80</v>
      </c>
      <c r="H860">
        <v>79.942008971999996</v>
      </c>
      <c r="I860">
        <v>50</v>
      </c>
      <c r="J860">
        <v>51.151775360000002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549.000001</v>
      </c>
      <c r="B861" s="1">
        <f>DATE(2011,11,1) + TIME(0,0,0)</f>
        <v>40848</v>
      </c>
      <c r="C861">
        <v>1361.4952393000001</v>
      </c>
      <c r="D861">
        <v>1349.5494385</v>
      </c>
      <c r="E861">
        <v>1310.065918</v>
      </c>
      <c r="F861">
        <v>1290.2905272999999</v>
      </c>
      <c r="G861">
        <v>80</v>
      </c>
      <c r="H861">
        <v>79.941886901999993</v>
      </c>
      <c r="I861">
        <v>50</v>
      </c>
      <c r="J861">
        <v>51.151889801000003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549.00000399999999</v>
      </c>
      <c r="B862" s="1">
        <f>DATE(2011,11,1) + TIME(0,0,0)</f>
        <v>40848</v>
      </c>
      <c r="C862">
        <v>1359.2929687999999</v>
      </c>
      <c r="D862">
        <v>1347.3463135</v>
      </c>
      <c r="E862">
        <v>1312.4416504000001</v>
      </c>
      <c r="F862">
        <v>1292.7379149999999</v>
      </c>
      <c r="G862">
        <v>80</v>
      </c>
      <c r="H862">
        <v>79.941574097</v>
      </c>
      <c r="I862">
        <v>50</v>
      </c>
      <c r="J862">
        <v>51.152198792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549.00001299999997</v>
      </c>
      <c r="B863" s="1">
        <f>DATE(2011,11,1) + TIME(0,0,1)</f>
        <v>40848.000011574077</v>
      </c>
      <c r="C863">
        <v>1354.8468018000001</v>
      </c>
      <c r="D863">
        <v>1342.8995361</v>
      </c>
      <c r="E863">
        <v>1317.8464355000001</v>
      </c>
      <c r="F863">
        <v>1298.2618408000001</v>
      </c>
      <c r="G863">
        <v>80</v>
      </c>
      <c r="H863">
        <v>79.940940857000001</v>
      </c>
      <c r="I863">
        <v>50</v>
      </c>
      <c r="J863">
        <v>51.152893065999997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549.00004000000001</v>
      </c>
      <c r="B864" s="1">
        <f>DATE(2011,11,1) + TIME(0,0,3)</f>
        <v>40848.000034722223</v>
      </c>
      <c r="C864">
        <v>1348.3498535000001</v>
      </c>
      <c r="D864">
        <v>1336.4052733999999</v>
      </c>
      <c r="E864">
        <v>1326.9273682</v>
      </c>
      <c r="F864">
        <v>1307.3995361</v>
      </c>
      <c r="G864">
        <v>80</v>
      </c>
      <c r="H864">
        <v>79.940010071000003</v>
      </c>
      <c r="I864">
        <v>50</v>
      </c>
      <c r="J864">
        <v>51.154010773000003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549.00012100000004</v>
      </c>
      <c r="B865" s="1">
        <f>DATE(2011,11,1) + TIME(0,0,10)</f>
        <v>40848.000115740739</v>
      </c>
      <c r="C865">
        <v>1341.1179199000001</v>
      </c>
      <c r="D865">
        <v>1329.1802978999999</v>
      </c>
      <c r="E865">
        <v>1338.1772461</v>
      </c>
      <c r="F865">
        <v>1318.6505127</v>
      </c>
      <c r="G865">
        <v>80</v>
      </c>
      <c r="H865">
        <v>79.938964843999997</v>
      </c>
      <c r="I865">
        <v>50</v>
      </c>
      <c r="J865">
        <v>51.155315399000003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549.00036399999999</v>
      </c>
      <c r="B866" s="1">
        <f>DATE(2011,11,1) + TIME(0,0,31)</f>
        <v>40848.000358796293</v>
      </c>
      <c r="C866">
        <v>1333.8432617000001</v>
      </c>
      <c r="D866">
        <v>1321.9133300999999</v>
      </c>
      <c r="E866">
        <v>1350.1241454999999</v>
      </c>
      <c r="F866">
        <v>1330.6051024999999</v>
      </c>
      <c r="G866">
        <v>80</v>
      </c>
      <c r="H866">
        <v>79.937866210999999</v>
      </c>
      <c r="I866">
        <v>50</v>
      </c>
      <c r="J866">
        <v>51.156471252000003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549.00109299999997</v>
      </c>
      <c r="B867" s="1">
        <f>DATE(2011,11,1) + TIME(0,1,34)</f>
        <v>40848.001087962963</v>
      </c>
      <c r="C867">
        <v>1326.5543213000001</v>
      </c>
      <c r="D867">
        <v>1314.5928954999999</v>
      </c>
      <c r="E867">
        <v>1362.4597168</v>
      </c>
      <c r="F867">
        <v>1342.9453125</v>
      </c>
      <c r="G867">
        <v>80</v>
      </c>
      <c r="H867">
        <v>79.936637877999999</v>
      </c>
      <c r="I867">
        <v>50</v>
      </c>
      <c r="J867">
        <v>51.156955719000003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549.00328000000002</v>
      </c>
      <c r="B868" s="1">
        <f>DATE(2011,11,1) + TIME(0,4,43)</f>
        <v>40848.003275462965</v>
      </c>
      <c r="C868">
        <v>1319.3721923999999</v>
      </c>
      <c r="D868">
        <v>1307.2855225000001</v>
      </c>
      <c r="E868">
        <v>1374.6066894999999</v>
      </c>
      <c r="F868">
        <v>1355.0538329999999</v>
      </c>
      <c r="G868">
        <v>80</v>
      </c>
      <c r="H868">
        <v>79.935020446999999</v>
      </c>
      <c r="I868">
        <v>50</v>
      </c>
      <c r="J868">
        <v>51.155250549000002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549.00984100000005</v>
      </c>
      <c r="B869" s="1">
        <f>DATE(2011,11,1) + TIME(0,14,10)</f>
        <v>40848.009837962964</v>
      </c>
      <c r="C869">
        <v>1313.0042725000001</v>
      </c>
      <c r="D869">
        <v>1300.7940673999999</v>
      </c>
      <c r="E869">
        <v>1384.6712646000001</v>
      </c>
      <c r="F869">
        <v>1365.0366211</v>
      </c>
      <c r="G869">
        <v>80</v>
      </c>
      <c r="H869">
        <v>79.932319641000007</v>
      </c>
      <c r="I869">
        <v>50</v>
      </c>
      <c r="J869">
        <v>51.146823883000003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549.02952400000004</v>
      </c>
      <c r="B870" s="1">
        <f>DATE(2011,11,1) + TIME(0,42,30)</f>
        <v>40848.029513888891</v>
      </c>
      <c r="C870">
        <v>1308.4973144999999</v>
      </c>
      <c r="D870">
        <v>1296.2421875</v>
      </c>
      <c r="E870">
        <v>1390.7685547000001</v>
      </c>
      <c r="F870">
        <v>1371.0570068</v>
      </c>
      <c r="G870">
        <v>80</v>
      </c>
      <c r="H870">
        <v>79.926368713000002</v>
      </c>
      <c r="I870">
        <v>50</v>
      </c>
      <c r="J870">
        <v>51.119091034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549.088573</v>
      </c>
      <c r="B871" s="1">
        <f>DATE(2011,11,1) + TIME(2,7,32)</f>
        <v>40848.088564814818</v>
      </c>
      <c r="C871">
        <v>1306.340332</v>
      </c>
      <c r="D871">
        <v>1294.0766602000001</v>
      </c>
      <c r="E871">
        <v>1392.9782714999999</v>
      </c>
      <c r="F871">
        <v>1373.2205810999999</v>
      </c>
      <c r="G871">
        <v>80</v>
      </c>
      <c r="H871">
        <v>79.910926818999997</v>
      </c>
      <c r="I871">
        <v>50</v>
      </c>
      <c r="J871">
        <v>51.039608002000001</v>
      </c>
      <c r="K871">
        <v>0</v>
      </c>
      <c r="L871">
        <v>2400</v>
      </c>
      <c r="M871">
        <v>2400</v>
      </c>
      <c r="N871">
        <v>0</v>
      </c>
    </row>
    <row r="872" spans="1:14" x14ac:dyDescent="0.25">
      <c r="A872">
        <v>549.16391799999997</v>
      </c>
      <c r="B872" s="1">
        <f>DATE(2011,11,1) + TIME(3,56,2)</f>
        <v>40848.163912037038</v>
      </c>
      <c r="C872">
        <v>1305.8476562000001</v>
      </c>
      <c r="D872">
        <v>1293.5826416</v>
      </c>
      <c r="E872">
        <v>1393.2517089999999</v>
      </c>
      <c r="F872">
        <v>1373.4752197</v>
      </c>
      <c r="G872">
        <v>80</v>
      </c>
      <c r="H872">
        <v>79.892211914000001</v>
      </c>
      <c r="I872">
        <v>50</v>
      </c>
      <c r="J872">
        <v>50.946640015</v>
      </c>
      <c r="K872">
        <v>0</v>
      </c>
      <c r="L872">
        <v>2400</v>
      </c>
      <c r="M872">
        <v>2400</v>
      </c>
      <c r="N872">
        <v>0</v>
      </c>
    </row>
    <row r="873" spans="1:14" x14ac:dyDescent="0.25">
      <c r="A873">
        <v>549.24371299999996</v>
      </c>
      <c r="B873" s="1">
        <f>DATE(2011,11,1) + TIME(5,50,56)</f>
        <v>40848.243703703702</v>
      </c>
      <c r="C873">
        <v>1305.7351074000001</v>
      </c>
      <c r="D873">
        <v>1293.4696045000001</v>
      </c>
      <c r="E873">
        <v>1393.223999</v>
      </c>
      <c r="F873">
        <v>1373.4359131000001</v>
      </c>
      <c r="G873">
        <v>80</v>
      </c>
      <c r="H873">
        <v>79.872962951999995</v>
      </c>
      <c r="I873">
        <v>50</v>
      </c>
      <c r="J873">
        <v>50.857151031000001</v>
      </c>
      <c r="K873">
        <v>0</v>
      </c>
      <c r="L873">
        <v>2400</v>
      </c>
      <c r="M873">
        <v>2400</v>
      </c>
      <c r="N873">
        <v>0</v>
      </c>
    </row>
    <row r="874" spans="1:14" x14ac:dyDescent="0.25">
      <c r="A874">
        <v>549.32857300000001</v>
      </c>
      <c r="B874" s="1">
        <f>DATE(2011,11,1) + TIME(7,53,8)</f>
        <v>40848.328564814816</v>
      </c>
      <c r="C874">
        <v>1305.7028809000001</v>
      </c>
      <c r="D874">
        <v>1293.4371338000001</v>
      </c>
      <c r="E874">
        <v>1393.1674805</v>
      </c>
      <c r="F874">
        <v>1373.3695068</v>
      </c>
      <c r="G874">
        <v>80</v>
      </c>
      <c r="H874">
        <v>79.853034973000007</v>
      </c>
      <c r="I874">
        <v>50</v>
      </c>
      <c r="J874">
        <v>50.771179199000002</v>
      </c>
      <c r="K874">
        <v>0</v>
      </c>
      <c r="L874">
        <v>2400</v>
      </c>
      <c r="M874">
        <v>2400</v>
      </c>
      <c r="N874">
        <v>0</v>
      </c>
    </row>
    <row r="875" spans="1:14" x14ac:dyDescent="0.25">
      <c r="A875">
        <v>549.41931599999998</v>
      </c>
      <c r="B875" s="1">
        <f>DATE(2011,11,1) + TIME(10,3,48)</f>
        <v>40848.419305555559</v>
      </c>
      <c r="C875">
        <v>1305.6898193</v>
      </c>
      <c r="D875">
        <v>1293.4235839999999</v>
      </c>
      <c r="E875">
        <v>1393.112793</v>
      </c>
      <c r="F875">
        <v>1373.3062743999999</v>
      </c>
      <c r="G875">
        <v>80</v>
      </c>
      <c r="H875">
        <v>79.832298279</v>
      </c>
      <c r="I875">
        <v>50</v>
      </c>
      <c r="J875">
        <v>50.688682556000003</v>
      </c>
      <c r="K875">
        <v>0</v>
      </c>
      <c r="L875">
        <v>2400</v>
      </c>
      <c r="M875">
        <v>2400</v>
      </c>
      <c r="N875">
        <v>0</v>
      </c>
    </row>
    <row r="876" spans="1:14" x14ac:dyDescent="0.25">
      <c r="A876">
        <v>549.516974</v>
      </c>
      <c r="B876" s="1">
        <f>DATE(2011,11,1) + TIME(12,24,26)</f>
        <v>40848.516967592594</v>
      </c>
      <c r="C876">
        <v>1305.6813964999999</v>
      </c>
      <c r="D876">
        <v>1293.4146728999999</v>
      </c>
      <c r="E876">
        <v>1393.0603027</v>
      </c>
      <c r="F876">
        <v>1373.2464600000001</v>
      </c>
      <c r="G876">
        <v>80</v>
      </c>
      <c r="H876">
        <v>79.810585021999998</v>
      </c>
      <c r="I876">
        <v>50</v>
      </c>
      <c r="J876">
        <v>50.609611510999997</v>
      </c>
      <c r="K876">
        <v>0</v>
      </c>
      <c r="L876">
        <v>2400</v>
      </c>
      <c r="M876">
        <v>2400</v>
      </c>
      <c r="N876">
        <v>0</v>
      </c>
    </row>
    <row r="877" spans="1:14" x14ac:dyDescent="0.25">
      <c r="A877">
        <v>549.62284599999998</v>
      </c>
      <c r="B877" s="1">
        <f>DATE(2011,11,1) + TIME(14,56,53)</f>
        <v>40848.622835648152</v>
      </c>
      <c r="C877">
        <v>1305.6739502</v>
      </c>
      <c r="D877">
        <v>1293.4067382999999</v>
      </c>
      <c r="E877">
        <v>1393.0090332</v>
      </c>
      <c r="F877">
        <v>1373.1888428</v>
      </c>
      <c r="G877">
        <v>80</v>
      </c>
      <c r="H877">
        <v>79.787704468000001</v>
      </c>
      <c r="I877">
        <v>50</v>
      </c>
      <c r="J877">
        <v>50.533958435000002</v>
      </c>
      <c r="K877">
        <v>0</v>
      </c>
      <c r="L877">
        <v>2400</v>
      </c>
      <c r="M877">
        <v>2400</v>
      </c>
      <c r="N877">
        <v>0</v>
      </c>
    </row>
    <row r="878" spans="1:14" x14ac:dyDescent="0.25">
      <c r="A878">
        <v>549.73860999999999</v>
      </c>
      <c r="B878" s="1">
        <f>DATE(2011,11,1) + TIME(17,43,35)</f>
        <v>40848.738599537035</v>
      </c>
      <c r="C878">
        <v>1305.6663818</v>
      </c>
      <c r="D878">
        <v>1293.3985596</v>
      </c>
      <c r="E878">
        <v>1392.9581298999999</v>
      </c>
      <c r="F878">
        <v>1373.1328125</v>
      </c>
      <c r="G878">
        <v>80</v>
      </c>
      <c r="H878">
        <v>79.763397217000005</v>
      </c>
      <c r="I878">
        <v>50</v>
      </c>
      <c r="J878">
        <v>50.461727142000001</v>
      </c>
      <c r="K878">
        <v>0</v>
      </c>
      <c r="L878">
        <v>2400</v>
      </c>
      <c r="M878">
        <v>2400</v>
      </c>
      <c r="N878">
        <v>0</v>
      </c>
    </row>
    <row r="879" spans="1:14" x14ac:dyDescent="0.25">
      <c r="A879">
        <v>549.86651199999994</v>
      </c>
      <c r="B879" s="1">
        <f>DATE(2011,11,1) + TIME(20,47,46)</f>
        <v>40848.86650462963</v>
      </c>
      <c r="C879">
        <v>1305.6584473</v>
      </c>
      <c r="D879">
        <v>1293.3898925999999</v>
      </c>
      <c r="E879">
        <v>1392.9073486</v>
      </c>
      <c r="F879">
        <v>1373.0780029</v>
      </c>
      <c r="G879">
        <v>80</v>
      </c>
      <c r="H879">
        <v>79.737358092999997</v>
      </c>
      <c r="I879">
        <v>50</v>
      </c>
      <c r="J879">
        <v>50.392940521</v>
      </c>
      <c r="K879">
        <v>0</v>
      </c>
      <c r="L879">
        <v>2400</v>
      </c>
      <c r="M879">
        <v>2400</v>
      </c>
      <c r="N879">
        <v>0</v>
      </c>
    </row>
    <row r="880" spans="1:14" x14ac:dyDescent="0.25">
      <c r="A880">
        <v>550.00957500000004</v>
      </c>
      <c r="B880" s="1">
        <f>DATE(2011,11,2) + TIME(0,13,47)</f>
        <v>40849.009571759256</v>
      </c>
      <c r="C880">
        <v>1305.6496582</v>
      </c>
      <c r="D880">
        <v>1293.3803711</v>
      </c>
      <c r="E880">
        <v>1392.8566894999999</v>
      </c>
      <c r="F880">
        <v>1373.0244141000001</v>
      </c>
      <c r="G880">
        <v>80</v>
      </c>
      <c r="H880">
        <v>79.709136963000006</v>
      </c>
      <c r="I880">
        <v>50</v>
      </c>
      <c r="J880">
        <v>50.327686309999997</v>
      </c>
      <c r="K880">
        <v>0</v>
      </c>
      <c r="L880">
        <v>2400</v>
      </c>
      <c r="M880">
        <v>2400</v>
      </c>
      <c r="N880">
        <v>0</v>
      </c>
    </row>
    <row r="881" spans="1:14" x14ac:dyDescent="0.25">
      <c r="A881">
        <v>550.16918899999996</v>
      </c>
      <c r="B881" s="1">
        <f>DATE(2011,11,2) + TIME(4,3,37)</f>
        <v>40849.169178240743</v>
      </c>
      <c r="C881">
        <v>1305.6400146000001</v>
      </c>
      <c r="D881">
        <v>1293.3698730000001</v>
      </c>
      <c r="E881">
        <v>1392.8065185999999</v>
      </c>
      <c r="F881">
        <v>1372.9725341999999</v>
      </c>
      <c r="G881">
        <v>80</v>
      </c>
      <c r="H881">
        <v>79.678634643999999</v>
      </c>
      <c r="I881">
        <v>50</v>
      </c>
      <c r="J881">
        <v>50.266983031999999</v>
      </c>
      <c r="K881">
        <v>0</v>
      </c>
      <c r="L881">
        <v>2400</v>
      </c>
      <c r="M881">
        <v>2400</v>
      </c>
      <c r="N881">
        <v>0</v>
      </c>
    </row>
    <row r="882" spans="1:14" x14ac:dyDescent="0.25">
      <c r="A882">
        <v>550.33834200000001</v>
      </c>
      <c r="B882" s="1">
        <f>DATE(2011,11,2) + TIME(8,7,12)</f>
        <v>40849.338333333333</v>
      </c>
      <c r="C882">
        <v>1305.6293945</v>
      </c>
      <c r="D882">
        <v>1293.3583983999999</v>
      </c>
      <c r="E882">
        <v>1392.7589111</v>
      </c>
      <c r="F882">
        <v>1372.9246826000001</v>
      </c>
      <c r="G882">
        <v>80</v>
      </c>
      <c r="H882">
        <v>79.647003174000005</v>
      </c>
      <c r="I882">
        <v>50</v>
      </c>
      <c r="J882">
        <v>50.213871001999998</v>
      </c>
      <c r="K882">
        <v>0</v>
      </c>
      <c r="L882">
        <v>2400</v>
      </c>
      <c r="M882">
        <v>2400</v>
      </c>
      <c r="N882">
        <v>0</v>
      </c>
    </row>
    <row r="883" spans="1:14" x14ac:dyDescent="0.25">
      <c r="A883">
        <v>550.51939100000004</v>
      </c>
      <c r="B883" s="1">
        <f>DATE(2011,11,2) + TIME(12,27,55)</f>
        <v>40849.519386574073</v>
      </c>
      <c r="C883">
        <v>1305.6182861</v>
      </c>
      <c r="D883">
        <v>1293.3461914</v>
      </c>
      <c r="E883">
        <v>1392.7145995999999</v>
      </c>
      <c r="F883">
        <v>1372.8811035000001</v>
      </c>
      <c r="G883">
        <v>80</v>
      </c>
      <c r="H883">
        <v>79.613899231000005</v>
      </c>
      <c r="I883">
        <v>50</v>
      </c>
      <c r="J883">
        <v>50.167491912999999</v>
      </c>
      <c r="K883">
        <v>0</v>
      </c>
      <c r="L883">
        <v>2400</v>
      </c>
      <c r="M883">
        <v>2400</v>
      </c>
      <c r="N883">
        <v>0</v>
      </c>
    </row>
    <row r="884" spans="1:14" x14ac:dyDescent="0.25">
      <c r="A884">
        <v>550.71428800000001</v>
      </c>
      <c r="B884" s="1">
        <f>DATE(2011,11,2) + TIME(17,8,34)</f>
        <v>40849.714282407411</v>
      </c>
      <c r="C884">
        <v>1305.6064452999999</v>
      </c>
      <c r="D884">
        <v>1293.3332519999999</v>
      </c>
      <c r="E884">
        <v>1392.6732178</v>
      </c>
      <c r="F884">
        <v>1372.8411865</v>
      </c>
      <c r="G884">
        <v>80</v>
      </c>
      <c r="H884">
        <v>79.579040527000004</v>
      </c>
      <c r="I884">
        <v>50</v>
      </c>
      <c r="J884">
        <v>50.127319335999999</v>
      </c>
      <c r="K884">
        <v>0</v>
      </c>
      <c r="L884">
        <v>2400</v>
      </c>
      <c r="M884">
        <v>2400</v>
      </c>
      <c r="N884">
        <v>0</v>
      </c>
    </row>
    <row r="885" spans="1:14" x14ac:dyDescent="0.25">
      <c r="A885">
        <v>550.92549099999997</v>
      </c>
      <c r="B885" s="1">
        <f>DATE(2011,11,2) + TIME(22,12,42)</f>
        <v>40849.925486111111</v>
      </c>
      <c r="C885">
        <v>1305.5939940999999</v>
      </c>
      <c r="D885">
        <v>1293.3195800999999</v>
      </c>
      <c r="E885">
        <v>1392.6345214999999</v>
      </c>
      <c r="F885">
        <v>1372.8048096</v>
      </c>
      <c r="G885">
        <v>80</v>
      </c>
      <c r="H885">
        <v>79.542091369999994</v>
      </c>
      <c r="I885">
        <v>50</v>
      </c>
      <c r="J885">
        <v>50.092857361</v>
      </c>
      <c r="K885">
        <v>0</v>
      </c>
      <c r="L885">
        <v>2400</v>
      </c>
      <c r="M885">
        <v>2400</v>
      </c>
      <c r="N885">
        <v>0</v>
      </c>
    </row>
    <row r="886" spans="1:14" x14ac:dyDescent="0.25">
      <c r="A886">
        <v>551.14646100000004</v>
      </c>
      <c r="B886" s="1">
        <f>DATE(2011,11,3) + TIME(3,30,54)</f>
        <v>40850.146458333336</v>
      </c>
      <c r="C886">
        <v>1305.5805664</v>
      </c>
      <c r="D886">
        <v>1293.3049315999999</v>
      </c>
      <c r="E886">
        <v>1392.5992432</v>
      </c>
      <c r="F886">
        <v>1372.7724608999999</v>
      </c>
      <c r="G886">
        <v>80</v>
      </c>
      <c r="H886">
        <v>79.503952025999993</v>
      </c>
      <c r="I886">
        <v>50</v>
      </c>
      <c r="J886">
        <v>50.064582825000002</v>
      </c>
      <c r="K886">
        <v>0</v>
      </c>
      <c r="L886">
        <v>2400</v>
      </c>
      <c r="M886">
        <v>2400</v>
      </c>
      <c r="N886">
        <v>0</v>
      </c>
    </row>
    <row r="887" spans="1:14" x14ac:dyDescent="0.25">
      <c r="A887">
        <v>551.37485400000003</v>
      </c>
      <c r="B887" s="1">
        <f>DATE(2011,11,3) + TIME(8,59,47)</f>
        <v>40850.374849537038</v>
      </c>
      <c r="C887">
        <v>1305.5666504000001</v>
      </c>
      <c r="D887">
        <v>1293.2896728999999</v>
      </c>
      <c r="E887">
        <v>1392.5673827999999</v>
      </c>
      <c r="F887">
        <v>1372.7440185999999</v>
      </c>
      <c r="G887">
        <v>80</v>
      </c>
      <c r="H887">
        <v>79.464920043999996</v>
      </c>
      <c r="I887">
        <v>50</v>
      </c>
      <c r="J887">
        <v>50.041831969999997</v>
      </c>
      <c r="K887">
        <v>0</v>
      </c>
      <c r="L887">
        <v>2400</v>
      </c>
      <c r="M887">
        <v>2400</v>
      </c>
      <c r="N887">
        <v>0</v>
      </c>
    </row>
    <row r="888" spans="1:14" x14ac:dyDescent="0.25">
      <c r="A888">
        <v>551.613473</v>
      </c>
      <c r="B888" s="1">
        <f>DATE(2011,11,3) + TIME(14,43,24)</f>
        <v>40850.61347222222</v>
      </c>
      <c r="C888">
        <v>1305.5524902</v>
      </c>
      <c r="D888">
        <v>1293.2740478999999</v>
      </c>
      <c r="E888">
        <v>1392.5388184000001</v>
      </c>
      <c r="F888">
        <v>1372.7188721</v>
      </c>
      <c r="G888">
        <v>80</v>
      </c>
      <c r="H888">
        <v>79.424644470000004</v>
      </c>
      <c r="I888">
        <v>50</v>
      </c>
      <c r="J888">
        <v>50.023517609000002</v>
      </c>
      <c r="K888">
        <v>0</v>
      </c>
      <c r="L888">
        <v>2400</v>
      </c>
      <c r="M888">
        <v>2400</v>
      </c>
      <c r="N888">
        <v>0</v>
      </c>
    </row>
    <row r="889" spans="1:14" x14ac:dyDescent="0.25">
      <c r="A889">
        <v>551.86182699999995</v>
      </c>
      <c r="B889" s="1">
        <f>DATE(2011,11,3) + TIME(20,41,1)</f>
        <v>40850.861817129633</v>
      </c>
      <c r="C889">
        <v>1305.5378418</v>
      </c>
      <c r="D889">
        <v>1293.2578125</v>
      </c>
      <c r="E889">
        <v>1392.5128173999999</v>
      </c>
      <c r="F889">
        <v>1372.6966553</v>
      </c>
      <c r="G889">
        <v>80</v>
      </c>
      <c r="H889">
        <v>79.383186339999995</v>
      </c>
      <c r="I889">
        <v>50</v>
      </c>
      <c r="J889">
        <v>50.008968353</v>
      </c>
      <c r="K889">
        <v>0</v>
      </c>
      <c r="L889">
        <v>2400</v>
      </c>
      <c r="M889">
        <v>2400</v>
      </c>
      <c r="N889">
        <v>0</v>
      </c>
    </row>
    <row r="890" spans="1:14" x14ac:dyDescent="0.25">
      <c r="A890">
        <v>552.12074700000005</v>
      </c>
      <c r="B890" s="1">
        <f>DATE(2011,11,4) + TIME(2,53,52)</f>
        <v>40851.120740740742</v>
      </c>
      <c r="C890">
        <v>1305.5227050999999</v>
      </c>
      <c r="D890">
        <v>1293.2412108999999</v>
      </c>
      <c r="E890">
        <v>1392.4891356999999</v>
      </c>
      <c r="F890">
        <v>1372.6767577999999</v>
      </c>
      <c r="G890">
        <v>80</v>
      </c>
      <c r="H890">
        <v>79.340438843000001</v>
      </c>
      <c r="I890">
        <v>50</v>
      </c>
      <c r="J890">
        <v>49.997516632</v>
      </c>
      <c r="K890">
        <v>0</v>
      </c>
      <c r="L890">
        <v>2400</v>
      </c>
      <c r="M890">
        <v>2400</v>
      </c>
      <c r="N890">
        <v>0</v>
      </c>
    </row>
    <row r="891" spans="1:14" x14ac:dyDescent="0.25">
      <c r="A891">
        <v>552.39248399999997</v>
      </c>
      <c r="B891" s="1">
        <f>DATE(2011,11,4) + TIME(9,25,10)</f>
        <v>40851.392476851855</v>
      </c>
      <c r="C891">
        <v>1305.5070800999999</v>
      </c>
      <c r="D891">
        <v>1293.2238769999999</v>
      </c>
      <c r="E891">
        <v>1392.4674072</v>
      </c>
      <c r="F891">
        <v>1372.6588135</v>
      </c>
      <c r="G891">
        <v>80</v>
      </c>
      <c r="H891">
        <v>79.296119689999998</v>
      </c>
      <c r="I891">
        <v>50</v>
      </c>
      <c r="J891">
        <v>49.988552093999999</v>
      </c>
      <c r="K891">
        <v>0</v>
      </c>
      <c r="L891">
        <v>2400</v>
      </c>
      <c r="M891">
        <v>2400</v>
      </c>
      <c r="N891">
        <v>0</v>
      </c>
    </row>
    <row r="892" spans="1:14" x14ac:dyDescent="0.25">
      <c r="A892">
        <v>552.67952500000001</v>
      </c>
      <c r="B892" s="1">
        <f>DATE(2011,11,4) + TIME(16,18,30)</f>
        <v>40851.679513888892</v>
      </c>
      <c r="C892">
        <v>1305.4909668</v>
      </c>
      <c r="D892">
        <v>1293.2059326000001</v>
      </c>
      <c r="E892">
        <v>1392.4470214999999</v>
      </c>
      <c r="F892">
        <v>1372.6423339999999</v>
      </c>
      <c r="G892">
        <v>80</v>
      </c>
      <c r="H892">
        <v>79.249931334999999</v>
      </c>
      <c r="I892">
        <v>50</v>
      </c>
      <c r="J892">
        <v>49.981605530000003</v>
      </c>
      <c r="K892">
        <v>0</v>
      </c>
      <c r="L892">
        <v>2400</v>
      </c>
      <c r="M892">
        <v>2400</v>
      </c>
      <c r="N892">
        <v>0</v>
      </c>
    </row>
    <row r="893" spans="1:14" x14ac:dyDescent="0.25">
      <c r="A893">
        <v>552.98480900000004</v>
      </c>
      <c r="B893" s="1">
        <f>DATE(2011,11,4) + TIME(23,38,7)</f>
        <v>40851.984803240739</v>
      </c>
      <c r="C893">
        <v>1305.473999</v>
      </c>
      <c r="D893">
        <v>1293.1871338000001</v>
      </c>
      <c r="E893">
        <v>1392.4278564000001</v>
      </c>
      <c r="F893">
        <v>1372.6270752</v>
      </c>
      <c r="G893">
        <v>80</v>
      </c>
      <c r="H893">
        <v>79.201522827000005</v>
      </c>
      <c r="I893">
        <v>50</v>
      </c>
      <c r="J893">
        <v>49.976284026999998</v>
      </c>
      <c r="K893">
        <v>0</v>
      </c>
      <c r="L893">
        <v>2400</v>
      </c>
      <c r="M893">
        <v>2400</v>
      </c>
      <c r="N893">
        <v>0</v>
      </c>
    </row>
    <row r="894" spans="1:14" x14ac:dyDescent="0.25">
      <c r="A894">
        <v>553.31188899999995</v>
      </c>
      <c r="B894" s="1">
        <f>DATE(2011,11,5) + TIME(7,29,7)</f>
        <v>40852.311886574076</v>
      </c>
      <c r="C894">
        <v>1305.4561768000001</v>
      </c>
      <c r="D894">
        <v>1293.1672363</v>
      </c>
      <c r="E894">
        <v>1392.4095459</v>
      </c>
      <c r="F894">
        <v>1372.6126709</v>
      </c>
      <c r="G894">
        <v>80</v>
      </c>
      <c r="H894">
        <v>79.150451660000002</v>
      </c>
      <c r="I894">
        <v>50</v>
      </c>
      <c r="J894">
        <v>49.972267150999997</v>
      </c>
      <c r="K894">
        <v>0</v>
      </c>
      <c r="L894">
        <v>2400</v>
      </c>
      <c r="M894">
        <v>2400</v>
      </c>
      <c r="N894">
        <v>0</v>
      </c>
    </row>
    <row r="895" spans="1:14" x14ac:dyDescent="0.25">
      <c r="A895">
        <v>553.659536</v>
      </c>
      <c r="B895" s="1">
        <f>DATE(2011,11,5) + TIME(15,49,43)</f>
        <v>40852.659525462965</v>
      </c>
      <c r="C895">
        <v>1305.4372559000001</v>
      </c>
      <c r="D895">
        <v>1293.1461182</v>
      </c>
      <c r="E895">
        <v>1392.3917236</v>
      </c>
      <c r="F895">
        <v>1372.5988769999999</v>
      </c>
      <c r="G895">
        <v>80</v>
      </c>
      <c r="H895">
        <v>79.096832274999997</v>
      </c>
      <c r="I895">
        <v>50</v>
      </c>
      <c r="J895">
        <v>49.969333648999999</v>
      </c>
      <c r="K895">
        <v>0</v>
      </c>
      <c r="L895">
        <v>2400</v>
      </c>
      <c r="M895">
        <v>2400</v>
      </c>
      <c r="N895">
        <v>0</v>
      </c>
    </row>
    <row r="896" spans="1:14" x14ac:dyDescent="0.25">
      <c r="A896">
        <v>554.02642200000003</v>
      </c>
      <c r="B896" s="1">
        <f>DATE(2011,11,6) + TIME(0,38,2)</f>
        <v>40853.026412037034</v>
      </c>
      <c r="C896">
        <v>1305.4172363</v>
      </c>
      <c r="D896">
        <v>1293.1239014</v>
      </c>
      <c r="E896">
        <v>1392.3745117000001</v>
      </c>
      <c r="F896">
        <v>1372.5854492000001</v>
      </c>
      <c r="G896">
        <v>80</v>
      </c>
      <c r="H896">
        <v>79.040779114000003</v>
      </c>
      <c r="I896">
        <v>50</v>
      </c>
      <c r="J896">
        <v>49.967250823999997</v>
      </c>
      <c r="K896">
        <v>0</v>
      </c>
      <c r="L896">
        <v>2400</v>
      </c>
      <c r="M896">
        <v>2400</v>
      </c>
      <c r="N896">
        <v>0</v>
      </c>
    </row>
    <row r="897" spans="1:14" x14ac:dyDescent="0.25">
      <c r="A897">
        <v>554.41680699999995</v>
      </c>
      <c r="B897" s="1">
        <f>DATE(2011,11,6) + TIME(10,0,12)</f>
        <v>40853.416805555556</v>
      </c>
      <c r="C897">
        <v>1305.3962402</v>
      </c>
      <c r="D897">
        <v>1293.1005858999999</v>
      </c>
      <c r="E897">
        <v>1392.3576660000001</v>
      </c>
      <c r="F897">
        <v>1372.5726318</v>
      </c>
      <c r="G897">
        <v>80</v>
      </c>
      <c r="H897">
        <v>78.981864928999997</v>
      </c>
      <c r="I897">
        <v>50</v>
      </c>
      <c r="J897">
        <v>49.965808868000003</v>
      </c>
      <c r="K897">
        <v>0</v>
      </c>
      <c r="L897">
        <v>2400</v>
      </c>
      <c r="M897">
        <v>2400</v>
      </c>
      <c r="N897">
        <v>0</v>
      </c>
    </row>
    <row r="898" spans="1:14" x14ac:dyDescent="0.25">
      <c r="A898">
        <v>554.83538199999998</v>
      </c>
      <c r="B898" s="1">
        <f>DATE(2011,11,6) + TIME(20,2,57)</f>
        <v>40853.835381944446</v>
      </c>
      <c r="C898">
        <v>1305.3741454999999</v>
      </c>
      <c r="D898">
        <v>1293.0758057</v>
      </c>
      <c r="E898">
        <v>1392.3410644999999</v>
      </c>
      <c r="F898">
        <v>1372.5599365</v>
      </c>
      <c r="G898">
        <v>80</v>
      </c>
      <c r="H898">
        <v>78.919616699000002</v>
      </c>
      <c r="I898">
        <v>50</v>
      </c>
      <c r="J898">
        <v>49.96484375</v>
      </c>
      <c r="K898">
        <v>0</v>
      </c>
      <c r="L898">
        <v>2400</v>
      </c>
      <c r="M898">
        <v>2400</v>
      </c>
      <c r="N898">
        <v>0</v>
      </c>
    </row>
    <row r="899" spans="1:14" x14ac:dyDescent="0.25">
      <c r="A899">
        <v>555.28833799999995</v>
      </c>
      <c r="B899" s="1">
        <f>DATE(2011,11,7) + TIME(6,55,12)</f>
        <v>40854.28833333333</v>
      </c>
      <c r="C899">
        <v>1305.3507079999999</v>
      </c>
      <c r="D899">
        <v>1293.0495605000001</v>
      </c>
      <c r="E899">
        <v>1392.3243408000001</v>
      </c>
      <c r="F899">
        <v>1372.5472411999999</v>
      </c>
      <c r="G899">
        <v>80</v>
      </c>
      <c r="H899">
        <v>78.853363036999994</v>
      </c>
      <c r="I899">
        <v>50</v>
      </c>
      <c r="J899">
        <v>49.964229584000002</v>
      </c>
      <c r="K899">
        <v>0</v>
      </c>
      <c r="L899">
        <v>2400</v>
      </c>
      <c r="M899">
        <v>2400</v>
      </c>
      <c r="N899">
        <v>0</v>
      </c>
    </row>
    <row r="900" spans="1:14" x14ac:dyDescent="0.25">
      <c r="A900">
        <v>555.75385500000004</v>
      </c>
      <c r="B900" s="1">
        <f>DATE(2011,11,7) + TIME(18,5,33)</f>
        <v>40854.753854166665</v>
      </c>
      <c r="C900">
        <v>1305.3253173999999</v>
      </c>
      <c r="D900">
        <v>1293.0213623</v>
      </c>
      <c r="E900">
        <v>1392.3073730000001</v>
      </c>
      <c r="F900">
        <v>1372.5343018000001</v>
      </c>
      <c r="G900">
        <v>80</v>
      </c>
      <c r="H900">
        <v>78.785041809000006</v>
      </c>
      <c r="I900">
        <v>50</v>
      </c>
      <c r="J900">
        <v>49.963878631999997</v>
      </c>
      <c r="K900">
        <v>0</v>
      </c>
      <c r="L900">
        <v>2400</v>
      </c>
      <c r="M900">
        <v>2400</v>
      </c>
      <c r="N900">
        <v>0</v>
      </c>
    </row>
    <row r="901" spans="1:14" x14ac:dyDescent="0.25">
      <c r="A901">
        <v>556.22879799999998</v>
      </c>
      <c r="B901" s="1">
        <f>DATE(2011,11,8) + TIME(5,29,28)</f>
        <v>40855.228796296295</v>
      </c>
      <c r="C901">
        <v>1305.2993164</v>
      </c>
      <c r="D901">
        <v>1292.9925536999999</v>
      </c>
      <c r="E901">
        <v>1392.2910156</v>
      </c>
      <c r="F901">
        <v>1372.5218506000001</v>
      </c>
      <c r="G901">
        <v>80</v>
      </c>
      <c r="H901">
        <v>78.715255737000007</v>
      </c>
      <c r="I901">
        <v>50</v>
      </c>
      <c r="J901">
        <v>49.963699341000002</v>
      </c>
      <c r="K901">
        <v>0</v>
      </c>
      <c r="L901">
        <v>2400</v>
      </c>
      <c r="M901">
        <v>2400</v>
      </c>
      <c r="N901">
        <v>0</v>
      </c>
    </row>
    <row r="902" spans="1:14" x14ac:dyDescent="0.25">
      <c r="A902">
        <v>556.71479399999998</v>
      </c>
      <c r="B902" s="1">
        <f>DATE(2011,11,8) + TIME(17,9,18)</f>
        <v>40855.714791666665</v>
      </c>
      <c r="C902">
        <v>1305.2730713000001</v>
      </c>
      <c r="D902">
        <v>1292.9631348</v>
      </c>
      <c r="E902">
        <v>1392.2751464999999</v>
      </c>
      <c r="F902">
        <v>1372.5096435999999</v>
      </c>
      <c r="G902">
        <v>80</v>
      </c>
      <c r="H902">
        <v>78.644134520999998</v>
      </c>
      <c r="I902">
        <v>50</v>
      </c>
      <c r="J902">
        <v>49.963630676000001</v>
      </c>
      <c r="K902">
        <v>0</v>
      </c>
      <c r="L902">
        <v>2400</v>
      </c>
      <c r="M902">
        <v>2400</v>
      </c>
      <c r="N902">
        <v>0</v>
      </c>
    </row>
    <row r="903" spans="1:14" x14ac:dyDescent="0.25">
      <c r="A903">
        <v>557.21543999999994</v>
      </c>
      <c r="B903" s="1">
        <f>DATE(2011,11,9) + TIME(5,10,13)</f>
        <v>40856.215428240743</v>
      </c>
      <c r="C903">
        <v>1305.2463379000001</v>
      </c>
      <c r="D903">
        <v>1292.9333495999999</v>
      </c>
      <c r="E903">
        <v>1392.2596435999999</v>
      </c>
      <c r="F903">
        <v>1372.4979248</v>
      </c>
      <c r="G903">
        <v>80</v>
      </c>
      <c r="H903">
        <v>78.571510314999998</v>
      </c>
      <c r="I903">
        <v>50</v>
      </c>
      <c r="J903">
        <v>49.963626861999998</v>
      </c>
      <c r="K903">
        <v>0</v>
      </c>
      <c r="L903">
        <v>2400</v>
      </c>
      <c r="M903">
        <v>2400</v>
      </c>
      <c r="N903">
        <v>0</v>
      </c>
    </row>
    <row r="904" spans="1:14" x14ac:dyDescent="0.25">
      <c r="A904">
        <v>557.734104</v>
      </c>
      <c r="B904" s="1">
        <f>DATE(2011,11,9) + TIME(17,37,6)</f>
        <v>40856.734097222223</v>
      </c>
      <c r="C904">
        <v>1305.2189940999999</v>
      </c>
      <c r="D904">
        <v>1292.9025879000001</v>
      </c>
      <c r="E904">
        <v>1392.2445068</v>
      </c>
      <c r="F904">
        <v>1372.4864502</v>
      </c>
      <c r="G904">
        <v>80</v>
      </c>
      <c r="H904">
        <v>78.497123717999997</v>
      </c>
      <c r="I904">
        <v>50</v>
      </c>
      <c r="J904">
        <v>49.963657378999997</v>
      </c>
      <c r="K904">
        <v>0</v>
      </c>
      <c r="L904">
        <v>2400</v>
      </c>
      <c r="M904">
        <v>2400</v>
      </c>
      <c r="N904">
        <v>0</v>
      </c>
    </row>
    <row r="905" spans="1:14" x14ac:dyDescent="0.25">
      <c r="A905">
        <v>558.27391799999998</v>
      </c>
      <c r="B905" s="1">
        <f>DATE(2011,11,10) + TIME(6,34,26)</f>
        <v>40857.273912037039</v>
      </c>
      <c r="C905">
        <v>1305.1907959</v>
      </c>
      <c r="D905">
        <v>1292.8709716999999</v>
      </c>
      <c r="E905">
        <v>1392.2296143000001</v>
      </c>
      <c r="F905">
        <v>1372.4749756000001</v>
      </c>
      <c r="G905">
        <v>80</v>
      </c>
      <c r="H905">
        <v>78.420707703000005</v>
      </c>
      <c r="I905">
        <v>50</v>
      </c>
      <c r="J905">
        <v>49.963714600000003</v>
      </c>
      <c r="K905">
        <v>0</v>
      </c>
      <c r="L905">
        <v>2400</v>
      </c>
      <c r="M905">
        <v>2400</v>
      </c>
      <c r="N905">
        <v>0</v>
      </c>
    </row>
    <row r="906" spans="1:14" x14ac:dyDescent="0.25">
      <c r="A906">
        <v>558.83972800000004</v>
      </c>
      <c r="B906" s="1">
        <f>DATE(2011,11,10) + TIME(20,9,12)</f>
        <v>40857.839722222219</v>
      </c>
      <c r="C906">
        <v>1305.1616211</v>
      </c>
      <c r="D906">
        <v>1292.8381348</v>
      </c>
      <c r="E906">
        <v>1392.2147216999999</v>
      </c>
      <c r="F906">
        <v>1372.4636230000001</v>
      </c>
      <c r="G906">
        <v>80</v>
      </c>
      <c r="H906">
        <v>78.341796875</v>
      </c>
      <c r="I906">
        <v>50</v>
      </c>
      <c r="J906">
        <v>49.963779449</v>
      </c>
      <c r="K906">
        <v>0</v>
      </c>
      <c r="L906">
        <v>2400</v>
      </c>
      <c r="M906">
        <v>2400</v>
      </c>
      <c r="N906">
        <v>0</v>
      </c>
    </row>
    <row r="907" spans="1:14" x14ac:dyDescent="0.25">
      <c r="A907">
        <v>559.43712000000005</v>
      </c>
      <c r="B907" s="1">
        <f>DATE(2011,11,11) + TIME(10,29,27)</f>
        <v>40858.437118055554</v>
      </c>
      <c r="C907">
        <v>1305.1312256000001</v>
      </c>
      <c r="D907">
        <v>1292.8038329999999</v>
      </c>
      <c r="E907">
        <v>1392.1998291</v>
      </c>
      <c r="F907">
        <v>1372.4522704999999</v>
      </c>
      <c r="G907">
        <v>80</v>
      </c>
      <c r="H907">
        <v>78.259834290000001</v>
      </c>
      <c r="I907">
        <v>50</v>
      </c>
      <c r="J907">
        <v>49.963851929</v>
      </c>
      <c r="K907">
        <v>0</v>
      </c>
      <c r="L907">
        <v>2400</v>
      </c>
      <c r="M907">
        <v>2400</v>
      </c>
      <c r="N907">
        <v>0</v>
      </c>
    </row>
    <row r="908" spans="1:14" x14ac:dyDescent="0.25">
      <c r="A908">
        <v>560.07269399999996</v>
      </c>
      <c r="B908" s="1">
        <f>DATE(2011,11,12) + TIME(1,44,40)</f>
        <v>40859.072685185187</v>
      </c>
      <c r="C908">
        <v>1305.0991211</v>
      </c>
      <c r="D908">
        <v>1292.7677002</v>
      </c>
      <c r="E908">
        <v>1392.1848144999999</v>
      </c>
      <c r="F908">
        <v>1372.4407959</v>
      </c>
      <c r="G908">
        <v>80</v>
      </c>
      <c r="H908">
        <v>78.174163817999997</v>
      </c>
      <c r="I908">
        <v>50</v>
      </c>
      <c r="J908">
        <v>49.963920592999997</v>
      </c>
      <c r="K908">
        <v>0</v>
      </c>
      <c r="L908">
        <v>2400</v>
      </c>
      <c r="M908">
        <v>2400</v>
      </c>
      <c r="N908">
        <v>0</v>
      </c>
    </row>
    <row r="909" spans="1:14" x14ac:dyDescent="0.25">
      <c r="A909">
        <v>560.73609699999997</v>
      </c>
      <c r="B909" s="1">
        <f>DATE(2011,11,12) + TIME(17,39,58)</f>
        <v>40859.736087962963</v>
      </c>
      <c r="C909">
        <v>1305.0650635</v>
      </c>
      <c r="D909">
        <v>1292.7293701000001</v>
      </c>
      <c r="E909">
        <v>1392.1695557</v>
      </c>
      <c r="F909">
        <v>1372.4291992000001</v>
      </c>
      <c r="G909">
        <v>80</v>
      </c>
      <c r="H909">
        <v>78.085350036999998</v>
      </c>
      <c r="I909">
        <v>50</v>
      </c>
      <c r="J909">
        <v>49.963985442999999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561.40695800000003</v>
      </c>
      <c r="B910" s="1">
        <f>DATE(2011,11,13) + TIME(9,46,1)</f>
        <v>40860.406956018516</v>
      </c>
      <c r="C910">
        <v>1305.0295410000001</v>
      </c>
      <c r="D910">
        <v>1292.6893310999999</v>
      </c>
      <c r="E910">
        <v>1392.1542969</v>
      </c>
      <c r="F910">
        <v>1372.4174805</v>
      </c>
      <c r="G910">
        <v>80</v>
      </c>
      <c r="H910">
        <v>77.995079040999997</v>
      </c>
      <c r="I910">
        <v>50</v>
      </c>
      <c r="J910">
        <v>49.964046478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562.090461</v>
      </c>
      <c r="B911" s="1">
        <f>DATE(2011,11,14) + TIME(2,10,15)</f>
        <v>40861.090451388889</v>
      </c>
      <c r="C911">
        <v>1304.9936522999999</v>
      </c>
      <c r="D911">
        <v>1292.6489257999999</v>
      </c>
      <c r="E911">
        <v>1392.1395264</v>
      </c>
      <c r="F911">
        <v>1372.40625</v>
      </c>
      <c r="G911">
        <v>80</v>
      </c>
      <c r="H911">
        <v>77.903594971000004</v>
      </c>
      <c r="I911">
        <v>50</v>
      </c>
      <c r="J911">
        <v>49.964099883999999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562.79172400000004</v>
      </c>
      <c r="B912" s="1">
        <f>DATE(2011,11,14) + TIME(19,0,4)</f>
        <v>40861.791712962964</v>
      </c>
      <c r="C912">
        <v>1304.9572754000001</v>
      </c>
      <c r="D912">
        <v>1292.6075439000001</v>
      </c>
      <c r="E912">
        <v>1392.1251221</v>
      </c>
      <c r="F912">
        <v>1372.3951416</v>
      </c>
      <c r="G912">
        <v>80</v>
      </c>
      <c r="H912">
        <v>77.810775757000002</v>
      </c>
      <c r="I912">
        <v>50</v>
      </c>
      <c r="J912">
        <v>49.964149474999999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563.51598899999999</v>
      </c>
      <c r="B913" s="1">
        <f>DATE(2011,11,15) + TIME(12,23,1)</f>
        <v>40862.515983796293</v>
      </c>
      <c r="C913">
        <v>1304.9199219</v>
      </c>
      <c r="D913">
        <v>1292.5651855000001</v>
      </c>
      <c r="E913">
        <v>1392.1109618999999</v>
      </c>
      <c r="F913">
        <v>1372.3842772999999</v>
      </c>
      <c r="G913">
        <v>80</v>
      </c>
      <c r="H913">
        <v>77.716255188000005</v>
      </c>
      <c r="I913">
        <v>50</v>
      </c>
      <c r="J913">
        <v>49.964191436999997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564.26888099999996</v>
      </c>
      <c r="B914" s="1">
        <f>DATE(2011,11,16) + TIME(6,27,11)</f>
        <v>40863.268877314818</v>
      </c>
      <c r="C914">
        <v>1304.8813477000001</v>
      </c>
      <c r="D914">
        <v>1292.5213623</v>
      </c>
      <c r="E914">
        <v>1392.0969238</v>
      </c>
      <c r="F914">
        <v>1372.3735352000001</v>
      </c>
      <c r="G914">
        <v>80</v>
      </c>
      <c r="H914">
        <v>77.619567871000001</v>
      </c>
      <c r="I914">
        <v>50</v>
      </c>
      <c r="J914">
        <v>49.964233397999998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565.05529000000001</v>
      </c>
      <c r="B915" s="1">
        <f>DATE(2011,11,17) + TIME(1,19,37)</f>
        <v>40864.055289351854</v>
      </c>
      <c r="C915">
        <v>1304.8413086</v>
      </c>
      <c r="D915">
        <v>1292.4755858999999</v>
      </c>
      <c r="E915">
        <v>1392.0828856999999</v>
      </c>
      <c r="F915">
        <v>1372.362793</v>
      </c>
      <c r="G915">
        <v>80</v>
      </c>
      <c r="H915">
        <v>77.520217896000005</v>
      </c>
      <c r="I915">
        <v>50</v>
      </c>
      <c r="J915">
        <v>49.964271545000003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565.88112100000001</v>
      </c>
      <c r="B916" s="1">
        <f>DATE(2011,11,17) + TIME(21,8,48)</f>
        <v>40864.881111111114</v>
      </c>
      <c r="C916">
        <v>1304.7993164</v>
      </c>
      <c r="D916">
        <v>1292.4277344</v>
      </c>
      <c r="E916">
        <v>1392.0687256000001</v>
      </c>
      <c r="F916">
        <v>1372.3519286999999</v>
      </c>
      <c r="G916">
        <v>80</v>
      </c>
      <c r="H916">
        <v>77.417648314999994</v>
      </c>
      <c r="I916">
        <v>50</v>
      </c>
      <c r="J916">
        <v>49.964309692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566.754007</v>
      </c>
      <c r="B917" s="1">
        <f>DATE(2011,11,18) + TIME(18,5,46)</f>
        <v>40865.754004629627</v>
      </c>
      <c r="C917">
        <v>1304.755249</v>
      </c>
      <c r="D917">
        <v>1292.3771973</v>
      </c>
      <c r="E917">
        <v>1392.0544434000001</v>
      </c>
      <c r="F917">
        <v>1372.3410644999999</v>
      </c>
      <c r="G917">
        <v>80</v>
      </c>
      <c r="H917">
        <v>77.311172485</v>
      </c>
      <c r="I917">
        <v>50</v>
      </c>
      <c r="J917">
        <v>49.964344025000003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567.63351499999999</v>
      </c>
      <c r="B918" s="1">
        <f>DATE(2011,11,19) + TIME(15,12,15)</f>
        <v>40866.633506944447</v>
      </c>
      <c r="C918">
        <v>1304.708374</v>
      </c>
      <c r="D918">
        <v>1292.3237305</v>
      </c>
      <c r="E918">
        <v>1392.0397949000001</v>
      </c>
      <c r="F918">
        <v>1372.3298339999999</v>
      </c>
      <c r="G918">
        <v>80</v>
      </c>
      <c r="H918">
        <v>77.202919006000002</v>
      </c>
      <c r="I918">
        <v>50</v>
      </c>
      <c r="J918">
        <v>49.964378357000001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568.52612899999997</v>
      </c>
      <c r="B919" s="1">
        <f>DATE(2011,11,20) + TIME(12,37,37)</f>
        <v>40867.526122685187</v>
      </c>
      <c r="C919">
        <v>1304.6610106999999</v>
      </c>
      <c r="D919">
        <v>1292.2694091999999</v>
      </c>
      <c r="E919">
        <v>1392.0256348</v>
      </c>
      <c r="F919">
        <v>1372.3189697</v>
      </c>
      <c r="G919">
        <v>80</v>
      </c>
      <c r="H919">
        <v>77.093673706000004</v>
      </c>
      <c r="I919">
        <v>50</v>
      </c>
      <c r="J919">
        <v>49.964408874999997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569.43826100000001</v>
      </c>
      <c r="B920" s="1">
        <f>DATE(2011,11,21) + TIME(10,31,5)</f>
        <v>40868.438252314816</v>
      </c>
      <c r="C920">
        <v>1304.6126709</v>
      </c>
      <c r="D920">
        <v>1292.2138672000001</v>
      </c>
      <c r="E920">
        <v>1392.0117187999999</v>
      </c>
      <c r="F920">
        <v>1372.3083495999999</v>
      </c>
      <c r="G920">
        <v>80</v>
      </c>
      <c r="H920">
        <v>76.983421325999998</v>
      </c>
      <c r="I920">
        <v>50</v>
      </c>
      <c r="J920">
        <v>49.964443207000002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570.376576</v>
      </c>
      <c r="B921" s="1">
        <f>DATE(2011,11,22) + TIME(9,2,16)</f>
        <v>40869.376574074071</v>
      </c>
      <c r="C921">
        <v>1304.5632324000001</v>
      </c>
      <c r="D921">
        <v>1292.1566161999999</v>
      </c>
      <c r="E921">
        <v>1391.9979248</v>
      </c>
      <c r="F921">
        <v>1372.2977295000001</v>
      </c>
      <c r="G921">
        <v>80</v>
      </c>
      <c r="H921">
        <v>76.871803283999995</v>
      </c>
      <c r="I921">
        <v>50</v>
      </c>
      <c r="J921">
        <v>49.964473724000001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571.34792800000002</v>
      </c>
      <c r="B922" s="1">
        <f>DATE(2011,11,23) + TIME(8,21,0)</f>
        <v>40870.347916666666</v>
      </c>
      <c r="C922">
        <v>1304.5119629000001</v>
      </c>
      <c r="D922">
        <v>1292.0972899999999</v>
      </c>
      <c r="E922">
        <v>1391.984375</v>
      </c>
      <c r="F922">
        <v>1372.2873535000001</v>
      </c>
      <c r="G922">
        <v>80</v>
      </c>
      <c r="H922">
        <v>76.758262634000005</v>
      </c>
      <c r="I922">
        <v>50</v>
      </c>
      <c r="J922">
        <v>49.964504241999997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572.36013400000002</v>
      </c>
      <c r="B923" s="1">
        <f>DATE(2011,11,24) + TIME(8,38,35)</f>
        <v>40871.360127314816</v>
      </c>
      <c r="C923">
        <v>1304.4586182</v>
      </c>
      <c r="D923">
        <v>1292.0352783000001</v>
      </c>
      <c r="E923">
        <v>1391.9705810999999</v>
      </c>
      <c r="F923">
        <v>1372.2767334</v>
      </c>
      <c r="G923">
        <v>80</v>
      </c>
      <c r="H923">
        <v>76.642135620000005</v>
      </c>
      <c r="I923">
        <v>50</v>
      </c>
      <c r="J923">
        <v>49.964538574000002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573.41932399999996</v>
      </c>
      <c r="B924" s="1">
        <f>DATE(2011,11,25) + TIME(10,3,49)</f>
        <v>40872.419317129628</v>
      </c>
      <c r="C924">
        <v>1304.4027100000001</v>
      </c>
      <c r="D924">
        <v>1291.9700928</v>
      </c>
      <c r="E924">
        <v>1391.9567870999999</v>
      </c>
      <c r="F924">
        <v>1372.2662353999999</v>
      </c>
      <c r="G924">
        <v>80</v>
      </c>
      <c r="H924">
        <v>76.522789001000007</v>
      </c>
      <c r="I924">
        <v>50</v>
      </c>
      <c r="J924">
        <v>49.964572906000001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574.51045099999999</v>
      </c>
      <c r="B925" s="1">
        <f>DATE(2011,11,26) + TIME(12,15,3)</f>
        <v>40873.510451388887</v>
      </c>
      <c r="C925">
        <v>1304.34375</v>
      </c>
      <c r="D925">
        <v>1291.9012451000001</v>
      </c>
      <c r="E925">
        <v>1391.942749</v>
      </c>
      <c r="F925">
        <v>1372.2553711</v>
      </c>
      <c r="G925">
        <v>80</v>
      </c>
      <c r="H925">
        <v>76.400680542000003</v>
      </c>
      <c r="I925">
        <v>50</v>
      </c>
      <c r="J925">
        <v>49.964607239000003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575.61474799999996</v>
      </c>
      <c r="B926" s="1">
        <f>DATE(2011,11,27) + TIME(14,45,14)</f>
        <v>40874.614745370367</v>
      </c>
      <c r="C926">
        <v>1304.2823486</v>
      </c>
      <c r="D926">
        <v>1291.8294678</v>
      </c>
      <c r="E926">
        <v>1391.9287108999999</v>
      </c>
      <c r="F926">
        <v>1372.2446289</v>
      </c>
      <c r="G926">
        <v>80</v>
      </c>
      <c r="H926">
        <v>76.277175903</v>
      </c>
      <c r="I926">
        <v>50</v>
      </c>
      <c r="J926">
        <v>49.964641571000001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576.73722999999995</v>
      </c>
      <c r="B927" s="1">
        <f>DATE(2011,11,28) + TIME(17,41,36)</f>
        <v>40875.737222222226</v>
      </c>
      <c r="C927">
        <v>1304.2196045000001</v>
      </c>
      <c r="D927">
        <v>1291.7558594</v>
      </c>
      <c r="E927">
        <v>1391.9149170000001</v>
      </c>
      <c r="F927">
        <v>1372.2340088000001</v>
      </c>
      <c r="G927">
        <v>80</v>
      </c>
      <c r="H927">
        <v>76.152908324999999</v>
      </c>
      <c r="I927">
        <v>50</v>
      </c>
      <c r="J927">
        <v>49.964675903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577.88590099999999</v>
      </c>
      <c r="B928" s="1">
        <f>DATE(2011,11,29) + TIME(21,15,41)</f>
        <v>40876.885891203703</v>
      </c>
      <c r="C928">
        <v>1304.1552733999999</v>
      </c>
      <c r="D928">
        <v>1291.6799315999999</v>
      </c>
      <c r="E928">
        <v>1391.9013672000001</v>
      </c>
      <c r="F928">
        <v>1372.2235106999999</v>
      </c>
      <c r="G928">
        <v>80</v>
      </c>
      <c r="H928">
        <v>76.027732849000003</v>
      </c>
      <c r="I928">
        <v>50</v>
      </c>
      <c r="J928">
        <v>49.964714049999998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579</v>
      </c>
      <c r="B929" s="1">
        <f>DATE(2011,12,1) + TIME(0,0,0)</f>
        <v>40878</v>
      </c>
      <c r="C929">
        <v>1304.0887451000001</v>
      </c>
      <c r="D929">
        <v>1291.6013184000001</v>
      </c>
      <c r="E929">
        <v>1391.8878173999999</v>
      </c>
      <c r="F929">
        <v>1372.2130127</v>
      </c>
      <c r="G929">
        <v>80</v>
      </c>
      <c r="H929">
        <v>75.904373168999996</v>
      </c>
      <c r="I929">
        <v>50</v>
      </c>
      <c r="J929">
        <v>49.964748383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580.18296799999996</v>
      </c>
      <c r="B930" s="1">
        <f>DATE(2011,12,2) + TIME(4,23,28)</f>
        <v>40879.182962962965</v>
      </c>
      <c r="C930">
        <v>1304.0234375</v>
      </c>
      <c r="D930">
        <v>1291.5234375</v>
      </c>
      <c r="E930">
        <v>1391.875</v>
      </c>
      <c r="F930">
        <v>1372.2032471</v>
      </c>
      <c r="G930">
        <v>80</v>
      </c>
      <c r="H930">
        <v>75.779975891000007</v>
      </c>
      <c r="I930">
        <v>50</v>
      </c>
      <c r="J930">
        <v>49.964782714999998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581.45898999999997</v>
      </c>
      <c r="B931" s="1">
        <f>DATE(2011,12,3) + TIME(11,0,56)</f>
        <v>40880.458981481483</v>
      </c>
      <c r="C931">
        <v>1303.9536132999999</v>
      </c>
      <c r="D931">
        <v>1291.4398193</v>
      </c>
      <c r="E931">
        <v>1391.8618164</v>
      </c>
      <c r="F931">
        <v>1372.1931152</v>
      </c>
      <c r="G931">
        <v>80</v>
      </c>
      <c r="H931">
        <v>75.651046753000003</v>
      </c>
      <c r="I931">
        <v>50</v>
      </c>
      <c r="J931">
        <v>49.964824677000003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582.76599999999996</v>
      </c>
      <c r="B932" s="1">
        <f>DATE(2011,12,4) + TIME(18,23,2)</f>
        <v>40881.76599537037</v>
      </c>
      <c r="C932">
        <v>1303.8771973</v>
      </c>
      <c r="D932">
        <v>1291.3486327999999</v>
      </c>
      <c r="E932">
        <v>1391.8479004000001</v>
      </c>
      <c r="F932">
        <v>1372.1823730000001</v>
      </c>
      <c r="G932">
        <v>80</v>
      </c>
      <c r="H932">
        <v>75.518196106000005</v>
      </c>
      <c r="I932">
        <v>50</v>
      </c>
      <c r="J932">
        <v>49.964866637999997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584.09151299999996</v>
      </c>
      <c r="B933" s="1">
        <f>DATE(2011,12,6) + TIME(2,11,46)</f>
        <v>40883.091504629629</v>
      </c>
      <c r="C933">
        <v>1303.7978516000001</v>
      </c>
      <c r="D933">
        <v>1291.2535399999999</v>
      </c>
      <c r="E933">
        <v>1391.8341064000001</v>
      </c>
      <c r="F933">
        <v>1372.1716309000001</v>
      </c>
      <c r="G933">
        <v>80</v>
      </c>
      <c r="H933">
        <v>75.383460998999993</v>
      </c>
      <c r="I933">
        <v>50</v>
      </c>
      <c r="J933">
        <v>49.964904785000002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585.43732299999999</v>
      </c>
      <c r="B934" s="1">
        <f>DATE(2011,12,7) + TIME(10,29,44)</f>
        <v>40884.437314814815</v>
      </c>
      <c r="C934">
        <v>1303.7161865</v>
      </c>
      <c r="D934">
        <v>1291.1551514</v>
      </c>
      <c r="E934">
        <v>1391.8203125</v>
      </c>
      <c r="F934">
        <v>1372.1608887</v>
      </c>
      <c r="G934">
        <v>80</v>
      </c>
      <c r="H934">
        <v>75.247924804999997</v>
      </c>
      <c r="I934">
        <v>50</v>
      </c>
      <c r="J934">
        <v>49.964946746999999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586.81269499999996</v>
      </c>
      <c r="B935" s="1">
        <f>DATE(2011,12,8) + TIME(19,30,16)</f>
        <v>40885.812685185185</v>
      </c>
      <c r="C935">
        <v>1303.6320800999999</v>
      </c>
      <c r="D935">
        <v>1291.0533447</v>
      </c>
      <c r="E935">
        <v>1391.8067627</v>
      </c>
      <c r="F935">
        <v>1372.1503906</v>
      </c>
      <c r="G935">
        <v>80</v>
      </c>
      <c r="H935">
        <v>75.111625670999999</v>
      </c>
      <c r="I935">
        <v>50</v>
      </c>
      <c r="J935">
        <v>49.964992522999999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588.22717599999999</v>
      </c>
      <c r="B936" s="1">
        <f>DATE(2011,12,10) + TIME(5,27,7)</f>
        <v>40887.227164351854</v>
      </c>
      <c r="C936">
        <v>1303.5447998</v>
      </c>
      <c r="D936">
        <v>1290.9473877</v>
      </c>
      <c r="E936">
        <v>1391.7932129000001</v>
      </c>
      <c r="F936">
        <v>1372.1398925999999</v>
      </c>
      <c r="G936">
        <v>80</v>
      </c>
      <c r="H936">
        <v>74.974082946999999</v>
      </c>
      <c r="I936">
        <v>50</v>
      </c>
      <c r="J936">
        <v>49.965034484999997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589.69115499999998</v>
      </c>
      <c r="B937" s="1">
        <f>DATE(2011,12,11) + TIME(16,35,15)</f>
        <v>40888.691145833334</v>
      </c>
      <c r="C937">
        <v>1303.4537353999999</v>
      </c>
      <c r="D937">
        <v>1290.8363036999999</v>
      </c>
      <c r="E937">
        <v>1391.7796631000001</v>
      </c>
      <c r="F937">
        <v>1372.1292725000001</v>
      </c>
      <c r="G937">
        <v>80</v>
      </c>
      <c r="H937">
        <v>74.834442139000004</v>
      </c>
      <c r="I937">
        <v>50</v>
      </c>
      <c r="J937">
        <v>49.965080260999997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591.205331</v>
      </c>
      <c r="B938" s="1">
        <f>DATE(2011,12,13) + TIME(4,55,40)</f>
        <v>40890.205324074072</v>
      </c>
      <c r="C938">
        <v>1303.3579102000001</v>
      </c>
      <c r="D938">
        <v>1290.7189940999999</v>
      </c>
      <c r="E938">
        <v>1391.7658690999999</v>
      </c>
      <c r="F938">
        <v>1372.1185303</v>
      </c>
      <c r="G938">
        <v>80</v>
      </c>
      <c r="H938">
        <v>74.692283630000006</v>
      </c>
      <c r="I938">
        <v>50</v>
      </c>
      <c r="J938">
        <v>49.965129851999997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592.73647000000005</v>
      </c>
      <c r="B939" s="1">
        <f>DATE(2011,12,14) + TIME(17,40,30)</f>
        <v>40891.736458333333</v>
      </c>
      <c r="C939">
        <v>1303.2572021000001</v>
      </c>
      <c r="D939">
        <v>1290.5953368999999</v>
      </c>
      <c r="E939">
        <v>1391.7520752</v>
      </c>
      <c r="F939">
        <v>1372.1076660000001</v>
      </c>
      <c r="G939">
        <v>80</v>
      </c>
      <c r="H939">
        <v>74.548583984000004</v>
      </c>
      <c r="I939">
        <v>50</v>
      </c>
      <c r="J939">
        <v>49.965175629000001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594.29226000000006</v>
      </c>
      <c r="B940" s="1">
        <f>DATE(2011,12,16) + TIME(7,0,51)</f>
        <v>40893.292256944442</v>
      </c>
      <c r="C940">
        <v>1303.1534423999999</v>
      </c>
      <c r="D940">
        <v>1290.4671631000001</v>
      </c>
      <c r="E940">
        <v>1391.7382812000001</v>
      </c>
      <c r="F940">
        <v>1372.0969238</v>
      </c>
      <c r="G940">
        <v>80</v>
      </c>
      <c r="H940">
        <v>74.404304503999995</v>
      </c>
      <c r="I940">
        <v>50</v>
      </c>
      <c r="J940">
        <v>49.965225220000001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595.87654699999996</v>
      </c>
      <c r="B941" s="1">
        <f>DATE(2011,12,17) + TIME(21,2,13)</f>
        <v>40894.876539351855</v>
      </c>
      <c r="C941">
        <v>1303.0460204999999</v>
      </c>
      <c r="D941">
        <v>1290.3341064000001</v>
      </c>
      <c r="E941">
        <v>1391.7246094</v>
      </c>
      <c r="F941">
        <v>1372.0863036999999</v>
      </c>
      <c r="G941">
        <v>80</v>
      </c>
      <c r="H941">
        <v>74.259475707999997</v>
      </c>
      <c r="I941">
        <v>50</v>
      </c>
      <c r="J941">
        <v>49.965274811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597.50048100000004</v>
      </c>
      <c r="B942" s="1">
        <f>DATE(2011,12,19) + TIME(12,0,41)</f>
        <v>40896.500474537039</v>
      </c>
      <c r="C942">
        <v>1302.9346923999999</v>
      </c>
      <c r="D942">
        <v>1290.1955565999999</v>
      </c>
      <c r="E942">
        <v>1391.7110596</v>
      </c>
      <c r="F942">
        <v>1372.0756836</v>
      </c>
      <c r="G942">
        <v>80</v>
      </c>
      <c r="H942">
        <v>74.113662719999994</v>
      </c>
      <c r="I942">
        <v>50</v>
      </c>
      <c r="J942">
        <v>49.965324402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599.17547300000001</v>
      </c>
      <c r="B943" s="1">
        <f>DATE(2011,12,21) + TIME(4,12,40)</f>
        <v>40898.175462962965</v>
      </c>
      <c r="C943">
        <v>1302.8183594</v>
      </c>
      <c r="D943">
        <v>1290.050293</v>
      </c>
      <c r="E943">
        <v>1391.6975098</v>
      </c>
      <c r="F943">
        <v>1372.0649414</v>
      </c>
      <c r="G943">
        <v>80</v>
      </c>
      <c r="H943">
        <v>73.966079711999996</v>
      </c>
      <c r="I943">
        <v>50</v>
      </c>
      <c r="J943">
        <v>49.965373993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600.89506900000003</v>
      </c>
      <c r="B944" s="1">
        <f>DATE(2011,12,22) + TIME(21,28,53)</f>
        <v>40899.895057870373</v>
      </c>
      <c r="C944">
        <v>1302.6961670000001</v>
      </c>
      <c r="D944">
        <v>1289.8969727000001</v>
      </c>
      <c r="E944">
        <v>1391.6837158000001</v>
      </c>
      <c r="F944">
        <v>1372.0541992000001</v>
      </c>
      <c r="G944">
        <v>80</v>
      </c>
      <c r="H944">
        <v>73.816360474000007</v>
      </c>
      <c r="I944">
        <v>50</v>
      </c>
      <c r="J944">
        <v>49.965427398999999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602.63494900000001</v>
      </c>
      <c r="B945" s="1">
        <f>DATE(2011,12,24) + TIME(15,14,19)</f>
        <v>40901.634942129633</v>
      </c>
      <c r="C945">
        <v>1302.5681152</v>
      </c>
      <c r="D945">
        <v>1289.7359618999999</v>
      </c>
      <c r="E945">
        <v>1391.6699219</v>
      </c>
      <c r="F945">
        <v>1372.0433350000001</v>
      </c>
      <c r="G945">
        <v>80</v>
      </c>
      <c r="H945">
        <v>73.665252686000002</v>
      </c>
      <c r="I945">
        <v>50</v>
      </c>
      <c r="J945">
        <v>49.965480804000002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604.40340000000003</v>
      </c>
      <c r="B946" s="1">
        <f>DATE(2011,12,26) + TIME(9,40,53)</f>
        <v>40903.403391203705</v>
      </c>
      <c r="C946">
        <v>1302.4359131000001</v>
      </c>
      <c r="D946">
        <v>1289.5686035000001</v>
      </c>
      <c r="E946">
        <v>1391.65625</v>
      </c>
      <c r="F946">
        <v>1372.0324707</v>
      </c>
      <c r="G946">
        <v>80</v>
      </c>
      <c r="H946">
        <v>73.513450622999997</v>
      </c>
      <c r="I946">
        <v>50</v>
      </c>
      <c r="J946">
        <v>49.965538025000001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606.20408899999995</v>
      </c>
      <c r="B947" s="1">
        <f>DATE(2011,12,28) + TIME(4,53,53)</f>
        <v>40905.204085648147</v>
      </c>
      <c r="C947">
        <v>1302.2984618999999</v>
      </c>
      <c r="D947">
        <v>1289.3941649999999</v>
      </c>
      <c r="E947">
        <v>1391.6427002</v>
      </c>
      <c r="F947">
        <v>1372.0217285000001</v>
      </c>
      <c r="G947">
        <v>80</v>
      </c>
      <c r="H947">
        <v>73.360801696999999</v>
      </c>
      <c r="I947">
        <v>50</v>
      </c>
      <c r="J947">
        <v>49.965591431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608.04960200000005</v>
      </c>
      <c r="B948" s="1">
        <f>DATE(2011,12,30) + TIME(1,11,25)</f>
        <v>40907.04959490741</v>
      </c>
      <c r="C948">
        <v>1302.1556396000001</v>
      </c>
      <c r="D948">
        <v>1289.2119141000001</v>
      </c>
      <c r="E948">
        <v>1391.6291504000001</v>
      </c>
      <c r="F948">
        <v>1372.0109863</v>
      </c>
      <c r="G948">
        <v>80</v>
      </c>
      <c r="H948">
        <v>73.206741332999997</v>
      </c>
      <c r="I948">
        <v>50</v>
      </c>
      <c r="J948">
        <v>49.965648651000002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609.02480100000002</v>
      </c>
      <c r="B949" s="1">
        <f>DATE(2011,12,31) + TIME(0,35,42)</f>
        <v>40908.024791666663</v>
      </c>
      <c r="C949">
        <v>1302.0079346</v>
      </c>
      <c r="D949">
        <v>1289.0289307</v>
      </c>
      <c r="E949">
        <v>1391.6148682</v>
      </c>
      <c r="F949">
        <v>1371.9996338000001</v>
      </c>
      <c r="G949">
        <v>80</v>
      </c>
      <c r="H949">
        <v>73.086303710999999</v>
      </c>
      <c r="I949">
        <v>50</v>
      </c>
      <c r="J949">
        <v>49.965675353999998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610</v>
      </c>
      <c r="B950" s="1">
        <f>DATE(2012,1,1) + TIME(0,0,0)</f>
        <v>40909</v>
      </c>
      <c r="C950">
        <v>1301.9228516000001</v>
      </c>
      <c r="D950">
        <v>1288.9155272999999</v>
      </c>
      <c r="E950">
        <v>1391.6076660000001</v>
      </c>
      <c r="F950">
        <v>1371.9938964999999</v>
      </c>
      <c r="G950">
        <v>80</v>
      </c>
      <c r="H950">
        <v>72.986404418999996</v>
      </c>
      <c r="I950">
        <v>50</v>
      </c>
      <c r="J950">
        <v>49.965705872000001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611.91616499999998</v>
      </c>
      <c r="B951" s="1">
        <f>DATE(2012,1,2) + TIME(21,59,16)</f>
        <v>40910.91615740741</v>
      </c>
      <c r="C951">
        <v>1301.8377685999999</v>
      </c>
      <c r="D951">
        <v>1288.7989502</v>
      </c>
      <c r="E951">
        <v>1391.6014404</v>
      </c>
      <c r="F951">
        <v>1371.9890137</v>
      </c>
      <c r="G951">
        <v>80</v>
      </c>
      <c r="H951">
        <v>72.869148253999995</v>
      </c>
      <c r="I951">
        <v>50</v>
      </c>
      <c r="J951">
        <v>49.965766907000003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613.85528199999999</v>
      </c>
      <c r="B952" s="1">
        <f>DATE(2012,1,4) + TIME(20,31,36)</f>
        <v>40912.85527777778</v>
      </c>
      <c r="C952">
        <v>1301.6793213000001</v>
      </c>
      <c r="D952">
        <v>1288.5977783000001</v>
      </c>
      <c r="E952">
        <v>1391.5877685999999</v>
      </c>
      <c r="F952">
        <v>1371.9782714999999</v>
      </c>
      <c r="G952">
        <v>80</v>
      </c>
      <c r="H952">
        <v>72.722679138000004</v>
      </c>
      <c r="I952">
        <v>50</v>
      </c>
      <c r="J952">
        <v>49.965824126999998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615.84115999999995</v>
      </c>
      <c r="B953" s="1">
        <f>DATE(2012,1,6) + TIME(20,11,16)</f>
        <v>40914.841157407405</v>
      </c>
      <c r="C953">
        <v>1301.5119629000001</v>
      </c>
      <c r="D953">
        <v>1288.3815918</v>
      </c>
      <c r="E953">
        <v>1391.5743408000001</v>
      </c>
      <c r="F953">
        <v>1371.9675293</v>
      </c>
      <c r="G953">
        <v>80</v>
      </c>
      <c r="H953">
        <v>72.565773010000001</v>
      </c>
      <c r="I953">
        <v>50</v>
      </c>
      <c r="J953">
        <v>49.965885161999999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617.87037699999996</v>
      </c>
      <c r="B954" s="1">
        <f>DATE(2012,1,8) + TIME(20,53,20)</f>
        <v>40916.870370370372</v>
      </c>
      <c r="C954">
        <v>1301.3358154</v>
      </c>
      <c r="D954">
        <v>1288.1523437999999</v>
      </c>
      <c r="E954">
        <v>1391.5607910000001</v>
      </c>
      <c r="F954">
        <v>1371.9566649999999</v>
      </c>
      <c r="G954">
        <v>80</v>
      </c>
      <c r="H954">
        <v>72.403419494999994</v>
      </c>
      <c r="I954">
        <v>50</v>
      </c>
      <c r="J954">
        <v>49.965946197999997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619.95457399999998</v>
      </c>
      <c r="B955" s="1">
        <f>DATE(2012,1,10) + TIME(22,54,35)</f>
        <v>40918.954571759263</v>
      </c>
      <c r="C955">
        <v>1301.1511230000001</v>
      </c>
      <c r="D955">
        <v>1287.9107666</v>
      </c>
      <c r="E955">
        <v>1391.5472411999999</v>
      </c>
      <c r="F955">
        <v>1371.9459228999999</v>
      </c>
      <c r="G955">
        <v>80</v>
      </c>
      <c r="H955">
        <v>72.236816406000003</v>
      </c>
      <c r="I955">
        <v>50</v>
      </c>
      <c r="J955">
        <v>49.966007232999999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622.06522800000005</v>
      </c>
      <c r="B956" s="1">
        <f>DATE(2012,1,13) + TIME(1,33,55)</f>
        <v>40921.06521990741</v>
      </c>
      <c r="C956">
        <v>1300.9569091999999</v>
      </c>
      <c r="D956">
        <v>1287.6556396000001</v>
      </c>
      <c r="E956">
        <v>1391.5334473</v>
      </c>
      <c r="F956">
        <v>1371.9349365</v>
      </c>
      <c r="G956">
        <v>80</v>
      </c>
      <c r="H956">
        <v>72.066329956000004</v>
      </c>
      <c r="I956">
        <v>50</v>
      </c>
      <c r="J956">
        <v>49.966072083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624.20434699999998</v>
      </c>
      <c r="B957" s="1">
        <f>DATE(2012,1,15) + TIME(4,54,15)</f>
        <v>40923.204340277778</v>
      </c>
      <c r="C957">
        <v>1300.7551269999999</v>
      </c>
      <c r="D957">
        <v>1287.3891602000001</v>
      </c>
      <c r="E957">
        <v>1391.5197754000001</v>
      </c>
      <c r="F957">
        <v>1371.9240723</v>
      </c>
      <c r="G957">
        <v>80</v>
      </c>
      <c r="H957">
        <v>71.892684936999999</v>
      </c>
      <c r="I957">
        <v>50</v>
      </c>
      <c r="J957">
        <v>49.966133118000002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626.37343599999997</v>
      </c>
      <c r="B958" s="1">
        <f>DATE(2012,1,17) + TIME(8,57,44)</f>
        <v>40925.373425925929</v>
      </c>
      <c r="C958">
        <v>1300.5455322</v>
      </c>
      <c r="D958">
        <v>1287.1110839999999</v>
      </c>
      <c r="E958">
        <v>1391.5062256000001</v>
      </c>
      <c r="F958">
        <v>1371.9132079999999</v>
      </c>
      <c r="G958">
        <v>80</v>
      </c>
      <c r="H958">
        <v>71.715599060000002</v>
      </c>
      <c r="I958">
        <v>50</v>
      </c>
      <c r="J958">
        <v>49.966197968000003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628.58735000000001</v>
      </c>
      <c r="B959" s="1">
        <f>DATE(2012,1,19) + TIME(14,5,47)</f>
        <v>40927.58734953704</v>
      </c>
      <c r="C959">
        <v>1300.3276367000001</v>
      </c>
      <c r="D959">
        <v>1286.8205565999999</v>
      </c>
      <c r="E959">
        <v>1391.4925536999999</v>
      </c>
      <c r="F959">
        <v>1371.9023437999999</v>
      </c>
      <c r="G959">
        <v>80</v>
      </c>
      <c r="H959">
        <v>71.534187317000004</v>
      </c>
      <c r="I959">
        <v>50</v>
      </c>
      <c r="J959">
        <v>49.966262817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630.84519699999998</v>
      </c>
      <c r="B960" s="1">
        <f>DATE(2012,1,21) + TIME(20,17,4)</f>
        <v>40929.845185185186</v>
      </c>
      <c r="C960">
        <v>1300.0999756000001</v>
      </c>
      <c r="D960">
        <v>1286.5155029</v>
      </c>
      <c r="E960">
        <v>1391.4788818</v>
      </c>
      <c r="F960">
        <v>1371.8913574000001</v>
      </c>
      <c r="G960">
        <v>80</v>
      </c>
      <c r="H960">
        <v>71.347160338999998</v>
      </c>
      <c r="I960">
        <v>50</v>
      </c>
      <c r="J960">
        <v>49.966331482000001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633.12809900000002</v>
      </c>
      <c r="B961" s="1">
        <f>DATE(2012,1,24) + TIME(3,4,27)</f>
        <v>40932.12809027778</v>
      </c>
      <c r="C961">
        <v>1299.8621826000001</v>
      </c>
      <c r="D961">
        <v>1286.1954346</v>
      </c>
      <c r="E961">
        <v>1391.4649658000001</v>
      </c>
      <c r="F961">
        <v>1371.880249</v>
      </c>
      <c r="G961">
        <v>80</v>
      </c>
      <c r="H961">
        <v>71.154052734000004</v>
      </c>
      <c r="I961">
        <v>50</v>
      </c>
      <c r="J961">
        <v>49.966396332000002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635.44144100000005</v>
      </c>
      <c r="B962" s="1">
        <f>DATE(2012,1,26) + TIME(10,35,40)</f>
        <v>40934.441435185188</v>
      </c>
      <c r="C962">
        <v>1299.6157227000001</v>
      </c>
      <c r="D962">
        <v>1285.8620605000001</v>
      </c>
      <c r="E962">
        <v>1391.4510498</v>
      </c>
      <c r="F962">
        <v>1371.8691406</v>
      </c>
      <c r="G962">
        <v>80</v>
      </c>
      <c r="H962">
        <v>70.954734802000004</v>
      </c>
      <c r="I962">
        <v>50</v>
      </c>
      <c r="J962">
        <v>49.966464995999999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637.79260499999998</v>
      </c>
      <c r="B963" s="1">
        <f>DATE(2012,1,28) + TIME(19,1,21)</f>
        <v>40936.792604166665</v>
      </c>
      <c r="C963">
        <v>1299.3601074000001</v>
      </c>
      <c r="D963">
        <v>1285.5144043</v>
      </c>
      <c r="E963">
        <v>1391.4371338000001</v>
      </c>
      <c r="F963">
        <v>1371.8579102000001</v>
      </c>
      <c r="G963">
        <v>80</v>
      </c>
      <c r="H963">
        <v>70.748146057</v>
      </c>
      <c r="I963">
        <v>50</v>
      </c>
      <c r="J963">
        <v>49.966533661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640.19084399999997</v>
      </c>
      <c r="B964" s="1">
        <f>DATE(2012,1,31) + TIME(4,34,48)</f>
        <v>40939.190833333334</v>
      </c>
      <c r="C964">
        <v>1299.0944824000001</v>
      </c>
      <c r="D964">
        <v>1285.1513672000001</v>
      </c>
      <c r="E964">
        <v>1391.4229736</v>
      </c>
      <c r="F964">
        <v>1371.8464355000001</v>
      </c>
      <c r="G964">
        <v>80</v>
      </c>
      <c r="H964">
        <v>70.532768250000004</v>
      </c>
      <c r="I964">
        <v>50</v>
      </c>
      <c r="J964">
        <v>49.966602324999997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641</v>
      </c>
      <c r="B965" s="1">
        <f>DATE(2012,2,1) + TIME(0,0,0)</f>
        <v>40940</v>
      </c>
      <c r="C965">
        <v>1298.8292236</v>
      </c>
      <c r="D965">
        <v>1284.8045654</v>
      </c>
      <c r="E965">
        <v>1391.4071045000001</v>
      </c>
      <c r="F965">
        <v>1371.8334961</v>
      </c>
      <c r="G965">
        <v>80</v>
      </c>
      <c r="H965">
        <v>70.383743285999998</v>
      </c>
      <c r="I965">
        <v>50</v>
      </c>
      <c r="J965">
        <v>49.966621398999997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643.42263800000001</v>
      </c>
      <c r="B966" s="1">
        <f>DATE(2012,2,3) + TIME(10,8,35)</f>
        <v>40942.422627314816</v>
      </c>
      <c r="C966">
        <v>1298.7089844</v>
      </c>
      <c r="D966">
        <v>1284.6140137</v>
      </c>
      <c r="E966">
        <v>1391.4038086</v>
      </c>
      <c r="F966">
        <v>1371.8309326000001</v>
      </c>
      <c r="G966">
        <v>80</v>
      </c>
      <c r="H966">
        <v>70.210258483999993</v>
      </c>
      <c r="I966">
        <v>50</v>
      </c>
      <c r="J966">
        <v>49.966693878000001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645.88760600000001</v>
      </c>
      <c r="B967" s="1">
        <f>DATE(2012,2,5) + TIME(21,18,9)</f>
        <v>40944.887604166666</v>
      </c>
      <c r="C967">
        <v>1298.4315185999999</v>
      </c>
      <c r="D967">
        <v>1284.2354736</v>
      </c>
      <c r="E967">
        <v>1391.3890381000001</v>
      </c>
      <c r="F967">
        <v>1371.8190918</v>
      </c>
      <c r="G967">
        <v>80</v>
      </c>
      <c r="H967">
        <v>69.986152649000005</v>
      </c>
      <c r="I967">
        <v>50</v>
      </c>
      <c r="J967">
        <v>49.966762543000002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648.39453100000003</v>
      </c>
      <c r="B968" s="1">
        <f>DATE(2012,2,8) + TIME(9,28,7)</f>
        <v>40947.394525462965</v>
      </c>
      <c r="C968">
        <v>1298.1358643000001</v>
      </c>
      <c r="D968">
        <v>1283.8258057</v>
      </c>
      <c r="E968">
        <v>1391.3740233999999</v>
      </c>
      <c r="F968">
        <v>1371.8070068</v>
      </c>
      <c r="G968">
        <v>80</v>
      </c>
      <c r="H968">
        <v>69.739067078000005</v>
      </c>
      <c r="I968">
        <v>50</v>
      </c>
      <c r="J968">
        <v>49.966835021999998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650.93428500000005</v>
      </c>
      <c r="B969" s="1">
        <f>DATE(2012,2,10) + TIME(22,25,22)</f>
        <v>40949.934282407405</v>
      </c>
      <c r="C969">
        <v>1297.8277588000001</v>
      </c>
      <c r="D969">
        <v>1283.3956298999999</v>
      </c>
      <c r="E969">
        <v>1391.3586425999999</v>
      </c>
      <c r="F969">
        <v>1371.7945557</v>
      </c>
      <c r="G969">
        <v>80</v>
      </c>
      <c r="H969">
        <v>69.475898743000002</v>
      </c>
      <c r="I969">
        <v>50</v>
      </c>
      <c r="J969">
        <v>49.966903686999999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653.50640699999997</v>
      </c>
      <c r="B970" s="1">
        <f>DATE(2012,2,13) + TIME(12,9,13)</f>
        <v>40952.50640046296</v>
      </c>
      <c r="C970">
        <v>1297.5097656</v>
      </c>
      <c r="D970">
        <v>1282.9490966999999</v>
      </c>
      <c r="E970">
        <v>1391.3430175999999</v>
      </c>
      <c r="F970">
        <v>1371.7817382999999</v>
      </c>
      <c r="G970">
        <v>80</v>
      </c>
      <c r="H970">
        <v>69.198127747000001</v>
      </c>
      <c r="I970">
        <v>50</v>
      </c>
      <c r="J970">
        <v>49.966976166000002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656.10821899999996</v>
      </c>
      <c r="B971" s="1">
        <f>DATE(2012,2,16) + TIME(2,35,50)</f>
        <v>40955.108217592591</v>
      </c>
      <c r="C971">
        <v>1297.1826172000001</v>
      </c>
      <c r="D971">
        <v>1282.4873047000001</v>
      </c>
      <c r="E971">
        <v>1391.3267822</v>
      </c>
      <c r="F971">
        <v>1371.7685547000001</v>
      </c>
      <c r="G971">
        <v>80</v>
      </c>
      <c r="H971">
        <v>68.905448914000004</v>
      </c>
      <c r="I971">
        <v>50</v>
      </c>
      <c r="J971">
        <v>49.967048644999998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658.75243799999998</v>
      </c>
      <c r="B972" s="1">
        <f>DATE(2012,2,18) + TIME(18,3,30)</f>
        <v>40957.752430555556</v>
      </c>
      <c r="C972">
        <v>1296.8470459</v>
      </c>
      <c r="D972">
        <v>1282.0111084</v>
      </c>
      <c r="E972">
        <v>1391.3101807</v>
      </c>
      <c r="F972">
        <v>1371.7548827999999</v>
      </c>
      <c r="G972">
        <v>80</v>
      </c>
      <c r="H972">
        <v>68.597007751000007</v>
      </c>
      <c r="I972">
        <v>50</v>
      </c>
      <c r="J972">
        <v>49.967121124000002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661.428493</v>
      </c>
      <c r="B973" s="1">
        <f>DATE(2012,2,21) + TIME(10,17,1)</f>
        <v>40960.428483796299</v>
      </c>
      <c r="C973">
        <v>1296.5021973</v>
      </c>
      <c r="D973">
        <v>1281.5191649999999</v>
      </c>
      <c r="E973">
        <v>1391.2929687999999</v>
      </c>
      <c r="F973">
        <v>1371.7407227000001</v>
      </c>
      <c r="G973">
        <v>80</v>
      </c>
      <c r="H973">
        <v>68.271476746000005</v>
      </c>
      <c r="I973">
        <v>50</v>
      </c>
      <c r="J973">
        <v>49.967193604000002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664.13176199999998</v>
      </c>
      <c r="B974" s="1">
        <f>DATE(2012,2,24) + TIME(3,9,44)</f>
        <v>40963.13175925926</v>
      </c>
      <c r="C974">
        <v>1296.1492920000001</v>
      </c>
      <c r="D974">
        <v>1281.0135498</v>
      </c>
      <c r="E974">
        <v>1391.2751464999999</v>
      </c>
      <c r="F974">
        <v>1371.7259521000001</v>
      </c>
      <c r="G974">
        <v>80</v>
      </c>
      <c r="H974">
        <v>67.928878784000005</v>
      </c>
      <c r="I974">
        <v>50</v>
      </c>
      <c r="J974">
        <v>49.967269897000001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666.87803499999995</v>
      </c>
      <c r="B975" s="1">
        <f>DATE(2012,2,26) + TIME(21,4,22)</f>
        <v>40965.878032407411</v>
      </c>
      <c r="C975">
        <v>1295.7896728999999</v>
      </c>
      <c r="D975">
        <v>1280.4953613</v>
      </c>
      <c r="E975">
        <v>1391.2567139</v>
      </c>
      <c r="F975">
        <v>1371.7105713000001</v>
      </c>
      <c r="G975">
        <v>80</v>
      </c>
      <c r="H975">
        <v>67.568740844999994</v>
      </c>
      <c r="I975">
        <v>50</v>
      </c>
      <c r="J975">
        <v>49.967342377000001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669.66297399999996</v>
      </c>
      <c r="B976" s="1">
        <f>DATE(2012,2,29) + TIME(15,54,40)</f>
        <v>40968.662962962961</v>
      </c>
      <c r="C976">
        <v>1295.4222411999999</v>
      </c>
      <c r="D976">
        <v>1279.9633789</v>
      </c>
      <c r="E976">
        <v>1391.2375488</v>
      </c>
      <c r="F976">
        <v>1371.6944579999999</v>
      </c>
      <c r="G976">
        <v>80</v>
      </c>
      <c r="H976">
        <v>67.189682007000002</v>
      </c>
      <c r="I976">
        <v>50</v>
      </c>
      <c r="J976">
        <v>49.967418670999997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670</v>
      </c>
      <c r="B977" s="1">
        <f>DATE(2012,3,1) + TIME(0,0,0)</f>
        <v>40969</v>
      </c>
      <c r="C977">
        <v>1295.0760498</v>
      </c>
      <c r="D977">
        <v>1279.5211182</v>
      </c>
      <c r="E977">
        <v>1391.215332</v>
      </c>
      <c r="F977">
        <v>1371.6757812000001</v>
      </c>
      <c r="G977">
        <v>80</v>
      </c>
      <c r="H977">
        <v>67.037101746000005</v>
      </c>
      <c r="I977">
        <v>50</v>
      </c>
      <c r="J977">
        <v>49.967422485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672.81286899999998</v>
      </c>
      <c r="B978" s="1">
        <f>DATE(2012,3,3) + TIME(19,30,31)</f>
        <v>40971.812858796293</v>
      </c>
      <c r="C978">
        <v>1294.9874268000001</v>
      </c>
      <c r="D978">
        <v>1279.3218993999999</v>
      </c>
      <c r="E978">
        <v>1391.2150879000001</v>
      </c>
      <c r="F978">
        <v>1371.6755370999999</v>
      </c>
      <c r="G978">
        <v>80</v>
      </c>
      <c r="H978">
        <v>66.719116210999999</v>
      </c>
      <c r="I978">
        <v>50</v>
      </c>
      <c r="J978">
        <v>49.967498779000003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675.67925500000001</v>
      </c>
      <c r="B979" s="1">
        <f>DATE(2012,3,6) + TIME(16,18,7)</f>
        <v>40974.679247685184</v>
      </c>
      <c r="C979">
        <v>1294.6195068</v>
      </c>
      <c r="D979">
        <v>1278.7902832</v>
      </c>
      <c r="E979">
        <v>1391.1939697</v>
      </c>
      <c r="F979">
        <v>1371.6578368999999</v>
      </c>
      <c r="G979">
        <v>80</v>
      </c>
      <c r="H979">
        <v>66.318969726999995</v>
      </c>
      <c r="I979">
        <v>50</v>
      </c>
      <c r="J979">
        <v>49.967575072999999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678.59159399999999</v>
      </c>
      <c r="B980" s="1">
        <f>DATE(2012,3,9) + TIME(14,11,53)</f>
        <v>40977.591585648152</v>
      </c>
      <c r="C980">
        <v>1294.2354736</v>
      </c>
      <c r="D980">
        <v>1278.2271728999999</v>
      </c>
      <c r="E980">
        <v>1391.1719971</v>
      </c>
      <c r="F980">
        <v>1371.6391602000001</v>
      </c>
      <c r="G980">
        <v>80</v>
      </c>
      <c r="H980">
        <v>65.884346007999994</v>
      </c>
      <c r="I980">
        <v>50</v>
      </c>
      <c r="J980">
        <v>49.967651367000002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681.54583700000001</v>
      </c>
      <c r="B981" s="1">
        <f>DATE(2012,3,12) + TIME(13,6,0)</f>
        <v>40980.54583333333</v>
      </c>
      <c r="C981">
        <v>1293.84375</v>
      </c>
      <c r="D981">
        <v>1277.6489257999999</v>
      </c>
      <c r="E981">
        <v>1391.1489257999999</v>
      </c>
      <c r="F981">
        <v>1371.6195068</v>
      </c>
      <c r="G981">
        <v>80</v>
      </c>
      <c r="H981">
        <v>65.426963806000003</v>
      </c>
      <c r="I981">
        <v>50</v>
      </c>
      <c r="J981">
        <v>49.967727660999998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684.56144800000004</v>
      </c>
      <c r="B982" s="1">
        <f>DATE(2012,3,15) + TIME(13,28,29)</f>
        <v>40983.56144675926</v>
      </c>
      <c r="C982">
        <v>1293.4470214999999</v>
      </c>
      <c r="D982">
        <v>1277.0603027</v>
      </c>
      <c r="E982">
        <v>1391.1248779</v>
      </c>
      <c r="F982">
        <v>1371.5987548999999</v>
      </c>
      <c r="G982">
        <v>80</v>
      </c>
      <c r="H982">
        <v>64.949501037999994</v>
      </c>
      <c r="I982">
        <v>50</v>
      </c>
      <c r="J982">
        <v>49.96780777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687.64750100000003</v>
      </c>
      <c r="B983" s="1">
        <f>DATE(2012,3,18) + TIME(15,32,24)</f>
        <v>40986.647499999999</v>
      </c>
      <c r="C983">
        <v>1293.0445557</v>
      </c>
      <c r="D983">
        <v>1276.4600829999999</v>
      </c>
      <c r="E983">
        <v>1391.0996094</v>
      </c>
      <c r="F983">
        <v>1371.5769043</v>
      </c>
      <c r="G983">
        <v>80</v>
      </c>
      <c r="H983">
        <v>64.451034546000002</v>
      </c>
      <c r="I983">
        <v>50</v>
      </c>
      <c r="J983">
        <v>49.967887877999999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690.79568500000005</v>
      </c>
      <c r="B984" s="1">
        <f>DATE(2012,3,21) + TIME(19,5,47)</f>
        <v>40989.795682870368</v>
      </c>
      <c r="C984">
        <v>1292.6359863</v>
      </c>
      <c r="D984">
        <v>1275.8481445</v>
      </c>
      <c r="E984">
        <v>1391.072876</v>
      </c>
      <c r="F984">
        <v>1371.5537108999999</v>
      </c>
      <c r="G984">
        <v>80</v>
      </c>
      <c r="H984">
        <v>63.931098937999998</v>
      </c>
      <c r="I984">
        <v>50</v>
      </c>
      <c r="J984">
        <v>49.967967987000002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694.02711199999999</v>
      </c>
      <c r="B985" s="1">
        <f>DATE(2012,3,25) + TIME(0,39,2)</f>
        <v>40993.027106481481</v>
      </c>
      <c r="C985">
        <v>1292.2231445</v>
      </c>
      <c r="D985">
        <v>1275.2265625</v>
      </c>
      <c r="E985">
        <v>1391.0446777</v>
      </c>
      <c r="F985">
        <v>1371.5291748</v>
      </c>
      <c r="G985">
        <v>80</v>
      </c>
      <c r="H985">
        <v>63.390563964999998</v>
      </c>
      <c r="I985">
        <v>50</v>
      </c>
      <c r="J985">
        <v>49.968048095999997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697.36492399999997</v>
      </c>
      <c r="B986" s="1">
        <f>DATE(2012,3,28) + TIME(8,45,29)</f>
        <v>40996.364918981482</v>
      </c>
      <c r="C986">
        <v>1291.8045654</v>
      </c>
      <c r="D986">
        <v>1274.5935059000001</v>
      </c>
      <c r="E986">
        <v>1391.0150146000001</v>
      </c>
      <c r="F986">
        <v>1371.5031738</v>
      </c>
      <c r="G986">
        <v>80</v>
      </c>
      <c r="H986">
        <v>62.82749939</v>
      </c>
      <c r="I986">
        <v>50</v>
      </c>
      <c r="J986">
        <v>49.968132019000002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700.770399</v>
      </c>
      <c r="B987" s="1">
        <f>DATE(2012,3,31) + TIME(18,29,22)</f>
        <v>40999.77039351852</v>
      </c>
      <c r="C987">
        <v>1291.3790283000001</v>
      </c>
      <c r="D987">
        <v>1273.9473877</v>
      </c>
      <c r="E987">
        <v>1390.9833983999999</v>
      </c>
      <c r="F987">
        <v>1371.4753418</v>
      </c>
      <c r="G987">
        <v>80</v>
      </c>
      <c r="H987">
        <v>62.241081238</v>
      </c>
      <c r="I987">
        <v>50</v>
      </c>
      <c r="J987">
        <v>49.968215942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701</v>
      </c>
      <c r="B988" s="1">
        <f>DATE(2012,4,1) + TIME(0,0,0)</f>
        <v>41000</v>
      </c>
      <c r="C988">
        <v>1290.9768065999999</v>
      </c>
      <c r="D988">
        <v>1273.4526367000001</v>
      </c>
      <c r="E988">
        <v>1390.9493408000001</v>
      </c>
      <c r="F988">
        <v>1371.4451904</v>
      </c>
      <c r="G988">
        <v>80</v>
      </c>
      <c r="H988">
        <v>62.068977355999998</v>
      </c>
      <c r="I988">
        <v>50</v>
      </c>
      <c r="J988">
        <v>49.968215942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704.46875699999998</v>
      </c>
      <c r="B989" s="1">
        <f>DATE(2012,4,4) + TIME(11,15,0)</f>
        <v>41003.46875</v>
      </c>
      <c r="C989">
        <v>1290.911499</v>
      </c>
      <c r="D989">
        <v>1273.2250977000001</v>
      </c>
      <c r="E989">
        <v>1390.9479980000001</v>
      </c>
      <c r="F989">
        <v>1371.4439697</v>
      </c>
      <c r="G989">
        <v>80</v>
      </c>
      <c r="H989">
        <v>61.572254180999998</v>
      </c>
      <c r="I989">
        <v>50</v>
      </c>
      <c r="J989">
        <v>49.968307494999998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708.01766099999998</v>
      </c>
      <c r="B990" s="1">
        <f>DATE(2012,4,8) + TIME(0,25,25)</f>
        <v>41007.017650462964</v>
      </c>
      <c r="C990">
        <v>1290.4948730000001</v>
      </c>
      <c r="D990">
        <v>1272.5927733999999</v>
      </c>
      <c r="E990">
        <v>1390.9132079999999</v>
      </c>
      <c r="F990">
        <v>1371.4130858999999</v>
      </c>
      <c r="G990">
        <v>80</v>
      </c>
      <c r="H990">
        <v>60.971794127999999</v>
      </c>
      <c r="I990">
        <v>50</v>
      </c>
      <c r="J990">
        <v>49.968395233000003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711.64491499999997</v>
      </c>
      <c r="B991" s="1">
        <f>DATE(2012,4,11) + TIME(15,28,40)</f>
        <v>41010.644907407404</v>
      </c>
      <c r="C991">
        <v>1290.0703125</v>
      </c>
      <c r="D991">
        <v>1271.9395752</v>
      </c>
      <c r="E991">
        <v>1390.8767089999999</v>
      </c>
      <c r="F991">
        <v>1371.3804932</v>
      </c>
      <c r="G991">
        <v>80</v>
      </c>
      <c r="H991">
        <v>60.340305327999999</v>
      </c>
      <c r="I991">
        <v>50</v>
      </c>
      <c r="J991">
        <v>49.968482971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715.32933500000001</v>
      </c>
      <c r="B992" s="1">
        <f>DATE(2012,4,15) + TIME(7,54,14)</f>
        <v>41014.329328703701</v>
      </c>
      <c r="C992">
        <v>1289.6457519999999</v>
      </c>
      <c r="D992">
        <v>1271.2823486</v>
      </c>
      <c r="E992">
        <v>1390.838501</v>
      </c>
      <c r="F992">
        <v>1371.3463135</v>
      </c>
      <c r="G992">
        <v>80</v>
      </c>
      <c r="H992">
        <v>59.693210602000001</v>
      </c>
      <c r="I992">
        <v>50</v>
      </c>
      <c r="J992">
        <v>49.968570708999998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719.07922099999996</v>
      </c>
      <c r="B993" s="1">
        <f>DATE(2012,4,19) + TIME(1,54,4)</f>
        <v>41018.079212962963</v>
      </c>
      <c r="C993">
        <v>1289.2257079999999</v>
      </c>
      <c r="D993">
        <v>1270.6286620999999</v>
      </c>
      <c r="E993">
        <v>1390.7988281</v>
      </c>
      <c r="F993">
        <v>1371.3106689000001</v>
      </c>
      <c r="G993">
        <v>80</v>
      </c>
      <c r="H993">
        <v>59.037456511999999</v>
      </c>
      <c r="I993">
        <v>50</v>
      </c>
      <c r="J993">
        <v>49.968662262000002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722.90199800000005</v>
      </c>
      <c r="B994" s="1">
        <f>DATE(2012,4,22) + TIME(21,38,52)</f>
        <v>41021.901990740742</v>
      </c>
      <c r="C994">
        <v>1288.8109131000001</v>
      </c>
      <c r="D994">
        <v>1269.9799805</v>
      </c>
      <c r="E994">
        <v>1390.7578125</v>
      </c>
      <c r="F994">
        <v>1371.2735596</v>
      </c>
      <c r="G994">
        <v>80</v>
      </c>
      <c r="H994">
        <v>58.375041961999997</v>
      </c>
      <c r="I994">
        <v>50</v>
      </c>
      <c r="J994">
        <v>49.96875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726.80141100000003</v>
      </c>
      <c r="B995" s="1">
        <f>DATE(2012,4,26) + TIME(19,14,1)</f>
        <v>41025.801400462966</v>
      </c>
      <c r="C995">
        <v>1288.4016113</v>
      </c>
      <c r="D995">
        <v>1269.3370361</v>
      </c>
      <c r="E995">
        <v>1390.7150879000001</v>
      </c>
      <c r="F995">
        <v>1371.2349853999999</v>
      </c>
      <c r="G995">
        <v>80</v>
      </c>
      <c r="H995">
        <v>57.707366942999997</v>
      </c>
      <c r="I995">
        <v>50</v>
      </c>
      <c r="J995">
        <v>49.968841552999997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730.75752</v>
      </c>
      <c r="B996" s="1">
        <f>DATE(2012,4,30) + TIME(18,10,49)</f>
        <v>41029.757511574076</v>
      </c>
      <c r="C996">
        <v>1287.9985352000001</v>
      </c>
      <c r="D996">
        <v>1268.7012939000001</v>
      </c>
      <c r="E996">
        <v>1390.6710204999999</v>
      </c>
      <c r="F996">
        <v>1371.1948242000001</v>
      </c>
      <c r="G996">
        <v>80</v>
      </c>
      <c r="H996">
        <v>57.036701202000003</v>
      </c>
      <c r="I996">
        <v>50</v>
      </c>
      <c r="J996">
        <v>49.968936919999997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731</v>
      </c>
      <c r="B997" s="1">
        <f>DATE(2012,5,1) + TIME(0,0,0)</f>
        <v>41030</v>
      </c>
      <c r="C997">
        <v>1287.6107178</v>
      </c>
      <c r="D997">
        <v>1268.2338867000001</v>
      </c>
      <c r="E997">
        <v>1390.6260986</v>
      </c>
      <c r="F997">
        <v>1371.1538086</v>
      </c>
      <c r="G997">
        <v>80</v>
      </c>
      <c r="H997">
        <v>56.840801239000001</v>
      </c>
      <c r="I997">
        <v>50</v>
      </c>
      <c r="J997">
        <v>49.968936919999997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731.000001</v>
      </c>
      <c r="B998" s="1">
        <f>DATE(2012,5,1) + TIME(0,0,0)</f>
        <v>41030</v>
      </c>
      <c r="C998">
        <v>1308.6547852000001</v>
      </c>
      <c r="D998">
        <v>1288.6138916</v>
      </c>
      <c r="E998">
        <v>1370.2794189000001</v>
      </c>
      <c r="F998">
        <v>1351.4100341999999</v>
      </c>
      <c r="G998">
        <v>80</v>
      </c>
      <c r="H998">
        <v>56.840965271000002</v>
      </c>
      <c r="I998">
        <v>50</v>
      </c>
      <c r="J998">
        <v>49.968826294000003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731.00000399999999</v>
      </c>
      <c r="B999" s="1">
        <f>DATE(2012,5,1) + TIME(0,0,0)</f>
        <v>41030</v>
      </c>
      <c r="C999">
        <v>1311.0404053</v>
      </c>
      <c r="D999">
        <v>1291.2436522999999</v>
      </c>
      <c r="E999">
        <v>1367.9471435999999</v>
      </c>
      <c r="F999">
        <v>1349.0767822</v>
      </c>
      <c r="G999">
        <v>80</v>
      </c>
      <c r="H999">
        <v>56.841400145999998</v>
      </c>
      <c r="I999">
        <v>50</v>
      </c>
      <c r="J999">
        <v>49.968532562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731.00001299999997</v>
      </c>
      <c r="B1000" s="1">
        <f>DATE(2012,5,1) + TIME(0,0,1)</f>
        <v>41030.000011574077</v>
      </c>
      <c r="C1000">
        <v>1316.4057617000001</v>
      </c>
      <c r="D1000">
        <v>1296.9523925999999</v>
      </c>
      <c r="E1000">
        <v>1362.7149658000001</v>
      </c>
      <c r="F1000">
        <v>1343.8435059000001</v>
      </c>
      <c r="G1000">
        <v>80</v>
      </c>
      <c r="H1000">
        <v>56.842422485</v>
      </c>
      <c r="I1000">
        <v>50</v>
      </c>
      <c r="J1000">
        <v>49.967872620000001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731.00004000000001</v>
      </c>
      <c r="B1001" s="1">
        <f>DATE(2012,5,1) + TIME(0,0,3)</f>
        <v>41030.000034722223</v>
      </c>
      <c r="C1001">
        <v>1325.4223632999999</v>
      </c>
      <c r="D1001">
        <v>1306.1384277</v>
      </c>
      <c r="E1001">
        <v>1353.9705810999999</v>
      </c>
      <c r="F1001">
        <v>1335.1002197</v>
      </c>
      <c r="G1001">
        <v>80</v>
      </c>
      <c r="H1001">
        <v>56.844459534000002</v>
      </c>
      <c r="I1001">
        <v>50</v>
      </c>
      <c r="J1001">
        <v>49.966770171999997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731.00012100000004</v>
      </c>
      <c r="B1002" s="1">
        <f>DATE(2012,5,1) + TIME(0,0,10)</f>
        <v>41030.000115740739</v>
      </c>
      <c r="C1002">
        <v>1336.5352783000001</v>
      </c>
      <c r="D1002">
        <v>1317.1560059000001</v>
      </c>
      <c r="E1002">
        <v>1343.2947998</v>
      </c>
      <c r="F1002">
        <v>1324.4305420000001</v>
      </c>
      <c r="G1002">
        <v>80</v>
      </c>
      <c r="H1002">
        <v>56.848434447999999</v>
      </c>
      <c r="I1002">
        <v>50</v>
      </c>
      <c r="J1002">
        <v>49.965415954999997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731.00036399999999</v>
      </c>
      <c r="B1003" s="1">
        <f>DATE(2012,5,1) + TIME(0,0,31)</f>
        <v>41030.000358796293</v>
      </c>
      <c r="C1003">
        <v>1348.1407471</v>
      </c>
      <c r="D1003">
        <v>1328.6082764</v>
      </c>
      <c r="E1003">
        <v>1332.3023682</v>
      </c>
      <c r="F1003">
        <v>1313.4495850000001</v>
      </c>
      <c r="G1003">
        <v>80</v>
      </c>
      <c r="H1003">
        <v>56.857616425000003</v>
      </c>
      <c r="I1003">
        <v>50</v>
      </c>
      <c r="J1003">
        <v>49.963996887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731.00109299999997</v>
      </c>
      <c r="B1004" s="1">
        <f>DATE(2012,5,1) + TIME(0,1,34)</f>
        <v>41030.001087962963</v>
      </c>
      <c r="C1004">
        <v>1360.0185547000001</v>
      </c>
      <c r="D1004">
        <v>1340.3258057</v>
      </c>
      <c r="E1004">
        <v>1321.3350829999999</v>
      </c>
      <c r="F1004">
        <v>1302.4937743999999</v>
      </c>
      <c r="G1004">
        <v>80</v>
      </c>
      <c r="H1004">
        <v>56.882392883000001</v>
      </c>
      <c r="I1004">
        <v>50</v>
      </c>
      <c r="J1004">
        <v>49.962512969999999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731.00328000000002</v>
      </c>
      <c r="B1005" s="1">
        <f>DATE(2012,5,1) + TIME(0,4,43)</f>
        <v>41030.003275462965</v>
      </c>
      <c r="C1005">
        <v>1372.0762939000001</v>
      </c>
      <c r="D1005">
        <v>1352.2292480000001</v>
      </c>
      <c r="E1005">
        <v>1310.5870361</v>
      </c>
      <c r="F1005">
        <v>1291.7199707</v>
      </c>
      <c r="G1005">
        <v>80</v>
      </c>
      <c r="H1005">
        <v>56.954105376999998</v>
      </c>
      <c r="I1005">
        <v>50</v>
      </c>
      <c r="J1005">
        <v>49.960849762000002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731.00984100000005</v>
      </c>
      <c r="B1006" s="1">
        <f>DATE(2012,5,1) + TIME(0,14,10)</f>
        <v>41030.009837962964</v>
      </c>
      <c r="C1006">
        <v>1382.8426514</v>
      </c>
      <c r="D1006">
        <v>1362.9366454999999</v>
      </c>
      <c r="E1006">
        <v>1301.0461425999999</v>
      </c>
      <c r="F1006">
        <v>1282.1125488</v>
      </c>
      <c r="G1006">
        <v>80</v>
      </c>
      <c r="H1006">
        <v>57.165367126</v>
      </c>
      <c r="I1006">
        <v>50</v>
      </c>
      <c r="J1006">
        <v>49.958717346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731.02952400000004</v>
      </c>
      <c r="B1007" s="1">
        <f>DATE(2012,5,1) + TIME(0,42,30)</f>
        <v>41030.029513888891</v>
      </c>
      <c r="C1007">
        <v>1390.0605469</v>
      </c>
      <c r="D1007">
        <v>1370.3049315999999</v>
      </c>
      <c r="E1007">
        <v>1294.4436035000001</v>
      </c>
      <c r="F1007">
        <v>1275.4606934000001</v>
      </c>
      <c r="G1007">
        <v>80</v>
      </c>
      <c r="H1007">
        <v>57.780120850000003</v>
      </c>
      <c r="I1007">
        <v>50</v>
      </c>
      <c r="J1007">
        <v>49.955135345000002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731.05427399999996</v>
      </c>
      <c r="B1008" s="1">
        <f>DATE(2012,5,1) + TIME(1,18,9)</f>
        <v>41030.054270833331</v>
      </c>
      <c r="C1008">
        <v>1392.4864502</v>
      </c>
      <c r="D1008">
        <v>1372.9443358999999</v>
      </c>
      <c r="E1008">
        <v>1292.2161865</v>
      </c>
      <c r="F1008">
        <v>1273.21875</v>
      </c>
      <c r="G1008">
        <v>80</v>
      </c>
      <c r="H1008">
        <v>58.526874542000002</v>
      </c>
      <c r="I1008">
        <v>50</v>
      </c>
      <c r="J1008">
        <v>49.951419829999999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731.07954800000005</v>
      </c>
      <c r="B1009" s="1">
        <f>DATE(2012,5,1) + TIME(1,54,32)</f>
        <v>41030.07953703704</v>
      </c>
      <c r="C1009">
        <v>1393.2165527</v>
      </c>
      <c r="D1009">
        <v>1373.8792725000001</v>
      </c>
      <c r="E1009">
        <v>1291.5573730000001</v>
      </c>
      <c r="F1009">
        <v>1272.5554199000001</v>
      </c>
      <c r="G1009">
        <v>80</v>
      </c>
      <c r="H1009">
        <v>59.263725280999999</v>
      </c>
      <c r="I1009">
        <v>50</v>
      </c>
      <c r="J1009">
        <v>49.947860718000001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731.10534299999995</v>
      </c>
      <c r="B1010" s="1">
        <f>DATE(2012,5,1) + TIME(2,31,41)</f>
        <v>41030.10533564815</v>
      </c>
      <c r="C1010">
        <v>1393.3652344</v>
      </c>
      <c r="D1010">
        <v>1374.2254639</v>
      </c>
      <c r="E1010">
        <v>1291.3863524999999</v>
      </c>
      <c r="F1010">
        <v>1272.3828125</v>
      </c>
      <c r="G1010">
        <v>80</v>
      </c>
      <c r="H1010">
        <v>59.990020752</v>
      </c>
      <c r="I1010">
        <v>50</v>
      </c>
      <c r="J1010">
        <v>49.944320679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731.13167999999996</v>
      </c>
      <c r="B1011" s="1">
        <f>DATE(2012,5,1) + TIME(3,9,37)</f>
        <v>41030.131678240738</v>
      </c>
      <c r="C1011">
        <v>1393.2849120999999</v>
      </c>
      <c r="D1011">
        <v>1374.3352050999999</v>
      </c>
      <c r="E1011">
        <v>1291.3668213000001</v>
      </c>
      <c r="F1011">
        <v>1272.3625488</v>
      </c>
      <c r="G1011">
        <v>80</v>
      </c>
      <c r="H1011">
        <v>60.705158234000002</v>
      </c>
      <c r="I1011">
        <v>50</v>
      </c>
      <c r="J1011">
        <v>49.940757751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731.15858300000002</v>
      </c>
      <c r="B1012" s="1">
        <f>DATE(2012,5,1) + TIME(3,48,21)</f>
        <v>41030.158576388887</v>
      </c>
      <c r="C1012">
        <v>1393.1070557</v>
      </c>
      <c r="D1012">
        <v>1374.3404541</v>
      </c>
      <c r="E1012">
        <v>1291.3870850000001</v>
      </c>
      <c r="F1012">
        <v>1272.3823242000001</v>
      </c>
      <c r="G1012">
        <v>80</v>
      </c>
      <c r="H1012">
        <v>61.409633636000002</v>
      </c>
      <c r="I1012">
        <v>50</v>
      </c>
      <c r="J1012">
        <v>49.937160491999997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731.18608400000005</v>
      </c>
      <c r="B1013" s="1">
        <f>DATE(2012,5,1) + TIME(4,27,57)</f>
        <v>41030.186076388891</v>
      </c>
      <c r="C1013">
        <v>1392.8869629000001</v>
      </c>
      <c r="D1013">
        <v>1374.296875</v>
      </c>
      <c r="E1013">
        <v>1291.411499</v>
      </c>
      <c r="F1013">
        <v>1272.4064940999999</v>
      </c>
      <c r="G1013">
        <v>80</v>
      </c>
      <c r="H1013">
        <v>62.103485106999997</v>
      </c>
      <c r="I1013">
        <v>50</v>
      </c>
      <c r="J1013">
        <v>49.933513640999998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731.21420699999999</v>
      </c>
      <c r="B1014" s="1">
        <f>DATE(2012,5,1) + TIME(5,8,27)</f>
        <v>41030.214201388888</v>
      </c>
      <c r="C1014">
        <v>1392.6496582</v>
      </c>
      <c r="D1014">
        <v>1374.2297363</v>
      </c>
      <c r="E1014">
        <v>1291.4309082</v>
      </c>
      <c r="F1014">
        <v>1272.4255370999999</v>
      </c>
      <c r="G1014">
        <v>80</v>
      </c>
      <c r="H1014">
        <v>62.786586761000002</v>
      </c>
      <c r="I1014">
        <v>50</v>
      </c>
      <c r="J1014">
        <v>49.929821013999998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731.24299199999996</v>
      </c>
      <c r="B1015" s="1">
        <f>DATE(2012,5,1) + TIME(5,49,54)</f>
        <v>41030.242986111109</v>
      </c>
      <c r="C1015">
        <v>1392.4072266000001</v>
      </c>
      <c r="D1015">
        <v>1374.1513672000001</v>
      </c>
      <c r="E1015">
        <v>1291.4442139</v>
      </c>
      <c r="F1015">
        <v>1272.4385986</v>
      </c>
      <c r="G1015">
        <v>80</v>
      </c>
      <c r="H1015">
        <v>63.459060669000003</v>
      </c>
      <c r="I1015">
        <v>50</v>
      </c>
      <c r="J1015">
        <v>49.926074982000003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731.27247699999998</v>
      </c>
      <c r="B1016" s="1">
        <f>DATE(2012,5,1) + TIME(6,32,21)</f>
        <v>41030.272465277776</v>
      </c>
      <c r="C1016">
        <v>1392.1656493999999</v>
      </c>
      <c r="D1016">
        <v>1374.0679932</v>
      </c>
      <c r="E1016">
        <v>1291.4528809000001</v>
      </c>
      <c r="F1016">
        <v>1272.4468993999999</v>
      </c>
      <c r="G1016">
        <v>80</v>
      </c>
      <c r="H1016">
        <v>64.120925903</v>
      </c>
      <c r="I1016">
        <v>50</v>
      </c>
      <c r="J1016">
        <v>49.922271729000002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731.30270099999996</v>
      </c>
      <c r="B1017" s="1">
        <f>DATE(2012,5,1) + TIME(7,15,53)</f>
        <v>41030.30269675926</v>
      </c>
      <c r="C1017">
        <v>1391.9281006000001</v>
      </c>
      <c r="D1017">
        <v>1373.9831543</v>
      </c>
      <c r="E1017">
        <v>1291.458374</v>
      </c>
      <c r="F1017">
        <v>1272.4520264</v>
      </c>
      <c r="G1017">
        <v>80</v>
      </c>
      <c r="H1017">
        <v>64.772155761999997</v>
      </c>
      <c r="I1017">
        <v>50</v>
      </c>
      <c r="J1017">
        <v>49.918415070000002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731.333708</v>
      </c>
      <c r="B1018" s="1">
        <f>DATE(2012,5,1) + TIME(8,0,32)</f>
        <v>41030.333703703705</v>
      </c>
      <c r="C1018">
        <v>1391.6959228999999</v>
      </c>
      <c r="D1018">
        <v>1373.8983154</v>
      </c>
      <c r="E1018">
        <v>1291.4617920000001</v>
      </c>
      <c r="F1018">
        <v>1272.4550781</v>
      </c>
      <c r="G1018">
        <v>80</v>
      </c>
      <c r="H1018">
        <v>65.412834167</v>
      </c>
      <c r="I1018">
        <v>50</v>
      </c>
      <c r="J1018">
        <v>49.914489746000001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731.365545</v>
      </c>
      <c r="B1019" s="1">
        <f>DATE(2012,5,1) + TIME(8,46,23)</f>
        <v>41030.365543981483</v>
      </c>
      <c r="C1019">
        <v>1391.4699707</v>
      </c>
      <c r="D1019">
        <v>1373.8145752</v>
      </c>
      <c r="E1019">
        <v>1291.4638672000001</v>
      </c>
      <c r="F1019">
        <v>1272.4567870999999</v>
      </c>
      <c r="G1019">
        <v>80</v>
      </c>
      <c r="H1019">
        <v>66.042869568</v>
      </c>
      <c r="I1019">
        <v>50</v>
      </c>
      <c r="J1019">
        <v>49.910499573000003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731.39826200000005</v>
      </c>
      <c r="B1020" s="1">
        <f>DATE(2012,5,1) + TIME(9,33,29)</f>
        <v>41030.398252314815</v>
      </c>
      <c r="C1020">
        <v>1391.2503661999999</v>
      </c>
      <c r="D1020">
        <v>1373.7322998</v>
      </c>
      <c r="E1020">
        <v>1291.4652100000001</v>
      </c>
      <c r="F1020">
        <v>1272.4577637</v>
      </c>
      <c r="G1020">
        <v>80</v>
      </c>
      <c r="H1020">
        <v>66.662155150999993</v>
      </c>
      <c r="I1020">
        <v>50</v>
      </c>
      <c r="J1020">
        <v>49.906440734999997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731.43191400000001</v>
      </c>
      <c r="B1021" s="1">
        <f>DATE(2012,5,1) + TIME(10,21,57)</f>
        <v>41030.431909722225</v>
      </c>
      <c r="C1021">
        <v>1391.0372314000001</v>
      </c>
      <c r="D1021">
        <v>1373.6517334</v>
      </c>
      <c r="E1021">
        <v>1291.4660644999999</v>
      </c>
      <c r="F1021">
        <v>1272.4582519999999</v>
      </c>
      <c r="G1021">
        <v>80</v>
      </c>
      <c r="H1021">
        <v>67.270629882999998</v>
      </c>
      <c r="I1021">
        <v>50</v>
      </c>
      <c r="J1021">
        <v>49.902305603000002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731.46656099999996</v>
      </c>
      <c r="B1022" s="1">
        <f>DATE(2012,5,1) + TIME(11,11,50)</f>
        <v>41030.466550925928</v>
      </c>
      <c r="C1022">
        <v>1390.8304443</v>
      </c>
      <c r="D1022">
        <v>1373.5727539</v>
      </c>
      <c r="E1022">
        <v>1291.4666748</v>
      </c>
      <c r="F1022">
        <v>1272.458374</v>
      </c>
      <c r="G1022">
        <v>80</v>
      </c>
      <c r="H1022">
        <v>67.868209839000002</v>
      </c>
      <c r="I1022">
        <v>50</v>
      </c>
      <c r="J1022">
        <v>49.898086548000002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731.50226799999996</v>
      </c>
      <c r="B1023" s="1">
        <f>DATE(2012,5,1) + TIME(12,3,15)</f>
        <v>41030.502256944441</v>
      </c>
      <c r="C1023">
        <v>1390.6297606999999</v>
      </c>
      <c r="D1023">
        <v>1373.4954834</v>
      </c>
      <c r="E1023">
        <v>1291.4670410000001</v>
      </c>
      <c r="F1023">
        <v>1272.458374</v>
      </c>
      <c r="G1023">
        <v>80</v>
      </c>
      <c r="H1023">
        <v>68.454803467000005</v>
      </c>
      <c r="I1023">
        <v>50</v>
      </c>
      <c r="J1023">
        <v>49.893783569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731.53911800000003</v>
      </c>
      <c r="B1024" s="1">
        <f>DATE(2012,5,1) + TIME(12,56,19)</f>
        <v>41030.5391087963</v>
      </c>
      <c r="C1024">
        <v>1390.4348144999999</v>
      </c>
      <c r="D1024">
        <v>1373.4197998</v>
      </c>
      <c r="E1024">
        <v>1291.4672852000001</v>
      </c>
      <c r="F1024">
        <v>1272.4582519999999</v>
      </c>
      <c r="G1024">
        <v>80</v>
      </c>
      <c r="H1024">
        <v>69.030456543</v>
      </c>
      <c r="I1024">
        <v>50</v>
      </c>
      <c r="J1024">
        <v>49.889385222999998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731.57718599999998</v>
      </c>
      <c r="B1025" s="1">
        <f>DATE(2012,5,1) + TIME(13,51,8)</f>
        <v>41030.577175925922</v>
      </c>
      <c r="C1025">
        <v>1390.2453613</v>
      </c>
      <c r="D1025">
        <v>1373.3455810999999</v>
      </c>
      <c r="E1025">
        <v>1291.4674072</v>
      </c>
      <c r="F1025">
        <v>1272.4578856999999</v>
      </c>
      <c r="G1025">
        <v>80</v>
      </c>
      <c r="H1025">
        <v>69.595001221000004</v>
      </c>
      <c r="I1025">
        <v>50</v>
      </c>
      <c r="J1025">
        <v>49.884887695000003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731.61655399999995</v>
      </c>
      <c r="B1026" s="1">
        <f>DATE(2012,5,1) + TIME(14,47,50)</f>
        <v>41030.616550925923</v>
      </c>
      <c r="C1026">
        <v>1390.0614014</v>
      </c>
      <c r="D1026">
        <v>1373.2725829999999</v>
      </c>
      <c r="E1026">
        <v>1291.4675293</v>
      </c>
      <c r="F1026">
        <v>1272.4575195</v>
      </c>
      <c r="G1026">
        <v>80</v>
      </c>
      <c r="H1026">
        <v>70.148086547999995</v>
      </c>
      <c r="I1026">
        <v>50</v>
      </c>
      <c r="J1026">
        <v>49.880283356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731.65731600000004</v>
      </c>
      <c r="B1027" s="1">
        <f>DATE(2012,5,1) + TIME(15,46,32)</f>
        <v>41030.657314814816</v>
      </c>
      <c r="C1027">
        <v>1389.8823242000001</v>
      </c>
      <c r="D1027">
        <v>1373.2008057</v>
      </c>
      <c r="E1027">
        <v>1291.4675293</v>
      </c>
      <c r="F1027">
        <v>1272.4570312000001</v>
      </c>
      <c r="G1027">
        <v>80</v>
      </c>
      <c r="H1027">
        <v>70.689369201999995</v>
      </c>
      <c r="I1027">
        <v>50</v>
      </c>
      <c r="J1027">
        <v>49.875560759999999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731.69957899999997</v>
      </c>
      <c r="B1028" s="1">
        <f>DATE(2012,5,1) + TIME(16,47,23)</f>
        <v>41030.699571759258</v>
      </c>
      <c r="C1028">
        <v>1389.7081298999999</v>
      </c>
      <c r="D1028">
        <v>1373.1300048999999</v>
      </c>
      <c r="E1028">
        <v>1291.4675293</v>
      </c>
      <c r="F1028">
        <v>1272.456543</v>
      </c>
      <c r="G1028">
        <v>80</v>
      </c>
      <c r="H1028">
        <v>71.218971252000003</v>
      </c>
      <c r="I1028">
        <v>50</v>
      </c>
      <c r="J1028">
        <v>49.870716094999999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731.74346200000002</v>
      </c>
      <c r="B1029" s="1">
        <f>DATE(2012,5,1) + TIME(17,50,35)</f>
        <v>41030.743460648147</v>
      </c>
      <c r="C1029">
        <v>1389.5384521000001</v>
      </c>
      <c r="D1029">
        <v>1373.0601807</v>
      </c>
      <c r="E1029">
        <v>1291.4674072</v>
      </c>
      <c r="F1029">
        <v>1272.4559326000001</v>
      </c>
      <c r="G1029">
        <v>80</v>
      </c>
      <c r="H1029">
        <v>71.736709594999994</v>
      </c>
      <c r="I1029">
        <v>50</v>
      </c>
      <c r="J1029">
        <v>49.865737914999997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731.78909499999997</v>
      </c>
      <c r="B1030" s="1">
        <f>DATE(2012,5,1) + TIME(18,56,17)</f>
        <v>41030.789085648146</v>
      </c>
      <c r="C1030">
        <v>1389.3729248</v>
      </c>
      <c r="D1030">
        <v>1372.9910889</v>
      </c>
      <c r="E1030">
        <v>1291.4672852000001</v>
      </c>
      <c r="F1030">
        <v>1272.4553223</v>
      </c>
      <c r="G1030">
        <v>80</v>
      </c>
      <c r="H1030">
        <v>72.242385863999999</v>
      </c>
      <c r="I1030">
        <v>50</v>
      </c>
      <c r="J1030">
        <v>49.860614777000002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731.83662900000002</v>
      </c>
      <c r="B1031" s="1">
        <f>DATE(2012,5,1) + TIME(20,4,44)</f>
        <v>41030.83662037037</v>
      </c>
      <c r="C1031">
        <v>1389.2115478999999</v>
      </c>
      <c r="D1031">
        <v>1372.9224853999999</v>
      </c>
      <c r="E1031">
        <v>1291.4671631000001</v>
      </c>
      <c r="F1031">
        <v>1272.4545897999999</v>
      </c>
      <c r="G1031">
        <v>80</v>
      </c>
      <c r="H1031">
        <v>72.735794067</v>
      </c>
      <c r="I1031">
        <v>50</v>
      </c>
      <c r="J1031">
        <v>49.855335236000002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731.88622799999996</v>
      </c>
      <c r="B1032" s="1">
        <f>DATE(2012,5,1) + TIME(21,16,10)</f>
        <v>41030.88622685185</v>
      </c>
      <c r="C1032">
        <v>1389.0538329999999</v>
      </c>
      <c r="D1032">
        <v>1372.8544922000001</v>
      </c>
      <c r="E1032">
        <v>1291.4669189000001</v>
      </c>
      <c r="F1032">
        <v>1272.4538574000001</v>
      </c>
      <c r="G1032">
        <v>80</v>
      </c>
      <c r="H1032">
        <v>73.216697693</v>
      </c>
      <c r="I1032">
        <v>50</v>
      </c>
      <c r="J1032">
        <v>49.849880218999999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731.93808300000001</v>
      </c>
      <c r="B1033" s="1">
        <f>DATE(2012,5,1) + TIME(22,30,50)</f>
        <v>41030.938078703701</v>
      </c>
      <c r="C1033">
        <v>1388.8996582</v>
      </c>
      <c r="D1033">
        <v>1372.7866211</v>
      </c>
      <c r="E1033">
        <v>1291.4665527</v>
      </c>
      <c r="F1033">
        <v>1272.4530029</v>
      </c>
      <c r="G1033">
        <v>80</v>
      </c>
      <c r="H1033">
        <v>73.684844971000004</v>
      </c>
      <c r="I1033">
        <v>50</v>
      </c>
      <c r="J1033">
        <v>49.844242096000002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731.99241700000005</v>
      </c>
      <c r="B1034" s="1">
        <f>DATE(2012,5,1) + TIME(23,49,4)</f>
        <v>41030.992407407408</v>
      </c>
      <c r="C1034">
        <v>1388.7486572</v>
      </c>
      <c r="D1034">
        <v>1372.7188721</v>
      </c>
      <c r="E1034">
        <v>1291.4663086</v>
      </c>
      <c r="F1034">
        <v>1272.4521483999999</v>
      </c>
      <c r="G1034">
        <v>80</v>
      </c>
      <c r="H1034">
        <v>74.140045165999993</v>
      </c>
      <c r="I1034">
        <v>50</v>
      </c>
      <c r="J1034">
        <v>49.838397980000003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732.04950299999996</v>
      </c>
      <c r="B1035" s="1">
        <f>DATE(2012,5,2) + TIME(1,11,17)</f>
        <v>41031.049502314818</v>
      </c>
      <c r="C1035">
        <v>1388.6005858999999</v>
      </c>
      <c r="D1035">
        <v>1372.6511230000001</v>
      </c>
      <c r="E1035">
        <v>1291.4659423999999</v>
      </c>
      <c r="F1035">
        <v>1272.4511719</v>
      </c>
      <c r="G1035">
        <v>80</v>
      </c>
      <c r="H1035">
        <v>74.582168578999998</v>
      </c>
      <c r="I1035">
        <v>50</v>
      </c>
      <c r="J1035">
        <v>49.832324982000003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732.10959800000001</v>
      </c>
      <c r="B1036" s="1">
        <f>DATE(2012,5,2) + TIME(2,37,49)</f>
        <v>41031.109594907408</v>
      </c>
      <c r="C1036">
        <v>1388.4552002</v>
      </c>
      <c r="D1036">
        <v>1372.5830077999999</v>
      </c>
      <c r="E1036">
        <v>1291.4655762</v>
      </c>
      <c r="F1036">
        <v>1272.4501952999999</v>
      </c>
      <c r="G1036">
        <v>80</v>
      </c>
      <c r="H1036">
        <v>75.010665893999999</v>
      </c>
      <c r="I1036">
        <v>50</v>
      </c>
      <c r="J1036">
        <v>49.826004028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732.17303300000003</v>
      </c>
      <c r="B1037" s="1">
        <f>DATE(2012,5,2) + TIME(4,9,10)</f>
        <v>41031.173032407409</v>
      </c>
      <c r="C1037">
        <v>1388.3122559000001</v>
      </c>
      <c r="D1037">
        <v>1372.5144043</v>
      </c>
      <c r="E1037">
        <v>1291.4652100000001</v>
      </c>
      <c r="F1037">
        <v>1272.4492187999999</v>
      </c>
      <c r="G1037">
        <v>80</v>
      </c>
      <c r="H1037">
        <v>75.424903869999994</v>
      </c>
      <c r="I1037">
        <v>50</v>
      </c>
      <c r="J1037">
        <v>49.819408416999998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732.24019499999997</v>
      </c>
      <c r="B1038" s="1">
        <f>DATE(2012,5,2) + TIME(5,45,52)</f>
        <v>41031.240185185183</v>
      </c>
      <c r="C1038">
        <v>1388.1715088000001</v>
      </c>
      <c r="D1038">
        <v>1372.4451904</v>
      </c>
      <c r="E1038">
        <v>1291.4647216999999</v>
      </c>
      <c r="F1038">
        <v>1272.4479980000001</v>
      </c>
      <c r="G1038">
        <v>80</v>
      </c>
      <c r="H1038">
        <v>75.824813843000001</v>
      </c>
      <c r="I1038">
        <v>50</v>
      </c>
      <c r="J1038">
        <v>49.812503814999999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732.31154200000003</v>
      </c>
      <c r="B1039" s="1">
        <f>DATE(2012,5,2) + TIME(7,28,37)</f>
        <v>41031.311539351853</v>
      </c>
      <c r="C1039">
        <v>1388.0325928</v>
      </c>
      <c r="D1039">
        <v>1372.375</v>
      </c>
      <c r="E1039">
        <v>1291.4642334</v>
      </c>
      <c r="F1039">
        <v>1272.4468993999999</v>
      </c>
      <c r="G1039">
        <v>80</v>
      </c>
      <c r="H1039">
        <v>76.210021972999996</v>
      </c>
      <c r="I1039">
        <v>50</v>
      </c>
      <c r="J1039">
        <v>49.805259704999997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732.38759900000002</v>
      </c>
      <c r="B1040" s="1">
        <f>DATE(2012,5,2) + TIME(9,18,8)</f>
        <v>41031.387592592589</v>
      </c>
      <c r="C1040">
        <v>1387.8952637</v>
      </c>
      <c r="D1040">
        <v>1372.3037108999999</v>
      </c>
      <c r="E1040">
        <v>1291.4636230000001</v>
      </c>
      <c r="F1040">
        <v>1272.4455565999999</v>
      </c>
      <c r="G1040">
        <v>80</v>
      </c>
      <c r="H1040">
        <v>76.580032349000007</v>
      </c>
      <c r="I1040">
        <v>50</v>
      </c>
      <c r="J1040">
        <v>49.797630310000002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732.46903199999997</v>
      </c>
      <c r="B1041" s="1">
        <f>DATE(2012,5,2) + TIME(11,15,24)</f>
        <v>41031.469027777777</v>
      </c>
      <c r="C1041">
        <v>1387.7591553</v>
      </c>
      <c r="D1041">
        <v>1372.2310791</v>
      </c>
      <c r="E1041">
        <v>1291.4630127</v>
      </c>
      <c r="F1041">
        <v>1272.4442139</v>
      </c>
      <c r="G1041">
        <v>80</v>
      </c>
      <c r="H1041">
        <v>76.934471130000006</v>
      </c>
      <c r="I1041">
        <v>50</v>
      </c>
      <c r="J1041">
        <v>49.789566039999997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732.55663600000003</v>
      </c>
      <c r="B1042" s="1">
        <f>DATE(2012,5,2) + TIME(13,21,33)</f>
        <v>41031.556631944448</v>
      </c>
      <c r="C1042">
        <v>1387.6237793</v>
      </c>
      <c r="D1042">
        <v>1372.1566161999999</v>
      </c>
      <c r="E1042">
        <v>1291.4624022999999</v>
      </c>
      <c r="F1042">
        <v>1272.4428711</v>
      </c>
      <c r="G1042">
        <v>80</v>
      </c>
      <c r="H1042">
        <v>77.272872925000001</v>
      </c>
      <c r="I1042">
        <v>50</v>
      </c>
      <c r="J1042">
        <v>49.781005858999997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732.651388</v>
      </c>
      <c r="B1043" s="1">
        <f>DATE(2012,5,2) + TIME(15,37,59)</f>
        <v>41031.651377314818</v>
      </c>
      <c r="C1043">
        <v>1387.4888916</v>
      </c>
      <c r="D1043">
        <v>1372.0799560999999</v>
      </c>
      <c r="E1043">
        <v>1291.4616699000001</v>
      </c>
      <c r="F1043">
        <v>1272.4412841999999</v>
      </c>
      <c r="G1043">
        <v>80</v>
      </c>
      <c r="H1043">
        <v>77.594711304</v>
      </c>
      <c r="I1043">
        <v>50</v>
      </c>
      <c r="J1043">
        <v>49.771873474000003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732.75451299999997</v>
      </c>
      <c r="B1044" s="1">
        <f>DATE(2012,5,2) + TIME(18,6,29)</f>
        <v>41031.754502314812</v>
      </c>
      <c r="C1044">
        <v>1387.3538818</v>
      </c>
      <c r="D1044">
        <v>1372.0007324000001</v>
      </c>
      <c r="E1044">
        <v>1291.4609375</v>
      </c>
      <c r="F1044">
        <v>1272.4396973</v>
      </c>
      <c r="G1044">
        <v>80</v>
      </c>
      <c r="H1044">
        <v>77.899436950999998</v>
      </c>
      <c r="I1044">
        <v>50</v>
      </c>
      <c r="J1044">
        <v>49.762073516999997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732.86114399999997</v>
      </c>
      <c r="B1045" s="1">
        <f>DATE(2012,5,2) + TIME(20,40,2)</f>
        <v>41031.861134259256</v>
      </c>
      <c r="C1045">
        <v>1387.2243652</v>
      </c>
      <c r="D1045">
        <v>1371.9215088000001</v>
      </c>
      <c r="E1045">
        <v>1291.4600829999999</v>
      </c>
      <c r="F1045">
        <v>1272.4378661999999</v>
      </c>
      <c r="G1045">
        <v>80</v>
      </c>
      <c r="H1045">
        <v>78.172325134000005</v>
      </c>
      <c r="I1045">
        <v>50</v>
      </c>
      <c r="J1045">
        <v>49.752029419000003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732.96806000000004</v>
      </c>
      <c r="B1046" s="1">
        <f>DATE(2012,5,2) + TIME(23,14,0)</f>
        <v>41031.968055555553</v>
      </c>
      <c r="C1046">
        <v>1387.1031493999999</v>
      </c>
      <c r="D1046">
        <v>1371.8443603999999</v>
      </c>
      <c r="E1046">
        <v>1291.4591064000001</v>
      </c>
      <c r="F1046">
        <v>1272.4361572</v>
      </c>
      <c r="G1046">
        <v>80</v>
      </c>
      <c r="H1046">
        <v>78.409217834000003</v>
      </c>
      <c r="I1046">
        <v>50</v>
      </c>
      <c r="J1046">
        <v>49.742004395000002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733.07567900000004</v>
      </c>
      <c r="B1047" s="1">
        <f>DATE(2012,5,3) + TIME(1,48,58)</f>
        <v>41032.075671296298</v>
      </c>
      <c r="C1047">
        <v>1386.9891356999999</v>
      </c>
      <c r="D1047">
        <v>1371.7697754000001</v>
      </c>
      <c r="E1047">
        <v>1291.4580077999999</v>
      </c>
      <c r="F1047">
        <v>1272.4343262</v>
      </c>
      <c r="G1047">
        <v>80</v>
      </c>
      <c r="H1047">
        <v>78.615463257000002</v>
      </c>
      <c r="I1047">
        <v>50</v>
      </c>
      <c r="J1047">
        <v>49.731967926000003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733.18425999999999</v>
      </c>
      <c r="B1048" s="1">
        <f>DATE(2012,5,3) + TIME(4,25,20)</f>
        <v>41032.184259259258</v>
      </c>
      <c r="C1048">
        <v>1386.8813477000001</v>
      </c>
      <c r="D1048">
        <v>1371.6973877</v>
      </c>
      <c r="E1048">
        <v>1291.4570312000001</v>
      </c>
      <c r="F1048">
        <v>1272.4324951000001</v>
      </c>
      <c r="G1048">
        <v>80</v>
      </c>
      <c r="H1048">
        <v>78.795234679999993</v>
      </c>
      <c r="I1048">
        <v>50</v>
      </c>
      <c r="J1048">
        <v>49.721889496000003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733.29405699999995</v>
      </c>
      <c r="B1049" s="1">
        <f>DATE(2012,5,3) + TIME(7,3,26)</f>
        <v>41032.294050925928</v>
      </c>
      <c r="C1049">
        <v>1386.7790527</v>
      </c>
      <c r="D1049">
        <v>1371.6270752</v>
      </c>
      <c r="E1049">
        <v>1291.4560547000001</v>
      </c>
      <c r="F1049">
        <v>1272.4305420000001</v>
      </c>
      <c r="G1049">
        <v>80</v>
      </c>
      <c r="H1049">
        <v>78.952041625999996</v>
      </c>
      <c r="I1049">
        <v>50</v>
      </c>
      <c r="J1049">
        <v>49.711757660000004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733.40531799999997</v>
      </c>
      <c r="B1050" s="1">
        <f>DATE(2012,5,3) + TIME(9,43,39)</f>
        <v>41032.405312499999</v>
      </c>
      <c r="C1050">
        <v>1386.6813964999999</v>
      </c>
      <c r="D1050">
        <v>1371.5584716999999</v>
      </c>
      <c r="E1050">
        <v>1291.4549560999999</v>
      </c>
      <c r="F1050">
        <v>1272.4287108999999</v>
      </c>
      <c r="G1050">
        <v>80</v>
      </c>
      <c r="H1050">
        <v>79.088867187999995</v>
      </c>
      <c r="I1050">
        <v>50</v>
      </c>
      <c r="J1050">
        <v>49.701541900999999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733.51829199999997</v>
      </c>
      <c r="B1051" s="1">
        <f>DATE(2012,5,3) + TIME(12,26,20)</f>
        <v>41032.518287037034</v>
      </c>
      <c r="C1051">
        <v>1386.5877685999999</v>
      </c>
      <c r="D1051">
        <v>1371.4912108999999</v>
      </c>
      <c r="E1051">
        <v>1291.4538574000001</v>
      </c>
      <c r="F1051">
        <v>1272.4267577999999</v>
      </c>
      <c r="G1051">
        <v>80</v>
      </c>
      <c r="H1051">
        <v>79.208259583</v>
      </c>
      <c r="I1051">
        <v>50</v>
      </c>
      <c r="J1051">
        <v>49.691226958999998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733.63324499999999</v>
      </c>
      <c r="B1052" s="1">
        <f>DATE(2012,5,3) + TIME(15,11,52)</f>
        <v>41032.633240740739</v>
      </c>
      <c r="C1052">
        <v>1386.4976807</v>
      </c>
      <c r="D1052">
        <v>1371.425293</v>
      </c>
      <c r="E1052">
        <v>1291.4527588000001</v>
      </c>
      <c r="F1052">
        <v>1272.4248047000001</v>
      </c>
      <c r="G1052">
        <v>80</v>
      </c>
      <c r="H1052">
        <v>79.312408446999996</v>
      </c>
      <c r="I1052">
        <v>50</v>
      </c>
      <c r="J1052">
        <v>49.680793762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733.75045599999999</v>
      </c>
      <c r="B1053" s="1">
        <f>DATE(2012,5,3) + TIME(18,0,39)</f>
        <v>41032.750451388885</v>
      </c>
      <c r="C1053">
        <v>1386.4105225000001</v>
      </c>
      <c r="D1053">
        <v>1371.3604736</v>
      </c>
      <c r="E1053">
        <v>1291.4516602000001</v>
      </c>
      <c r="F1053">
        <v>1272.4228516000001</v>
      </c>
      <c r="G1053">
        <v>80</v>
      </c>
      <c r="H1053">
        <v>79.403205872000001</v>
      </c>
      <c r="I1053">
        <v>50</v>
      </c>
      <c r="J1053">
        <v>49.670211792000003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733.87016100000005</v>
      </c>
      <c r="B1054" s="1">
        <f>DATE(2012,5,3) + TIME(20,53,1)</f>
        <v>41032.870150462964</v>
      </c>
      <c r="C1054">
        <v>1386.3261719</v>
      </c>
      <c r="D1054">
        <v>1371.2966309000001</v>
      </c>
      <c r="E1054">
        <v>1291.4505615</v>
      </c>
      <c r="F1054">
        <v>1272.4207764</v>
      </c>
      <c r="G1054">
        <v>80</v>
      </c>
      <c r="H1054">
        <v>79.482269286999994</v>
      </c>
      <c r="I1054">
        <v>50</v>
      </c>
      <c r="J1054">
        <v>49.659469604000002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733.99264800000003</v>
      </c>
      <c r="B1055" s="1">
        <f>DATE(2012,5,3) + TIME(23,49,24)</f>
        <v>41032.992638888885</v>
      </c>
      <c r="C1055">
        <v>1386.2440185999999</v>
      </c>
      <c r="D1055">
        <v>1371.2335204999999</v>
      </c>
      <c r="E1055">
        <v>1291.4493408000001</v>
      </c>
      <c r="F1055">
        <v>1272.4187012</v>
      </c>
      <c r="G1055">
        <v>80</v>
      </c>
      <c r="H1055">
        <v>79.551017760999997</v>
      </c>
      <c r="I1055">
        <v>50</v>
      </c>
      <c r="J1055">
        <v>49.648540496999999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734.11822099999995</v>
      </c>
      <c r="B1056" s="1">
        <f>DATE(2012,5,4) + TIME(2,50,14)</f>
        <v>41033.118217592593</v>
      </c>
      <c r="C1056">
        <v>1386.1638184000001</v>
      </c>
      <c r="D1056">
        <v>1371.1711425999999</v>
      </c>
      <c r="E1056">
        <v>1291.4481201000001</v>
      </c>
      <c r="F1056">
        <v>1272.416626</v>
      </c>
      <c r="G1056">
        <v>80</v>
      </c>
      <c r="H1056">
        <v>79.610710143999995</v>
      </c>
      <c r="I1056">
        <v>50</v>
      </c>
      <c r="J1056">
        <v>49.637405395999998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734.24721099999999</v>
      </c>
      <c r="B1057" s="1">
        <f>DATE(2012,5,4) + TIME(5,55,58)</f>
        <v>41033.247199074074</v>
      </c>
      <c r="C1057">
        <v>1386.0853271000001</v>
      </c>
      <c r="D1057">
        <v>1371.1092529</v>
      </c>
      <c r="E1057">
        <v>1291.4467772999999</v>
      </c>
      <c r="F1057">
        <v>1272.4144286999999</v>
      </c>
      <c r="G1057">
        <v>80</v>
      </c>
      <c r="H1057">
        <v>79.662437439000001</v>
      </c>
      <c r="I1057">
        <v>50</v>
      </c>
      <c r="J1057">
        <v>49.626029967999997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734.37997499999994</v>
      </c>
      <c r="B1058" s="1">
        <f>DATE(2012,5,4) + TIME(9,7,9)</f>
        <v>41033.379965277774</v>
      </c>
      <c r="C1058">
        <v>1386.0080565999999</v>
      </c>
      <c r="D1058">
        <v>1371.0478516000001</v>
      </c>
      <c r="E1058">
        <v>1291.4454346</v>
      </c>
      <c r="F1058">
        <v>1272.4121094</v>
      </c>
      <c r="G1058">
        <v>80</v>
      </c>
      <c r="H1058">
        <v>79.707160950000002</v>
      </c>
      <c r="I1058">
        <v>50</v>
      </c>
      <c r="J1058">
        <v>49.614398956000002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734.51690699999995</v>
      </c>
      <c r="B1059" s="1">
        <f>DATE(2012,5,4) + TIME(12,24,20)</f>
        <v>41033.516898148147</v>
      </c>
      <c r="C1059">
        <v>1385.9320068</v>
      </c>
      <c r="D1059">
        <v>1370.9866943</v>
      </c>
      <c r="E1059">
        <v>1291.4440918</v>
      </c>
      <c r="F1059">
        <v>1272.4097899999999</v>
      </c>
      <c r="G1059">
        <v>80</v>
      </c>
      <c r="H1059">
        <v>79.745727539000001</v>
      </c>
      <c r="I1059">
        <v>50</v>
      </c>
      <c r="J1059">
        <v>49.602474213000001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734.65844200000004</v>
      </c>
      <c r="B1060" s="1">
        <f>DATE(2012,5,4) + TIME(15,48,9)</f>
        <v>41033.658437500002</v>
      </c>
      <c r="C1060">
        <v>1385.8568115</v>
      </c>
      <c r="D1060">
        <v>1370.9256591999999</v>
      </c>
      <c r="E1060">
        <v>1291.4426269999999</v>
      </c>
      <c r="F1060">
        <v>1272.4073486</v>
      </c>
      <c r="G1060">
        <v>80</v>
      </c>
      <c r="H1060">
        <v>79.778900145999998</v>
      </c>
      <c r="I1060">
        <v>50</v>
      </c>
      <c r="J1060">
        <v>49.590225220000001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734.80506500000001</v>
      </c>
      <c r="B1061" s="1">
        <f>DATE(2012,5,4) + TIME(19,19,17)</f>
        <v>41033.80505787037</v>
      </c>
      <c r="C1061">
        <v>1385.7822266000001</v>
      </c>
      <c r="D1061">
        <v>1370.864624</v>
      </c>
      <c r="E1061">
        <v>1291.4411620999999</v>
      </c>
      <c r="F1061">
        <v>1272.4049072</v>
      </c>
      <c r="G1061">
        <v>80</v>
      </c>
      <c r="H1061">
        <v>79.807334900000001</v>
      </c>
      <c r="I1061">
        <v>50</v>
      </c>
      <c r="J1061">
        <v>49.577617644999997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734.95732699999996</v>
      </c>
      <c r="B1062" s="1">
        <f>DATE(2012,5,4) + TIME(22,58,33)</f>
        <v>41033.957326388889</v>
      </c>
      <c r="C1062">
        <v>1385.7081298999999</v>
      </c>
      <c r="D1062">
        <v>1370.8035889</v>
      </c>
      <c r="E1062">
        <v>1291.4396973</v>
      </c>
      <c r="F1062">
        <v>1272.4022216999999</v>
      </c>
      <c r="G1062">
        <v>80</v>
      </c>
      <c r="H1062">
        <v>79.831626892000003</v>
      </c>
      <c r="I1062">
        <v>50</v>
      </c>
      <c r="J1062">
        <v>49.564613342000001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735.11594400000001</v>
      </c>
      <c r="B1063" s="1">
        <f>DATE(2012,5,5) + TIME(2,46,57)</f>
        <v>41034.115937499999</v>
      </c>
      <c r="C1063">
        <v>1385.6340332</v>
      </c>
      <c r="D1063">
        <v>1370.7421875</v>
      </c>
      <c r="E1063">
        <v>1291.4379882999999</v>
      </c>
      <c r="F1063">
        <v>1272.3995361</v>
      </c>
      <c r="G1063">
        <v>80</v>
      </c>
      <c r="H1063">
        <v>79.852310181000007</v>
      </c>
      <c r="I1063">
        <v>50</v>
      </c>
      <c r="J1063">
        <v>49.551158905000001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735.28152499999999</v>
      </c>
      <c r="B1064" s="1">
        <f>DATE(2012,5,5) + TIME(6,45,23)</f>
        <v>41034.2815162037</v>
      </c>
      <c r="C1064">
        <v>1385.5599365</v>
      </c>
      <c r="D1064">
        <v>1370.6804199000001</v>
      </c>
      <c r="E1064">
        <v>1291.4362793</v>
      </c>
      <c r="F1064">
        <v>1272.3967285000001</v>
      </c>
      <c r="G1064">
        <v>80</v>
      </c>
      <c r="H1064">
        <v>79.869827271000005</v>
      </c>
      <c r="I1064">
        <v>50</v>
      </c>
      <c r="J1064">
        <v>49.537208557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735.45227599999998</v>
      </c>
      <c r="B1065" s="1">
        <f>DATE(2012,5,5) + TIME(10,51,16)</f>
        <v>41034.452268518522</v>
      </c>
      <c r="C1065">
        <v>1385.4855957</v>
      </c>
      <c r="D1065">
        <v>1370.6181641000001</v>
      </c>
      <c r="E1065">
        <v>1291.4345702999999</v>
      </c>
      <c r="F1065">
        <v>1272.3936768000001</v>
      </c>
      <c r="G1065">
        <v>80</v>
      </c>
      <c r="H1065">
        <v>79.884414672999995</v>
      </c>
      <c r="I1065">
        <v>50</v>
      </c>
      <c r="J1065">
        <v>49.522895812999998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735.628648</v>
      </c>
      <c r="B1066" s="1">
        <f>DATE(2012,5,5) + TIME(15,5,15)</f>
        <v>41034.628645833334</v>
      </c>
      <c r="C1066">
        <v>1385.4117432</v>
      </c>
      <c r="D1066">
        <v>1370.5561522999999</v>
      </c>
      <c r="E1066">
        <v>1291.4326172000001</v>
      </c>
      <c r="F1066">
        <v>1272.390625</v>
      </c>
      <c r="G1066">
        <v>80</v>
      </c>
      <c r="H1066">
        <v>79.896522521999998</v>
      </c>
      <c r="I1066">
        <v>50</v>
      </c>
      <c r="J1066">
        <v>49.508182525999999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735.81116999999995</v>
      </c>
      <c r="B1067" s="1">
        <f>DATE(2012,5,5) + TIME(19,28,5)</f>
        <v>41034.811168981483</v>
      </c>
      <c r="C1067">
        <v>1385.3382568</v>
      </c>
      <c r="D1067">
        <v>1370.4942627</v>
      </c>
      <c r="E1067">
        <v>1291.4306641000001</v>
      </c>
      <c r="F1067">
        <v>1272.3874512</v>
      </c>
      <c r="G1067">
        <v>80</v>
      </c>
      <c r="H1067">
        <v>79.906539917000003</v>
      </c>
      <c r="I1067">
        <v>50</v>
      </c>
      <c r="J1067">
        <v>49.493034363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736.00043200000005</v>
      </c>
      <c r="B1068" s="1">
        <f>DATE(2012,5,6) + TIME(0,0,37)</f>
        <v>41035.000428240739</v>
      </c>
      <c r="C1068">
        <v>1385.2648925999999</v>
      </c>
      <c r="D1068">
        <v>1370.4323730000001</v>
      </c>
      <c r="E1068">
        <v>1291.4287108999999</v>
      </c>
      <c r="F1068">
        <v>1272.3841553</v>
      </c>
      <c r="G1068">
        <v>80</v>
      </c>
      <c r="H1068">
        <v>79.914794921999999</v>
      </c>
      <c r="I1068">
        <v>50</v>
      </c>
      <c r="J1068">
        <v>49.477416992000002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736.19709899999998</v>
      </c>
      <c r="B1069" s="1">
        <f>DATE(2012,5,6) + TIME(4,43,49)</f>
        <v>41035.197094907409</v>
      </c>
      <c r="C1069">
        <v>1385.1915283000001</v>
      </c>
      <c r="D1069">
        <v>1370.3702393000001</v>
      </c>
      <c r="E1069">
        <v>1291.4265137</v>
      </c>
      <c r="F1069">
        <v>1272.3806152</v>
      </c>
      <c r="G1069">
        <v>80</v>
      </c>
      <c r="H1069">
        <v>79.921569824000002</v>
      </c>
      <c r="I1069">
        <v>50</v>
      </c>
      <c r="J1069">
        <v>49.461284636999999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736.40198799999996</v>
      </c>
      <c r="B1070" s="1">
        <f>DATE(2012,5,6) + TIME(9,38,51)</f>
        <v>41035.401979166665</v>
      </c>
      <c r="C1070">
        <v>1385.1177978999999</v>
      </c>
      <c r="D1070">
        <v>1370.3078613</v>
      </c>
      <c r="E1070">
        <v>1291.4243164</v>
      </c>
      <c r="F1070">
        <v>1272.3770752</v>
      </c>
      <c r="G1070">
        <v>80</v>
      </c>
      <c r="H1070">
        <v>79.927116393999995</v>
      </c>
      <c r="I1070">
        <v>50</v>
      </c>
      <c r="J1070">
        <v>49.444583893000001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736.61596999999995</v>
      </c>
      <c r="B1071" s="1">
        <f>DATE(2012,5,6) + TIME(14,46,59)</f>
        <v>41035.615960648145</v>
      </c>
      <c r="C1071">
        <v>1385.0437012</v>
      </c>
      <c r="D1071">
        <v>1370.2451172000001</v>
      </c>
      <c r="E1071">
        <v>1291.4221190999999</v>
      </c>
      <c r="F1071">
        <v>1272.3732910000001</v>
      </c>
      <c r="G1071">
        <v>80</v>
      </c>
      <c r="H1071">
        <v>79.931640625</v>
      </c>
      <c r="I1071">
        <v>50</v>
      </c>
      <c r="J1071">
        <v>49.427253723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736.83854799999995</v>
      </c>
      <c r="B1072" s="1">
        <f>DATE(2012,5,6) + TIME(20,7,30)</f>
        <v>41035.838541666664</v>
      </c>
      <c r="C1072">
        <v>1384.9689940999999</v>
      </c>
      <c r="D1072">
        <v>1370.1816406</v>
      </c>
      <c r="E1072">
        <v>1291.4196777</v>
      </c>
      <c r="F1072">
        <v>1272.3693848</v>
      </c>
      <c r="G1072">
        <v>80</v>
      </c>
      <c r="H1072">
        <v>79.935287475999999</v>
      </c>
      <c r="I1072">
        <v>50</v>
      </c>
      <c r="J1072">
        <v>49.409328461000001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737.06293100000005</v>
      </c>
      <c r="B1073" s="1">
        <f>DATE(2012,5,7) + TIME(1,30,37)</f>
        <v>41036.062928240739</v>
      </c>
      <c r="C1073">
        <v>1384.8939209</v>
      </c>
      <c r="D1073">
        <v>1370.1180420000001</v>
      </c>
      <c r="E1073">
        <v>1291.4169922000001</v>
      </c>
      <c r="F1073">
        <v>1272.3653564000001</v>
      </c>
      <c r="G1073">
        <v>80</v>
      </c>
      <c r="H1073">
        <v>79.938148498999993</v>
      </c>
      <c r="I1073">
        <v>50</v>
      </c>
      <c r="J1073">
        <v>49.391239165999998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737.28981599999997</v>
      </c>
      <c r="B1074" s="1">
        <f>DATE(2012,5,7) + TIME(6,57,20)</f>
        <v>41036.289814814816</v>
      </c>
      <c r="C1074">
        <v>1384.8206786999999</v>
      </c>
      <c r="D1074">
        <v>1370.0559082</v>
      </c>
      <c r="E1074">
        <v>1291.4144286999999</v>
      </c>
      <c r="F1074">
        <v>1272.3612060999999</v>
      </c>
      <c r="G1074">
        <v>80</v>
      </c>
      <c r="H1074">
        <v>79.940406799000002</v>
      </c>
      <c r="I1074">
        <v>50</v>
      </c>
      <c r="J1074">
        <v>49.372959137000002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737.51984800000002</v>
      </c>
      <c r="B1075" s="1">
        <f>DATE(2012,5,7) + TIME(12,28,34)</f>
        <v>41036.519837962966</v>
      </c>
      <c r="C1075">
        <v>1384.7490233999999</v>
      </c>
      <c r="D1075">
        <v>1369.9952393000001</v>
      </c>
      <c r="E1075">
        <v>1291.4117432</v>
      </c>
      <c r="F1075">
        <v>1272.3570557</v>
      </c>
      <c r="G1075">
        <v>80</v>
      </c>
      <c r="H1075">
        <v>79.942192078000005</v>
      </c>
      <c r="I1075">
        <v>50</v>
      </c>
      <c r="J1075">
        <v>49.354465484999999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737.75368100000003</v>
      </c>
      <c r="B1076" s="1">
        <f>DATE(2012,5,7) + TIME(18,5,18)</f>
        <v>41036.753680555557</v>
      </c>
      <c r="C1076">
        <v>1384.6785889</v>
      </c>
      <c r="D1076">
        <v>1369.9356689000001</v>
      </c>
      <c r="E1076">
        <v>1291.4091797000001</v>
      </c>
      <c r="F1076">
        <v>1272.3527832</v>
      </c>
      <c r="G1076">
        <v>80</v>
      </c>
      <c r="H1076">
        <v>79.943611145000006</v>
      </c>
      <c r="I1076">
        <v>50</v>
      </c>
      <c r="J1076">
        <v>49.335723877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737.99199099999998</v>
      </c>
      <c r="B1077" s="1">
        <f>DATE(2012,5,7) + TIME(23,48,28)</f>
        <v>41036.991990740738</v>
      </c>
      <c r="C1077">
        <v>1384.6091309000001</v>
      </c>
      <c r="D1077">
        <v>1369.8768310999999</v>
      </c>
      <c r="E1077">
        <v>1291.4063721</v>
      </c>
      <c r="F1077">
        <v>1272.3483887</v>
      </c>
      <c r="G1077">
        <v>80</v>
      </c>
      <c r="H1077">
        <v>79.944740295000003</v>
      </c>
      <c r="I1077">
        <v>50</v>
      </c>
      <c r="J1077">
        <v>49.316703795999999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738.23548700000003</v>
      </c>
      <c r="B1078" s="1">
        <f>DATE(2012,5,8) + TIME(5,39,6)</f>
        <v>41037.235486111109</v>
      </c>
      <c r="C1078">
        <v>1384.5405272999999</v>
      </c>
      <c r="D1078">
        <v>1369.8188477000001</v>
      </c>
      <c r="E1078">
        <v>1291.4035644999999</v>
      </c>
      <c r="F1078">
        <v>1272.3439940999999</v>
      </c>
      <c r="G1078">
        <v>80</v>
      </c>
      <c r="H1078">
        <v>79.945655822999996</v>
      </c>
      <c r="I1078">
        <v>50</v>
      </c>
      <c r="J1078">
        <v>49.297359467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738.48492599999997</v>
      </c>
      <c r="B1079" s="1">
        <f>DATE(2012,5,8) + TIME(11,38,17)</f>
        <v>41037.484918981485</v>
      </c>
      <c r="C1079">
        <v>1384.4724120999999</v>
      </c>
      <c r="D1079">
        <v>1369.7613524999999</v>
      </c>
      <c r="E1079">
        <v>1291.4007568</v>
      </c>
      <c r="F1079">
        <v>1272.3394774999999</v>
      </c>
      <c r="G1079">
        <v>80</v>
      </c>
      <c r="H1079">
        <v>79.946388244999994</v>
      </c>
      <c r="I1079">
        <v>50</v>
      </c>
      <c r="J1079">
        <v>49.277652740000001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738.741129</v>
      </c>
      <c r="B1080" s="1">
        <f>DATE(2012,5,8) + TIME(17,47,13)</f>
        <v>41037.741122685184</v>
      </c>
      <c r="C1080">
        <v>1384.4045410000001</v>
      </c>
      <c r="D1080">
        <v>1369.7041016000001</v>
      </c>
      <c r="E1080">
        <v>1291.3978271000001</v>
      </c>
      <c r="F1080">
        <v>1272.3348389</v>
      </c>
      <c r="G1080">
        <v>80</v>
      </c>
      <c r="H1080">
        <v>79.946983337000006</v>
      </c>
      <c r="I1080">
        <v>50</v>
      </c>
      <c r="J1080">
        <v>49.257526398000003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739.00503900000001</v>
      </c>
      <c r="B1081" s="1">
        <f>DATE(2012,5,9) + TIME(0,7,15)</f>
        <v>41038.00503472222</v>
      </c>
      <c r="C1081">
        <v>1384.3369141000001</v>
      </c>
      <c r="D1081">
        <v>1369.6470947</v>
      </c>
      <c r="E1081">
        <v>1291.3948975000001</v>
      </c>
      <c r="F1081">
        <v>1272.3300781</v>
      </c>
      <c r="G1081">
        <v>80</v>
      </c>
      <c r="H1081">
        <v>79.947463988999999</v>
      </c>
      <c r="I1081">
        <v>50</v>
      </c>
      <c r="J1081">
        <v>49.236927031999997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739.27672800000005</v>
      </c>
      <c r="B1082" s="1">
        <f>DATE(2012,5,9) + TIME(6,38,29)</f>
        <v>41038.276724537034</v>
      </c>
      <c r="C1082">
        <v>1384.269043</v>
      </c>
      <c r="D1082">
        <v>1369.5900879000001</v>
      </c>
      <c r="E1082">
        <v>1291.3917236</v>
      </c>
      <c r="F1082">
        <v>1272.3250731999999</v>
      </c>
      <c r="G1082">
        <v>80</v>
      </c>
      <c r="H1082">
        <v>79.947860718000001</v>
      </c>
      <c r="I1082">
        <v>50</v>
      </c>
      <c r="J1082">
        <v>49.215843200999998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739.55544999999995</v>
      </c>
      <c r="B1083" s="1">
        <f>DATE(2012,5,9) + TIME(13,19,50)</f>
        <v>41038.555439814816</v>
      </c>
      <c r="C1083">
        <v>1384.2012939000001</v>
      </c>
      <c r="D1083">
        <v>1369.5330810999999</v>
      </c>
      <c r="E1083">
        <v>1291.3885498</v>
      </c>
      <c r="F1083">
        <v>1272.3199463000001</v>
      </c>
      <c r="G1083">
        <v>80</v>
      </c>
      <c r="H1083">
        <v>79.948181152000004</v>
      </c>
      <c r="I1083">
        <v>50</v>
      </c>
      <c r="J1083">
        <v>49.194320679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739.84204999999997</v>
      </c>
      <c r="B1084" s="1">
        <f>DATE(2012,5,9) + TIME(20,12,33)</f>
        <v>41038.842048611114</v>
      </c>
      <c r="C1084">
        <v>1384.1336670000001</v>
      </c>
      <c r="D1084">
        <v>1369.4763184000001</v>
      </c>
      <c r="E1084">
        <v>1291.3852539</v>
      </c>
      <c r="F1084">
        <v>1272.3148193</v>
      </c>
      <c r="G1084">
        <v>80</v>
      </c>
      <c r="H1084">
        <v>79.948440551999994</v>
      </c>
      <c r="I1084">
        <v>50</v>
      </c>
      <c r="J1084">
        <v>49.172309875000003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740.13518599999998</v>
      </c>
      <c r="B1085" s="1">
        <f>DATE(2012,5,10) + TIME(3,14,40)</f>
        <v>41039.135185185187</v>
      </c>
      <c r="C1085">
        <v>1384.065918</v>
      </c>
      <c r="D1085">
        <v>1369.4195557</v>
      </c>
      <c r="E1085">
        <v>1291.3818358999999</v>
      </c>
      <c r="F1085">
        <v>1272.3093262</v>
      </c>
      <c r="G1085">
        <v>80</v>
      </c>
      <c r="H1085">
        <v>79.948654175000001</v>
      </c>
      <c r="I1085">
        <v>50</v>
      </c>
      <c r="J1085">
        <v>49.149887085000003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740.43363799999997</v>
      </c>
      <c r="B1086" s="1">
        <f>DATE(2012,5,10) + TIME(10,24,26)</f>
        <v>41039.433634259258</v>
      </c>
      <c r="C1086">
        <v>1383.9986572</v>
      </c>
      <c r="D1086">
        <v>1369.3632812000001</v>
      </c>
      <c r="E1086">
        <v>1291.3782959</v>
      </c>
      <c r="F1086">
        <v>1272.3038329999999</v>
      </c>
      <c r="G1086">
        <v>80</v>
      </c>
      <c r="H1086">
        <v>79.948829650999997</v>
      </c>
      <c r="I1086">
        <v>50</v>
      </c>
      <c r="J1086">
        <v>49.127124786000003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740.73808799999995</v>
      </c>
      <c r="B1087" s="1">
        <f>DATE(2012,5,10) + TIME(17,42,50)</f>
        <v>41039.738078703704</v>
      </c>
      <c r="C1087">
        <v>1383.9318848</v>
      </c>
      <c r="D1087">
        <v>1369.3073730000001</v>
      </c>
      <c r="E1087">
        <v>1291.3747559000001</v>
      </c>
      <c r="F1087">
        <v>1272.2982178</v>
      </c>
      <c r="G1087">
        <v>80</v>
      </c>
      <c r="H1087">
        <v>79.948974609000004</v>
      </c>
      <c r="I1087">
        <v>50</v>
      </c>
      <c r="J1087">
        <v>49.104000092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741.04924100000005</v>
      </c>
      <c r="B1088" s="1">
        <f>DATE(2012,5,11) + TIME(1,10,54)</f>
        <v>41040.04923611111</v>
      </c>
      <c r="C1088">
        <v>1383.8656006000001</v>
      </c>
      <c r="D1088">
        <v>1369.2520752</v>
      </c>
      <c r="E1088">
        <v>1291.3710937999999</v>
      </c>
      <c r="F1088">
        <v>1272.2924805</v>
      </c>
      <c r="G1088">
        <v>80</v>
      </c>
      <c r="H1088">
        <v>79.949089049999998</v>
      </c>
      <c r="I1088">
        <v>50</v>
      </c>
      <c r="J1088">
        <v>49.080482482999997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741.36795300000006</v>
      </c>
      <c r="B1089" s="1">
        <f>DATE(2012,5,11) + TIME(8,49,51)</f>
        <v>41040.367951388886</v>
      </c>
      <c r="C1089">
        <v>1383.7996826000001</v>
      </c>
      <c r="D1089">
        <v>1369.1970214999999</v>
      </c>
      <c r="E1089">
        <v>1291.3673096</v>
      </c>
      <c r="F1089">
        <v>1272.286499</v>
      </c>
      <c r="G1089">
        <v>80</v>
      </c>
      <c r="H1089">
        <v>79.949188231999997</v>
      </c>
      <c r="I1089">
        <v>50</v>
      </c>
      <c r="J1089">
        <v>49.056522369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741.69504300000006</v>
      </c>
      <c r="B1090" s="1">
        <f>DATE(2012,5,11) + TIME(16,40,51)</f>
        <v>41040.695034722223</v>
      </c>
      <c r="C1090">
        <v>1383.7338867000001</v>
      </c>
      <c r="D1090">
        <v>1369.1422118999999</v>
      </c>
      <c r="E1090">
        <v>1291.3635254000001</v>
      </c>
      <c r="F1090">
        <v>1272.2805175999999</v>
      </c>
      <c r="G1090">
        <v>80</v>
      </c>
      <c r="H1090">
        <v>79.949264525999993</v>
      </c>
      <c r="I1090">
        <v>50</v>
      </c>
      <c r="J1090">
        <v>49.032073975000003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742.03142300000002</v>
      </c>
      <c r="B1091" s="1">
        <f>DATE(2012,5,12) + TIME(0,45,14)</f>
        <v>41041.031412037039</v>
      </c>
      <c r="C1091">
        <v>1383.6680908000001</v>
      </c>
      <c r="D1091">
        <v>1369.0874022999999</v>
      </c>
      <c r="E1091">
        <v>1291.3594971</v>
      </c>
      <c r="F1091">
        <v>1272.2742920000001</v>
      </c>
      <c r="G1091">
        <v>80</v>
      </c>
      <c r="H1091">
        <v>79.949325561999999</v>
      </c>
      <c r="I1091">
        <v>50</v>
      </c>
      <c r="J1091">
        <v>49.007095337000003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742.378108</v>
      </c>
      <c r="B1092" s="1">
        <f>DATE(2012,5,12) + TIME(9,4,28)</f>
        <v>41041.378101851849</v>
      </c>
      <c r="C1092">
        <v>1383.6020507999999</v>
      </c>
      <c r="D1092">
        <v>1369.0324707</v>
      </c>
      <c r="E1092">
        <v>1291.3554687999999</v>
      </c>
      <c r="F1092">
        <v>1272.2678223</v>
      </c>
      <c r="G1092">
        <v>80</v>
      </c>
      <c r="H1092">
        <v>79.949378967000001</v>
      </c>
      <c r="I1092">
        <v>50</v>
      </c>
      <c r="J1092">
        <v>48.981517791999998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742.73121100000003</v>
      </c>
      <c r="B1093" s="1">
        <f>DATE(2012,5,12) + TIME(17,32,56)</f>
        <v>41041.731203703705</v>
      </c>
      <c r="C1093">
        <v>1383.5358887</v>
      </c>
      <c r="D1093">
        <v>1368.9774170000001</v>
      </c>
      <c r="E1093">
        <v>1291.3511963000001</v>
      </c>
      <c r="F1093">
        <v>1272.2612305</v>
      </c>
      <c r="G1093">
        <v>80</v>
      </c>
      <c r="H1093">
        <v>79.949417113999999</v>
      </c>
      <c r="I1093">
        <v>50</v>
      </c>
      <c r="J1093">
        <v>48.955539702999999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743.08802100000003</v>
      </c>
      <c r="B1094" s="1">
        <f>DATE(2012,5,13) + TIME(2,6,44)</f>
        <v>41042.088009259256</v>
      </c>
      <c r="C1094">
        <v>1383.4700928</v>
      </c>
      <c r="D1094">
        <v>1368.9228516000001</v>
      </c>
      <c r="E1094">
        <v>1291.3468018000001</v>
      </c>
      <c r="F1094">
        <v>1272.2543945</v>
      </c>
      <c r="G1094">
        <v>80</v>
      </c>
      <c r="H1094">
        <v>79.949447632000002</v>
      </c>
      <c r="I1094">
        <v>50</v>
      </c>
      <c r="J1094">
        <v>48.929321289000001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743.44952499999999</v>
      </c>
      <c r="B1095" s="1">
        <f>DATE(2012,5,13) + TIME(10,47,18)</f>
        <v>41042.449513888889</v>
      </c>
      <c r="C1095">
        <v>1383.4052733999999</v>
      </c>
      <c r="D1095">
        <v>1368.8691406</v>
      </c>
      <c r="E1095">
        <v>1291.3424072</v>
      </c>
      <c r="F1095">
        <v>1272.2475586</v>
      </c>
      <c r="G1095">
        <v>80</v>
      </c>
      <c r="H1095">
        <v>79.949470520000006</v>
      </c>
      <c r="I1095">
        <v>50</v>
      </c>
      <c r="J1095">
        <v>48.902839661000002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743.81670499999996</v>
      </c>
      <c r="B1096" s="1">
        <f>DATE(2012,5,13) + TIME(19,36,3)</f>
        <v>41042.816701388889</v>
      </c>
      <c r="C1096">
        <v>1383.3413086</v>
      </c>
      <c r="D1096">
        <v>1368.8160399999999</v>
      </c>
      <c r="E1096">
        <v>1291.3380127</v>
      </c>
      <c r="F1096">
        <v>1272.2406006000001</v>
      </c>
      <c r="G1096">
        <v>80</v>
      </c>
      <c r="H1096">
        <v>79.949485779</v>
      </c>
      <c r="I1096">
        <v>50</v>
      </c>
      <c r="J1096">
        <v>48.876060486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744.19057899999996</v>
      </c>
      <c r="B1097" s="1">
        <f>DATE(2012,5,14) + TIME(4,34,26)</f>
        <v>41043.190578703703</v>
      </c>
      <c r="C1097">
        <v>1383.277832</v>
      </c>
      <c r="D1097">
        <v>1368.7634277</v>
      </c>
      <c r="E1097">
        <v>1291.333374</v>
      </c>
      <c r="F1097">
        <v>1272.2335204999999</v>
      </c>
      <c r="G1097">
        <v>80</v>
      </c>
      <c r="H1097">
        <v>79.949493407999995</v>
      </c>
      <c r="I1097">
        <v>50</v>
      </c>
      <c r="J1097">
        <v>48.848941803000002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744.572225</v>
      </c>
      <c r="B1098" s="1">
        <f>DATE(2012,5,14) + TIME(13,44,0)</f>
        <v>41043.572222222225</v>
      </c>
      <c r="C1098">
        <v>1383.2147216999999</v>
      </c>
      <c r="D1098">
        <v>1368.7113036999999</v>
      </c>
      <c r="E1098">
        <v>1291.3288574000001</v>
      </c>
      <c r="F1098">
        <v>1272.2263184000001</v>
      </c>
      <c r="G1098">
        <v>80</v>
      </c>
      <c r="H1098">
        <v>79.949501037999994</v>
      </c>
      <c r="I1098">
        <v>50</v>
      </c>
      <c r="J1098">
        <v>48.821426391999999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744.96279300000003</v>
      </c>
      <c r="B1099" s="1">
        <f>DATE(2012,5,14) + TIME(23,6,25)</f>
        <v>41043.962789351855</v>
      </c>
      <c r="C1099">
        <v>1383.1518555</v>
      </c>
      <c r="D1099">
        <v>1368.6593018000001</v>
      </c>
      <c r="E1099">
        <v>1291.3240966999999</v>
      </c>
      <c r="F1099">
        <v>1272.2188721</v>
      </c>
      <c r="G1099">
        <v>80</v>
      </c>
      <c r="H1099">
        <v>79.949501037999994</v>
      </c>
      <c r="I1099">
        <v>50</v>
      </c>
      <c r="J1099">
        <v>48.793457031000003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745.36353799999995</v>
      </c>
      <c r="B1100" s="1">
        <f>DATE(2012,5,15) + TIME(8,43,29)</f>
        <v>41044.363530092596</v>
      </c>
      <c r="C1100">
        <v>1383.0889893000001</v>
      </c>
      <c r="D1100">
        <v>1368.6074219</v>
      </c>
      <c r="E1100">
        <v>1291.3192139</v>
      </c>
      <c r="F1100">
        <v>1272.2113036999999</v>
      </c>
      <c r="G1100">
        <v>80</v>
      </c>
      <c r="H1100">
        <v>79.949501037999994</v>
      </c>
      <c r="I1100">
        <v>50</v>
      </c>
      <c r="J1100">
        <v>48.764961243000002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745.77583900000002</v>
      </c>
      <c r="B1101" s="1">
        <f>DATE(2012,5,15) + TIME(18,37,12)</f>
        <v>41044.775833333333</v>
      </c>
      <c r="C1101">
        <v>1383.026001</v>
      </c>
      <c r="D1101">
        <v>1368.5554199000001</v>
      </c>
      <c r="E1101">
        <v>1291.3143310999999</v>
      </c>
      <c r="F1101">
        <v>1272.2034911999999</v>
      </c>
      <c r="G1101">
        <v>80</v>
      </c>
      <c r="H1101">
        <v>79.949501037999994</v>
      </c>
      <c r="I1101">
        <v>50</v>
      </c>
      <c r="J1101">
        <v>48.735862732000001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746.20127000000002</v>
      </c>
      <c r="B1102" s="1">
        <f>DATE(2012,5,16) + TIME(4,49,49)</f>
        <v>41045.201261574075</v>
      </c>
      <c r="C1102">
        <v>1382.9627685999999</v>
      </c>
      <c r="D1102">
        <v>1368.5031738</v>
      </c>
      <c r="E1102">
        <v>1291.3092041</v>
      </c>
      <c r="F1102">
        <v>1272.1954346</v>
      </c>
      <c r="G1102">
        <v>80</v>
      </c>
      <c r="H1102">
        <v>79.949493407999995</v>
      </c>
      <c r="I1102">
        <v>50</v>
      </c>
      <c r="J1102">
        <v>48.706073760999999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746.64079400000003</v>
      </c>
      <c r="B1103" s="1">
        <f>DATE(2012,5,16) + TIME(15,22,44)</f>
        <v>41045.640787037039</v>
      </c>
      <c r="C1103">
        <v>1382.8989257999999</v>
      </c>
      <c r="D1103">
        <v>1368.4505615</v>
      </c>
      <c r="E1103">
        <v>1291.3039550999999</v>
      </c>
      <c r="F1103">
        <v>1272.1871338000001</v>
      </c>
      <c r="G1103">
        <v>80</v>
      </c>
      <c r="H1103">
        <v>79.949485779</v>
      </c>
      <c r="I1103">
        <v>50</v>
      </c>
      <c r="J1103">
        <v>48.675525665000002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747.08549500000004</v>
      </c>
      <c r="B1104" s="1">
        <f>DATE(2012,5,17) + TIME(2,3,6)</f>
        <v>41046.085486111115</v>
      </c>
      <c r="C1104">
        <v>1382.8345947</v>
      </c>
      <c r="D1104">
        <v>1368.3974608999999</v>
      </c>
      <c r="E1104">
        <v>1291.2983397999999</v>
      </c>
      <c r="F1104">
        <v>1272.1784668</v>
      </c>
      <c r="G1104">
        <v>80</v>
      </c>
      <c r="H1104">
        <v>79.949478149000001</v>
      </c>
      <c r="I1104">
        <v>50</v>
      </c>
      <c r="J1104">
        <v>48.644615172999998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747.53646000000003</v>
      </c>
      <c r="B1105" s="1">
        <f>DATE(2012,5,17) + TIME(12,52,30)</f>
        <v>41046.536458333336</v>
      </c>
      <c r="C1105">
        <v>1382.7709961</v>
      </c>
      <c r="D1105">
        <v>1368.3449707</v>
      </c>
      <c r="E1105">
        <v>1291.2927245999999</v>
      </c>
      <c r="F1105">
        <v>1272.1697998</v>
      </c>
      <c r="G1105">
        <v>80</v>
      </c>
      <c r="H1105">
        <v>79.949462890999996</v>
      </c>
      <c r="I1105">
        <v>50</v>
      </c>
      <c r="J1105">
        <v>48.613346100000001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747.99471100000005</v>
      </c>
      <c r="B1106" s="1">
        <f>DATE(2012,5,17) + TIME(23,52,23)</f>
        <v>41046.994710648149</v>
      </c>
      <c r="C1106">
        <v>1382.7078856999999</v>
      </c>
      <c r="D1106">
        <v>1368.2930908000001</v>
      </c>
      <c r="E1106">
        <v>1291.2871094</v>
      </c>
      <c r="F1106">
        <v>1272.1608887</v>
      </c>
      <c r="G1106">
        <v>80</v>
      </c>
      <c r="H1106">
        <v>79.949455260999997</v>
      </c>
      <c r="I1106">
        <v>50</v>
      </c>
      <c r="J1106">
        <v>48.581707000999998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748.46132399999999</v>
      </c>
      <c r="B1107" s="1">
        <f>DATE(2012,5,18) + TIME(11,4,18)</f>
        <v>41047.461319444446</v>
      </c>
      <c r="C1107">
        <v>1382.6451416</v>
      </c>
      <c r="D1107">
        <v>1368.2415771000001</v>
      </c>
      <c r="E1107">
        <v>1291.28125</v>
      </c>
      <c r="F1107">
        <v>1272.1518555</v>
      </c>
      <c r="G1107">
        <v>80</v>
      </c>
      <c r="H1107">
        <v>79.949440002000003</v>
      </c>
      <c r="I1107">
        <v>50</v>
      </c>
      <c r="J1107">
        <v>48.549667358000001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748.93744100000004</v>
      </c>
      <c r="B1108" s="1">
        <f>DATE(2012,5,18) + TIME(22,29,54)</f>
        <v>41047.937430555554</v>
      </c>
      <c r="C1108">
        <v>1382.5827637</v>
      </c>
      <c r="D1108">
        <v>1368.1901855000001</v>
      </c>
      <c r="E1108">
        <v>1291.2753906</v>
      </c>
      <c r="F1108">
        <v>1272.1425781</v>
      </c>
      <c r="G1108">
        <v>80</v>
      </c>
      <c r="H1108">
        <v>79.949432372999993</v>
      </c>
      <c r="I1108">
        <v>50</v>
      </c>
      <c r="J1108">
        <v>48.517181395999998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749.42428800000005</v>
      </c>
      <c r="B1109" s="1">
        <f>DATE(2012,5,19) + TIME(10,10,58)</f>
        <v>41048.42428240741</v>
      </c>
      <c r="C1109">
        <v>1382.5205077999999</v>
      </c>
      <c r="D1109">
        <v>1368.1390381000001</v>
      </c>
      <c r="E1109">
        <v>1291.2694091999999</v>
      </c>
      <c r="F1109">
        <v>1272.1330565999999</v>
      </c>
      <c r="G1109">
        <v>80</v>
      </c>
      <c r="H1109">
        <v>79.949417113999999</v>
      </c>
      <c r="I1109">
        <v>50</v>
      </c>
      <c r="J1109">
        <v>48.484188080000003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749.918679</v>
      </c>
      <c r="B1110" s="1">
        <f>DATE(2012,5,19) + TIME(22,2,53)</f>
        <v>41048.918668981481</v>
      </c>
      <c r="C1110">
        <v>1382.4582519999999</v>
      </c>
      <c r="D1110">
        <v>1368.0877685999999</v>
      </c>
      <c r="E1110">
        <v>1291.2631836</v>
      </c>
      <c r="F1110">
        <v>1272.1234131000001</v>
      </c>
      <c r="G1110">
        <v>80</v>
      </c>
      <c r="H1110">
        <v>79.949401855000005</v>
      </c>
      <c r="I1110">
        <v>50</v>
      </c>
      <c r="J1110">
        <v>48.450813293000003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750.42076999999995</v>
      </c>
      <c r="B1111" s="1">
        <f>DATE(2012,5,20) + TIME(10,5,54)</f>
        <v>41049.420763888891</v>
      </c>
      <c r="C1111">
        <v>1382.3963623</v>
      </c>
      <c r="D1111">
        <v>1368.0369873</v>
      </c>
      <c r="E1111">
        <v>1291.2568358999999</v>
      </c>
      <c r="F1111">
        <v>1272.1135254000001</v>
      </c>
      <c r="G1111">
        <v>80</v>
      </c>
      <c r="H1111">
        <v>79.949386597</v>
      </c>
      <c r="I1111">
        <v>50</v>
      </c>
      <c r="J1111">
        <v>48.417072296000001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750.93211099999996</v>
      </c>
      <c r="B1112" s="1">
        <f>DATE(2012,5,20) + TIME(22,22,14)</f>
        <v>41049.932106481479</v>
      </c>
      <c r="C1112">
        <v>1382.3348389</v>
      </c>
      <c r="D1112">
        <v>1367.9864502</v>
      </c>
      <c r="E1112">
        <v>1291.2504882999999</v>
      </c>
      <c r="F1112">
        <v>1272.1033935999999</v>
      </c>
      <c r="G1112">
        <v>80</v>
      </c>
      <c r="H1112">
        <v>79.949378967000001</v>
      </c>
      <c r="I1112">
        <v>50</v>
      </c>
      <c r="J1112">
        <v>48.382923126000001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751.45433300000002</v>
      </c>
      <c r="B1113" s="1">
        <f>DATE(2012,5,21) + TIME(10,54,14)</f>
        <v>41050.454328703701</v>
      </c>
      <c r="C1113">
        <v>1382.2735596</v>
      </c>
      <c r="D1113">
        <v>1367.9360352000001</v>
      </c>
      <c r="E1113">
        <v>1291.2438964999999</v>
      </c>
      <c r="F1113">
        <v>1272.0930175999999</v>
      </c>
      <c r="G1113">
        <v>80</v>
      </c>
      <c r="H1113">
        <v>79.949363708000007</v>
      </c>
      <c r="I1113">
        <v>50</v>
      </c>
      <c r="J1113">
        <v>48.348285675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751.98920099999998</v>
      </c>
      <c r="B1114" s="1">
        <f>DATE(2012,5,21) + TIME(23,44,26)</f>
        <v>41050.989189814813</v>
      </c>
      <c r="C1114">
        <v>1382.2121582</v>
      </c>
      <c r="D1114">
        <v>1367.8857422000001</v>
      </c>
      <c r="E1114">
        <v>1291.2371826000001</v>
      </c>
      <c r="F1114">
        <v>1272.0823975000001</v>
      </c>
      <c r="G1114">
        <v>80</v>
      </c>
      <c r="H1114">
        <v>79.949348450000002</v>
      </c>
      <c r="I1114">
        <v>50</v>
      </c>
      <c r="J1114">
        <v>48.313079834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752.53869399999996</v>
      </c>
      <c r="B1115" s="1">
        <f>DATE(2012,5,22) + TIME(12,55,43)</f>
        <v>41051.53869212963</v>
      </c>
      <c r="C1115">
        <v>1382.1507568</v>
      </c>
      <c r="D1115">
        <v>1367.8352050999999</v>
      </c>
      <c r="E1115">
        <v>1291.2303466999999</v>
      </c>
      <c r="F1115">
        <v>1272.0715332</v>
      </c>
      <c r="G1115">
        <v>80</v>
      </c>
      <c r="H1115">
        <v>79.949333190999994</v>
      </c>
      <c r="I1115">
        <v>50</v>
      </c>
      <c r="J1115">
        <v>48.277210236000002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753.10527300000001</v>
      </c>
      <c r="B1116" s="1">
        <f>DATE(2012,5,23) + TIME(2,31,35)</f>
        <v>41052.105266203704</v>
      </c>
      <c r="C1116">
        <v>1382.0888672000001</v>
      </c>
      <c r="D1116">
        <v>1367.7844238</v>
      </c>
      <c r="E1116">
        <v>1291.2231445</v>
      </c>
      <c r="F1116">
        <v>1272.0603027</v>
      </c>
      <c r="G1116">
        <v>80</v>
      </c>
      <c r="H1116">
        <v>79.949325561999999</v>
      </c>
      <c r="I1116">
        <v>50</v>
      </c>
      <c r="J1116">
        <v>48.240550995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753.69108000000006</v>
      </c>
      <c r="B1117" s="1">
        <f>DATE(2012,5,23) + TIME(16,35,9)</f>
        <v>41052.691076388888</v>
      </c>
      <c r="C1117">
        <v>1382.0263672000001</v>
      </c>
      <c r="D1117">
        <v>1367.7331543</v>
      </c>
      <c r="E1117">
        <v>1291.2158202999999</v>
      </c>
      <c r="F1117">
        <v>1272.0485839999999</v>
      </c>
      <c r="G1117">
        <v>80</v>
      </c>
      <c r="H1117">
        <v>79.949310303000004</v>
      </c>
      <c r="I1117">
        <v>50</v>
      </c>
      <c r="J1117">
        <v>48.202980042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754.29461700000002</v>
      </c>
      <c r="B1118" s="1">
        <f>DATE(2012,5,24) + TIME(7,4,14)</f>
        <v>41053.294606481482</v>
      </c>
      <c r="C1118">
        <v>1381.9631348</v>
      </c>
      <c r="D1118">
        <v>1367.6812743999999</v>
      </c>
      <c r="E1118">
        <v>1291.2082519999999</v>
      </c>
      <c r="F1118">
        <v>1272.0363769999999</v>
      </c>
      <c r="G1118">
        <v>80</v>
      </c>
      <c r="H1118">
        <v>79.949302673000005</v>
      </c>
      <c r="I1118">
        <v>50</v>
      </c>
      <c r="J1118">
        <v>48.164516448999997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754.91145400000005</v>
      </c>
      <c r="B1119" s="1">
        <f>DATE(2012,5,24) + TIME(21,52,29)</f>
        <v>41053.911446759259</v>
      </c>
      <c r="C1119">
        <v>1381.8992920000001</v>
      </c>
      <c r="D1119">
        <v>1367.6289062000001</v>
      </c>
      <c r="E1119">
        <v>1291.2001952999999</v>
      </c>
      <c r="F1119">
        <v>1272.0239257999999</v>
      </c>
      <c r="G1119">
        <v>80</v>
      </c>
      <c r="H1119">
        <v>79.949287415000001</v>
      </c>
      <c r="I1119">
        <v>50</v>
      </c>
      <c r="J1119">
        <v>48.125328064000001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755.53092400000003</v>
      </c>
      <c r="B1120" s="1">
        <f>DATE(2012,5,25) + TIME(12,44,31)</f>
        <v>41054.530914351853</v>
      </c>
      <c r="C1120">
        <v>1381.8353271000001</v>
      </c>
      <c r="D1120">
        <v>1367.5765381000001</v>
      </c>
      <c r="E1120">
        <v>1291.1920166</v>
      </c>
      <c r="F1120">
        <v>1272.0109863</v>
      </c>
      <c r="G1120">
        <v>80</v>
      </c>
      <c r="H1120">
        <v>79.949279785000002</v>
      </c>
      <c r="I1120">
        <v>50</v>
      </c>
      <c r="J1120">
        <v>48.085849762000002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756.15459399999997</v>
      </c>
      <c r="B1121" s="1">
        <f>DATE(2012,5,26) + TIME(3,42,36)</f>
        <v>41055.154583333337</v>
      </c>
      <c r="C1121">
        <v>1381.7725829999999</v>
      </c>
      <c r="D1121">
        <v>1367.5250243999999</v>
      </c>
      <c r="E1121">
        <v>1291.1837158000001</v>
      </c>
      <c r="F1121">
        <v>1271.9979248</v>
      </c>
      <c r="G1121">
        <v>80</v>
      </c>
      <c r="H1121">
        <v>79.949264525999993</v>
      </c>
      <c r="I1121">
        <v>50</v>
      </c>
      <c r="J1121">
        <v>48.04617691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756.78391799999997</v>
      </c>
      <c r="B1122" s="1">
        <f>DATE(2012,5,26) + TIME(18,48,50)</f>
        <v>41055.783912037034</v>
      </c>
      <c r="C1122">
        <v>1381.7105713000001</v>
      </c>
      <c r="D1122">
        <v>1367.4741211</v>
      </c>
      <c r="E1122">
        <v>1291.1754149999999</v>
      </c>
      <c r="F1122">
        <v>1271.9846190999999</v>
      </c>
      <c r="G1122">
        <v>80</v>
      </c>
      <c r="H1122">
        <v>79.949256896999998</v>
      </c>
      <c r="I1122">
        <v>50</v>
      </c>
      <c r="J1122">
        <v>48.006324767999999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757.42016699999999</v>
      </c>
      <c r="B1123" s="1">
        <f>DATE(2012,5,27) + TIME(10,5,2)</f>
        <v>41056.420162037037</v>
      </c>
      <c r="C1123">
        <v>1381.6492920000001</v>
      </c>
      <c r="D1123">
        <v>1367.4238281</v>
      </c>
      <c r="E1123">
        <v>1291.1669922000001</v>
      </c>
      <c r="F1123">
        <v>1271.9710693</v>
      </c>
      <c r="G1123">
        <v>80</v>
      </c>
      <c r="H1123">
        <v>79.949241638000004</v>
      </c>
      <c r="I1123">
        <v>50</v>
      </c>
      <c r="J1123">
        <v>47.966278076000002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758.06479100000001</v>
      </c>
      <c r="B1124" s="1">
        <f>DATE(2012,5,28) + TIME(1,33,17)</f>
        <v>41057.064780092594</v>
      </c>
      <c r="C1124">
        <v>1381.588501</v>
      </c>
      <c r="D1124">
        <v>1367.3739014</v>
      </c>
      <c r="E1124">
        <v>1291.1583252</v>
      </c>
      <c r="F1124">
        <v>1271.9572754000001</v>
      </c>
      <c r="G1124">
        <v>80</v>
      </c>
      <c r="H1124">
        <v>79.949234008999994</v>
      </c>
      <c r="I1124">
        <v>50</v>
      </c>
      <c r="J1124">
        <v>47.925979613999999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758.71929</v>
      </c>
      <c r="B1125" s="1">
        <f>DATE(2012,5,28) + TIME(17,15,46)</f>
        <v>41057.719282407408</v>
      </c>
      <c r="C1125">
        <v>1381.5280762</v>
      </c>
      <c r="D1125">
        <v>1367.3243408000001</v>
      </c>
      <c r="E1125">
        <v>1291.1495361</v>
      </c>
      <c r="F1125">
        <v>1271.9432373</v>
      </c>
      <c r="G1125">
        <v>80</v>
      </c>
      <c r="H1125">
        <v>79.949226378999995</v>
      </c>
      <c r="I1125">
        <v>50</v>
      </c>
      <c r="J1125">
        <v>47.885368346999996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759.38523199999997</v>
      </c>
      <c r="B1126" s="1">
        <f>DATE(2012,5,29) + TIME(9,14,44)</f>
        <v>41058.385231481479</v>
      </c>
      <c r="C1126">
        <v>1381.4678954999999</v>
      </c>
      <c r="D1126">
        <v>1367.2749022999999</v>
      </c>
      <c r="E1126">
        <v>1291.140625</v>
      </c>
      <c r="F1126">
        <v>1271.9287108999999</v>
      </c>
      <c r="G1126">
        <v>80</v>
      </c>
      <c r="H1126">
        <v>79.94921875</v>
      </c>
      <c r="I1126">
        <v>50</v>
      </c>
      <c r="J1126">
        <v>47.844360352000002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760.06430599999999</v>
      </c>
      <c r="B1127" s="1">
        <f>DATE(2012,5,30) + TIME(1,32,36)</f>
        <v>41059.064305555556</v>
      </c>
      <c r="C1127">
        <v>1381.4078368999999</v>
      </c>
      <c r="D1127">
        <v>1367.2255858999999</v>
      </c>
      <c r="E1127">
        <v>1291.1314697</v>
      </c>
      <c r="F1127">
        <v>1271.9139404</v>
      </c>
      <c r="G1127">
        <v>80</v>
      </c>
      <c r="H1127">
        <v>79.949211121000005</v>
      </c>
      <c r="I1127">
        <v>50</v>
      </c>
      <c r="J1127">
        <v>47.802879333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760.758331</v>
      </c>
      <c r="B1128" s="1">
        <f>DATE(2012,5,30) + TIME(18,11,59)</f>
        <v>41059.758321759262</v>
      </c>
      <c r="C1128">
        <v>1381.3476562000001</v>
      </c>
      <c r="D1128">
        <v>1367.1762695</v>
      </c>
      <c r="E1128">
        <v>1291.1219481999999</v>
      </c>
      <c r="F1128">
        <v>1271.8986815999999</v>
      </c>
      <c r="G1128">
        <v>80</v>
      </c>
      <c r="H1128">
        <v>79.949203491000006</v>
      </c>
      <c r="I1128">
        <v>50</v>
      </c>
      <c r="J1128">
        <v>47.760826111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761.46928800000001</v>
      </c>
      <c r="B1129" s="1">
        <f>DATE(2012,5,31) + TIME(11,15,46)</f>
        <v>41060.469282407408</v>
      </c>
      <c r="C1129">
        <v>1381.2873535000001</v>
      </c>
      <c r="D1129">
        <v>1367.1267089999999</v>
      </c>
      <c r="E1129">
        <v>1291.1123047000001</v>
      </c>
      <c r="F1129">
        <v>1271.8829346</v>
      </c>
      <c r="G1129">
        <v>80</v>
      </c>
      <c r="H1129">
        <v>79.949195861999996</v>
      </c>
      <c r="I1129">
        <v>50</v>
      </c>
      <c r="J1129">
        <v>47.718101501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762</v>
      </c>
      <c r="B1130" s="1">
        <f>DATE(2012,6,1) + TIME(0,0,0)</f>
        <v>41061</v>
      </c>
      <c r="C1130">
        <v>1381.2265625</v>
      </c>
      <c r="D1130">
        <v>1367.0767822</v>
      </c>
      <c r="E1130">
        <v>1291.1014404</v>
      </c>
      <c r="F1130">
        <v>1271.8674315999999</v>
      </c>
      <c r="G1130">
        <v>80</v>
      </c>
      <c r="H1130">
        <v>79.949188231999997</v>
      </c>
      <c r="I1130">
        <v>50</v>
      </c>
      <c r="J1130">
        <v>47.681964874000002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762.72886900000003</v>
      </c>
      <c r="B1131" s="1">
        <f>DATE(2012,6,1) + TIME(17,29,34)</f>
        <v>41061.728865740741</v>
      </c>
      <c r="C1131">
        <v>1381.1821289</v>
      </c>
      <c r="D1131">
        <v>1367.0401611</v>
      </c>
      <c r="E1131">
        <v>1291.0948486</v>
      </c>
      <c r="F1131">
        <v>1271.854126</v>
      </c>
      <c r="G1131">
        <v>80</v>
      </c>
      <c r="H1131">
        <v>79.949188231999997</v>
      </c>
      <c r="I1131">
        <v>50</v>
      </c>
      <c r="J1131">
        <v>47.640392302999999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763.48884299999997</v>
      </c>
      <c r="B1132" s="1">
        <f>DATE(2012,6,2) + TIME(11,43,56)</f>
        <v>41062.488842592589</v>
      </c>
      <c r="C1132">
        <v>1381.1219481999999</v>
      </c>
      <c r="D1132">
        <v>1366.9907227000001</v>
      </c>
      <c r="E1132">
        <v>1291.0843506000001</v>
      </c>
      <c r="F1132">
        <v>1271.8372803</v>
      </c>
      <c r="G1132">
        <v>80</v>
      </c>
      <c r="H1132">
        <v>79.949188231999997</v>
      </c>
      <c r="I1132">
        <v>50</v>
      </c>
      <c r="J1132">
        <v>47.596874237000002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764.25514299999998</v>
      </c>
      <c r="B1133" s="1">
        <f>DATE(2012,6,3) + TIME(6,7,24)</f>
        <v>41063.25513888889</v>
      </c>
      <c r="C1133">
        <v>1381.0603027</v>
      </c>
      <c r="D1133">
        <v>1366.9399414</v>
      </c>
      <c r="E1133">
        <v>1291.0732422000001</v>
      </c>
      <c r="F1133">
        <v>1271.8194579999999</v>
      </c>
      <c r="G1133">
        <v>80</v>
      </c>
      <c r="H1133">
        <v>79.949180603000002</v>
      </c>
      <c r="I1133">
        <v>50</v>
      </c>
      <c r="J1133">
        <v>47.552326202000003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765.03034400000001</v>
      </c>
      <c r="B1134" s="1">
        <f>DATE(2012,6,4) + TIME(0,43,41)</f>
        <v>41064.030335648145</v>
      </c>
      <c r="C1134">
        <v>1380.9992675999999</v>
      </c>
      <c r="D1134">
        <v>1366.8896483999999</v>
      </c>
      <c r="E1134">
        <v>1291.0620117000001</v>
      </c>
      <c r="F1134">
        <v>1271.8011475000001</v>
      </c>
      <c r="G1134">
        <v>80</v>
      </c>
      <c r="H1134">
        <v>79.949180603000002</v>
      </c>
      <c r="I1134">
        <v>50</v>
      </c>
      <c r="J1134">
        <v>47.507095337000003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765.81692499999997</v>
      </c>
      <c r="B1135" s="1">
        <f>DATE(2012,6,4) + TIME(19,36,22)</f>
        <v>41064.816921296297</v>
      </c>
      <c r="C1135">
        <v>1380.9385986</v>
      </c>
      <c r="D1135">
        <v>1366.8397216999999</v>
      </c>
      <c r="E1135">
        <v>1291.0505370999999</v>
      </c>
      <c r="F1135">
        <v>1271.7824707</v>
      </c>
      <c r="G1135">
        <v>80</v>
      </c>
      <c r="H1135">
        <v>79.949172974000007</v>
      </c>
      <c r="I1135">
        <v>50</v>
      </c>
      <c r="J1135">
        <v>47.461307525999999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766.61747500000001</v>
      </c>
      <c r="B1136" s="1">
        <f>DATE(2012,6,5) + TIME(14,49,9)</f>
        <v>41065.617465277777</v>
      </c>
      <c r="C1136">
        <v>1380.8780518000001</v>
      </c>
      <c r="D1136">
        <v>1366.7899170000001</v>
      </c>
      <c r="E1136">
        <v>1291.0388184000001</v>
      </c>
      <c r="F1136">
        <v>1271.7631836</v>
      </c>
      <c r="G1136">
        <v>80</v>
      </c>
      <c r="H1136">
        <v>79.949172974000007</v>
      </c>
      <c r="I1136">
        <v>50</v>
      </c>
      <c r="J1136">
        <v>47.414962768999999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767.43474900000001</v>
      </c>
      <c r="B1137" s="1">
        <f>DATE(2012,6,6) + TIME(10,26,2)</f>
        <v>41066.434745370374</v>
      </c>
      <c r="C1137">
        <v>1380.8176269999999</v>
      </c>
      <c r="D1137">
        <v>1366.7401123</v>
      </c>
      <c r="E1137">
        <v>1291.0268555</v>
      </c>
      <c r="F1137">
        <v>1271.7432861</v>
      </c>
      <c r="G1137">
        <v>80</v>
      </c>
      <c r="H1137">
        <v>79.949172974000007</v>
      </c>
      <c r="I1137">
        <v>50</v>
      </c>
      <c r="J1137">
        <v>47.367984772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768.26883399999997</v>
      </c>
      <c r="B1138" s="1">
        <f>DATE(2012,6,7) + TIME(6,27,7)</f>
        <v>41067.268831018519</v>
      </c>
      <c r="C1138">
        <v>1380.7569579999999</v>
      </c>
      <c r="D1138">
        <v>1366.6900635</v>
      </c>
      <c r="E1138">
        <v>1291.0144043</v>
      </c>
      <c r="F1138">
        <v>1271.7227783000001</v>
      </c>
      <c r="G1138">
        <v>80</v>
      </c>
      <c r="H1138">
        <v>79.949172974000007</v>
      </c>
      <c r="I1138">
        <v>50</v>
      </c>
      <c r="J1138">
        <v>47.320346831999998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769.11350600000003</v>
      </c>
      <c r="B1139" s="1">
        <f>DATE(2012,6,8) + TIME(2,43,26)</f>
        <v>41068.113495370373</v>
      </c>
      <c r="C1139">
        <v>1380.6960449000001</v>
      </c>
      <c r="D1139">
        <v>1366.6397704999999</v>
      </c>
      <c r="E1139">
        <v>1291.0015868999999</v>
      </c>
      <c r="F1139">
        <v>1271.7014160000001</v>
      </c>
      <c r="G1139">
        <v>80</v>
      </c>
      <c r="H1139">
        <v>79.949172974000007</v>
      </c>
      <c r="I1139">
        <v>50</v>
      </c>
      <c r="J1139">
        <v>47.272216796999999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769.97127699999999</v>
      </c>
      <c r="B1140" s="1">
        <f>DATE(2012,6,8) + TIME(23,18,38)</f>
        <v>41068.971273148149</v>
      </c>
      <c r="C1140">
        <v>1380.6354980000001</v>
      </c>
      <c r="D1140">
        <v>1366.5897216999999</v>
      </c>
      <c r="E1140">
        <v>1290.9884033000001</v>
      </c>
      <c r="F1140">
        <v>1271.6795654</v>
      </c>
      <c r="G1140">
        <v>80</v>
      </c>
      <c r="H1140">
        <v>79.949172974000007</v>
      </c>
      <c r="I1140">
        <v>50</v>
      </c>
      <c r="J1140">
        <v>47.223602294999999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770.83694300000002</v>
      </c>
      <c r="B1141" s="1">
        <f>DATE(2012,6,9) + TIME(20,5,11)</f>
        <v>41069.83693287037</v>
      </c>
      <c r="C1141">
        <v>1380.5749512</v>
      </c>
      <c r="D1141">
        <v>1366.5397949000001</v>
      </c>
      <c r="E1141">
        <v>1290.9748535000001</v>
      </c>
      <c r="F1141">
        <v>1271.6569824000001</v>
      </c>
      <c r="G1141">
        <v>80</v>
      </c>
      <c r="H1141">
        <v>79.949172974000007</v>
      </c>
      <c r="I1141">
        <v>50</v>
      </c>
      <c r="J1141">
        <v>47.174659728999998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771.71211400000004</v>
      </c>
      <c r="B1142" s="1">
        <f>DATE(2012,6,10) + TIME(17,5,26)</f>
        <v>41070.712106481478</v>
      </c>
      <c r="C1142">
        <v>1380.5150146000001</v>
      </c>
      <c r="D1142">
        <v>1366.4901123</v>
      </c>
      <c r="E1142">
        <v>1290.9611815999999</v>
      </c>
      <c r="F1142">
        <v>1271.6339111</v>
      </c>
      <c r="G1142">
        <v>80</v>
      </c>
      <c r="H1142">
        <v>79.949180603000002</v>
      </c>
      <c r="I1142">
        <v>50</v>
      </c>
      <c r="J1142">
        <v>47.125427246000001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772.598749</v>
      </c>
      <c r="B1143" s="1">
        <f>DATE(2012,6,11) + TIME(14,22,11)</f>
        <v>41071.598738425928</v>
      </c>
      <c r="C1143">
        <v>1380.4553223</v>
      </c>
      <c r="D1143">
        <v>1366.4407959</v>
      </c>
      <c r="E1143">
        <v>1290.9470214999999</v>
      </c>
      <c r="F1143">
        <v>1271.6102295000001</v>
      </c>
      <c r="G1143">
        <v>80</v>
      </c>
      <c r="H1143">
        <v>79.949180603000002</v>
      </c>
      <c r="I1143">
        <v>50</v>
      </c>
      <c r="J1143">
        <v>47.075862884999999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773.49890500000004</v>
      </c>
      <c r="B1144" s="1">
        <f>DATE(2012,6,12) + TIME(11,58,25)</f>
        <v>41072.498900462961</v>
      </c>
      <c r="C1144">
        <v>1380.395874</v>
      </c>
      <c r="D1144">
        <v>1366.3914795000001</v>
      </c>
      <c r="E1144">
        <v>1290.9326172000001</v>
      </c>
      <c r="F1144">
        <v>1271.5858154</v>
      </c>
      <c r="G1144">
        <v>80</v>
      </c>
      <c r="H1144">
        <v>79.949188231999997</v>
      </c>
      <c r="I1144">
        <v>50</v>
      </c>
      <c r="J1144">
        <v>47.025890349999997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774.41473399999995</v>
      </c>
      <c r="B1145" s="1">
        <f>DATE(2012,6,13) + TIME(9,57,12)</f>
        <v>41073.414722222224</v>
      </c>
      <c r="C1145">
        <v>1380.3364257999999</v>
      </c>
      <c r="D1145">
        <v>1366.3422852000001</v>
      </c>
      <c r="E1145">
        <v>1290.9178466999999</v>
      </c>
      <c r="F1145">
        <v>1271.5606689000001</v>
      </c>
      <c r="G1145">
        <v>80</v>
      </c>
      <c r="H1145">
        <v>79.949188231999997</v>
      </c>
      <c r="I1145">
        <v>50</v>
      </c>
      <c r="J1145">
        <v>46.975425719999997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775.34855800000003</v>
      </c>
      <c r="B1146" s="1">
        <f>DATE(2012,6,14) + TIME(8,21,55)</f>
        <v>41074.348553240743</v>
      </c>
      <c r="C1146">
        <v>1380.2769774999999</v>
      </c>
      <c r="D1146">
        <v>1366.2928466999999</v>
      </c>
      <c r="E1146">
        <v>1290.9025879000001</v>
      </c>
      <c r="F1146">
        <v>1271.534668</v>
      </c>
      <c r="G1146">
        <v>80</v>
      </c>
      <c r="H1146">
        <v>79.949195861999996</v>
      </c>
      <c r="I1146">
        <v>50</v>
      </c>
      <c r="J1146">
        <v>46.924354553000001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776.30287199999998</v>
      </c>
      <c r="B1147" s="1">
        <f>DATE(2012,6,15) + TIME(7,16,8)</f>
        <v>41075.302870370368</v>
      </c>
      <c r="C1147">
        <v>1380.2172852000001</v>
      </c>
      <c r="D1147">
        <v>1366.2432861</v>
      </c>
      <c r="E1147">
        <v>1290.8868408000001</v>
      </c>
      <c r="F1147">
        <v>1271.5076904</v>
      </c>
      <c r="G1147">
        <v>80</v>
      </c>
      <c r="H1147">
        <v>79.949203491000006</v>
      </c>
      <c r="I1147">
        <v>50</v>
      </c>
      <c r="J1147">
        <v>46.872566223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777.27716899999996</v>
      </c>
      <c r="B1148" s="1">
        <f>DATE(2012,6,16) + TIME(6,39,7)</f>
        <v>41076.27716435185</v>
      </c>
      <c r="C1148">
        <v>1380.1572266000001</v>
      </c>
      <c r="D1148">
        <v>1366.1934814000001</v>
      </c>
      <c r="E1148">
        <v>1290.8706055</v>
      </c>
      <c r="F1148">
        <v>1271.4798584</v>
      </c>
      <c r="G1148">
        <v>80</v>
      </c>
      <c r="H1148">
        <v>79.949211121000005</v>
      </c>
      <c r="I1148">
        <v>50</v>
      </c>
      <c r="J1148">
        <v>46.820011139000002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778.26380200000006</v>
      </c>
      <c r="B1149" s="1">
        <f>DATE(2012,6,17) + TIME(6,19,52)</f>
        <v>41077.263796296298</v>
      </c>
      <c r="C1149">
        <v>1380.0969238</v>
      </c>
      <c r="D1149">
        <v>1366.1433105000001</v>
      </c>
      <c r="E1149">
        <v>1290.8538818</v>
      </c>
      <c r="F1149">
        <v>1271.4508057</v>
      </c>
      <c r="G1149">
        <v>80</v>
      </c>
      <c r="H1149">
        <v>79.94921875</v>
      </c>
      <c r="I1149">
        <v>50</v>
      </c>
      <c r="J1149">
        <v>46.766872405999997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779.26575400000002</v>
      </c>
      <c r="B1150" s="1">
        <f>DATE(2012,6,18) + TIME(6,22,41)</f>
        <v>41078.265752314815</v>
      </c>
      <c r="C1150">
        <v>1380.0367432</v>
      </c>
      <c r="D1150">
        <v>1366.0931396000001</v>
      </c>
      <c r="E1150">
        <v>1290.8366699000001</v>
      </c>
      <c r="F1150">
        <v>1271.4210204999999</v>
      </c>
      <c r="G1150">
        <v>80</v>
      </c>
      <c r="H1150">
        <v>79.949226378999995</v>
      </c>
      <c r="I1150">
        <v>50</v>
      </c>
      <c r="J1150">
        <v>46.713184357000003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780.28603999999996</v>
      </c>
      <c r="B1151" s="1">
        <f>DATE(2012,6,19) + TIME(6,51,53)</f>
        <v>41079.286030092589</v>
      </c>
      <c r="C1151">
        <v>1379.9766846</v>
      </c>
      <c r="D1151">
        <v>1366.0430908000001</v>
      </c>
      <c r="E1151">
        <v>1290.8189697</v>
      </c>
      <c r="F1151">
        <v>1271.3902588000001</v>
      </c>
      <c r="G1151">
        <v>80</v>
      </c>
      <c r="H1151">
        <v>79.949234008999994</v>
      </c>
      <c r="I1151">
        <v>50</v>
      </c>
      <c r="J1151">
        <v>46.658889770999998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781.32789600000001</v>
      </c>
      <c r="B1152" s="1">
        <f>DATE(2012,6,20) + TIME(7,52,10)</f>
        <v>41080.327893518515</v>
      </c>
      <c r="C1152">
        <v>1379.9163818</v>
      </c>
      <c r="D1152">
        <v>1365.9927978999999</v>
      </c>
      <c r="E1152">
        <v>1290.8009033000001</v>
      </c>
      <c r="F1152">
        <v>1271.3582764</v>
      </c>
      <c r="G1152">
        <v>80</v>
      </c>
      <c r="H1152">
        <v>79.949249268000003</v>
      </c>
      <c r="I1152">
        <v>50</v>
      </c>
      <c r="J1152">
        <v>46.603870391999997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782.39484200000004</v>
      </c>
      <c r="B1153" s="1">
        <f>DATE(2012,6,21) + TIME(9,28,34)</f>
        <v>41081.394837962966</v>
      </c>
      <c r="C1153">
        <v>1379.8557129000001</v>
      </c>
      <c r="D1153">
        <v>1365.9421387</v>
      </c>
      <c r="E1153">
        <v>1290.7821045000001</v>
      </c>
      <c r="F1153">
        <v>1271.3251952999999</v>
      </c>
      <c r="G1153">
        <v>80</v>
      </c>
      <c r="H1153">
        <v>79.949256896999998</v>
      </c>
      <c r="I1153">
        <v>50</v>
      </c>
      <c r="J1153">
        <v>46.547988891999999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783.49074299999995</v>
      </c>
      <c r="B1154" s="1">
        <f>DATE(2012,6,22) + TIME(11,46,40)</f>
        <v>41082.490740740737</v>
      </c>
      <c r="C1154">
        <v>1379.7945557</v>
      </c>
      <c r="D1154">
        <v>1365.8909911999999</v>
      </c>
      <c r="E1154">
        <v>1290.7626952999999</v>
      </c>
      <c r="F1154">
        <v>1271.2907714999999</v>
      </c>
      <c r="G1154">
        <v>80</v>
      </c>
      <c r="H1154">
        <v>79.949272156000006</v>
      </c>
      <c r="I1154">
        <v>50</v>
      </c>
      <c r="J1154">
        <v>46.491088867000002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784.59489900000005</v>
      </c>
      <c r="B1155" s="1">
        <f>DATE(2012,6,23) + TIME(14,16,39)</f>
        <v>41083.594895833332</v>
      </c>
      <c r="C1155">
        <v>1379.7326660000001</v>
      </c>
      <c r="D1155">
        <v>1365.8392334</v>
      </c>
      <c r="E1155">
        <v>1290.7425536999999</v>
      </c>
      <c r="F1155">
        <v>1271.2548827999999</v>
      </c>
      <c r="G1155">
        <v>80</v>
      </c>
      <c r="H1155">
        <v>79.949279785000002</v>
      </c>
      <c r="I1155">
        <v>50</v>
      </c>
      <c r="J1155">
        <v>46.433555603000002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785.70461899999998</v>
      </c>
      <c r="B1156" s="1">
        <f>DATE(2012,6,24) + TIME(16,54,39)</f>
        <v>41084.704618055555</v>
      </c>
      <c r="C1156">
        <v>1379.6712646000001</v>
      </c>
      <c r="D1156">
        <v>1365.7877197</v>
      </c>
      <c r="E1156">
        <v>1290.7220459</v>
      </c>
      <c r="F1156">
        <v>1271.2181396000001</v>
      </c>
      <c r="G1156">
        <v>80</v>
      </c>
      <c r="H1156">
        <v>79.949295043999996</v>
      </c>
      <c r="I1156">
        <v>50</v>
      </c>
      <c r="J1156">
        <v>46.375766753999997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786.823218</v>
      </c>
      <c r="B1157" s="1">
        <f>DATE(2012,6,25) + TIME(19,45,26)</f>
        <v>41085.823217592595</v>
      </c>
      <c r="C1157">
        <v>1379.6104736</v>
      </c>
      <c r="D1157">
        <v>1365.7366943</v>
      </c>
      <c r="E1157">
        <v>1290.7011719</v>
      </c>
      <c r="F1157">
        <v>1271.1805420000001</v>
      </c>
      <c r="G1157">
        <v>80</v>
      </c>
      <c r="H1157">
        <v>79.949310303000004</v>
      </c>
      <c r="I1157">
        <v>50</v>
      </c>
      <c r="J1157">
        <v>46.317829132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787.954027</v>
      </c>
      <c r="B1158" s="1">
        <f>DATE(2012,6,26) + TIME(22,53,47)</f>
        <v>41086.954016203701</v>
      </c>
      <c r="C1158">
        <v>1379.5500488</v>
      </c>
      <c r="D1158">
        <v>1365.6860352000001</v>
      </c>
      <c r="E1158">
        <v>1290.6800536999999</v>
      </c>
      <c r="F1158">
        <v>1271.1420897999999</v>
      </c>
      <c r="G1158">
        <v>80</v>
      </c>
      <c r="H1158">
        <v>79.949325561999999</v>
      </c>
      <c r="I1158">
        <v>50</v>
      </c>
      <c r="J1158">
        <v>46.259712219000001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789.10047599999996</v>
      </c>
      <c r="B1159" s="1">
        <f>DATE(2012,6,28) + TIME(2,24,41)</f>
        <v>41088.100474537037</v>
      </c>
      <c r="C1159">
        <v>1379.4898682</v>
      </c>
      <c r="D1159">
        <v>1365.635376</v>
      </c>
      <c r="E1159">
        <v>1290.6584473</v>
      </c>
      <c r="F1159">
        <v>1271.1025391000001</v>
      </c>
      <c r="G1159">
        <v>80</v>
      </c>
      <c r="H1159">
        <v>79.949340820000003</v>
      </c>
      <c r="I1159">
        <v>50</v>
      </c>
      <c r="J1159">
        <v>46.201316833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790.26615000000004</v>
      </c>
      <c r="B1160" s="1">
        <f>DATE(2012,6,29) + TIME(6,23,15)</f>
        <v>41089.266145833331</v>
      </c>
      <c r="C1160">
        <v>1379.4296875</v>
      </c>
      <c r="D1160">
        <v>1365.5847168</v>
      </c>
      <c r="E1160">
        <v>1290.6364745999999</v>
      </c>
      <c r="F1160">
        <v>1271.0620117000001</v>
      </c>
      <c r="G1160">
        <v>80</v>
      </c>
      <c r="H1160">
        <v>79.949356078999998</v>
      </c>
      <c r="I1160">
        <v>50</v>
      </c>
      <c r="J1160">
        <v>46.142520904999998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791.45382800000004</v>
      </c>
      <c r="B1161" s="1">
        <f>DATE(2012,6,30) + TIME(10,53,30)</f>
        <v>41090.453819444447</v>
      </c>
      <c r="C1161">
        <v>1379.3693848</v>
      </c>
      <c r="D1161">
        <v>1365.5338135</v>
      </c>
      <c r="E1161">
        <v>1290.6138916</v>
      </c>
      <c r="F1161">
        <v>1271.0201416</v>
      </c>
      <c r="G1161">
        <v>80</v>
      </c>
      <c r="H1161">
        <v>79.949378967000001</v>
      </c>
      <c r="I1161">
        <v>50</v>
      </c>
      <c r="J1161">
        <v>46.083209990999997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792</v>
      </c>
      <c r="B1162" s="1">
        <f>DATE(2012,7,1) + TIME(0,0,0)</f>
        <v>41091</v>
      </c>
      <c r="C1162">
        <v>1379.3087158000001</v>
      </c>
      <c r="D1162">
        <v>1365.4826660000001</v>
      </c>
      <c r="E1162">
        <v>1290.590332</v>
      </c>
      <c r="F1162">
        <v>1270.9821777</v>
      </c>
      <c r="G1162">
        <v>80</v>
      </c>
      <c r="H1162">
        <v>79.949371338000006</v>
      </c>
      <c r="I1162">
        <v>50</v>
      </c>
      <c r="J1162">
        <v>46.043582915999998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793.20912299999998</v>
      </c>
      <c r="B1163" s="1">
        <f>DATE(2012,7,2) + TIME(5,1,8)</f>
        <v>41092.209120370368</v>
      </c>
      <c r="C1163">
        <v>1379.2810059000001</v>
      </c>
      <c r="D1163">
        <v>1365.4591064000001</v>
      </c>
      <c r="E1163">
        <v>1290.5798339999999</v>
      </c>
      <c r="F1163">
        <v>1270.9547118999999</v>
      </c>
      <c r="G1163">
        <v>80</v>
      </c>
      <c r="H1163">
        <v>79.949401855000005</v>
      </c>
      <c r="I1163">
        <v>50</v>
      </c>
      <c r="J1163">
        <v>45.990970611999998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794.45542899999998</v>
      </c>
      <c r="B1164" s="1">
        <f>DATE(2012,7,3) + TIME(10,55,49)</f>
        <v>41093.455428240741</v>
      </c>
      <c r="C1164">
        <v>1379.2207031</v>
      </c>
      <c r="D1164">
        <v>1365.4080810999999</v>
      </c>
      <c r="E1164">
        <v>1290.5565185999999</v>
      </c>
      <c r="F1164">
        <v>1270.9112548999999</v>
      </c>
      <c r="G1164">
        <v>80</v>
      </c>
      <c r="H1164">
        <v>79.949424743999998</v>
      </c>
      <c r="I1164">
        <v>50</v>
      </c>
      <c r="J1164">
        <v>45.933525084999999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795.73130200000003</v>
      </c>
      <c r="B1165" s="1">
        <f>DATE(2012,7,4) + TIME(17,33,4)</f>
        <v>41094.731296296297</v>
      </c>
      <c r="C1165">
        <v>1379.1591797000001</v>
      </c>
      <c r="D1165">
        <v>1365.355957</v>
      </c>
      <c r="E1165">
        <v>1290.5322266000001</v>
      </c>
      <c r="F1165">
        <v>1270.8652344</v>
      </c>
      <c r="G1165">
        <v>80</v>
      </c>
      <c r="H1165">
        <v>79.949447632000002</v>
      </c>
      <c r="I1165">
        <v>50</v>
      </c>
      <c r="J1165">
        <v>45.873504638999997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797.01940000000002</v>
      </c>
      <c r="B1166" s="1">
        <f>DATE(2012,7,6) + TIME(0,27,56)</f>
        <v>41096.01939814815</v>
      </c>
      <c r="C1166">
        <v>1379.0969238</v>
      </c>
      <c r="D1166">
        <v>1365.3032227000001</v>
      </c>
      <c r="E1166">
        <v>1290.5073242000001</v>
      </c>
      <c r="F1166">
        <v>1270.8173827999999</v>
      </c>
      <c r="G1166">
        <v>80</v>
      </c>
      <c r="H1166">
        <v>79.949470520000006</v>
      </c>
      <c r="I1166">
        <v>50</v>
      </c>
      <c r="J1166">
        <v>45.812358856000003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798.31788200000005</v>
      </c>
      <c r="B1167" s="1">
        <f>DATE(2012,7,7) + TIME(7,37,44)</f>
        <v>41097.317870370367</v>
      </c>
      <c r="C1167">
        <v>1379.0350341999999</v>
      </c>
      <c r="D1167">
        <v>1365.2506103999999</v>
      </c>
      <c r="E1167">
        <v>1290.4821777</v>
      </c>
      <c r="F1167">
        <v>1270.7685547000001</v>
      </c>
      <c r="G1167">
        <v>80</v>
      </c>
      <c r="H1167">
        <v>79.949493407999995</v>
      </c>
      <c r="I1167">
        <v>50</v>
      </c>
      <c r="J1167">
        <v>45.750965118000003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799.63089100000002</v>
      </c>
      <c r="B1168" s="1">
        <f>DATE(2012,7,8) + TIME(15,8,28)</f>
        <v>41098.630879629629</v>
      </c>
      <c r="C1168">
        <v>1378.9733887</v>
      </c>
      <c r="D1168">
        <v>1365.1981201000001</v>
      </c>
      <c r="E1168">
        <v>1290.4569091999999</v>
      </c>
      <c r="F1168">
        <v>1270.71875</v>
      </c>
      <c r="G1168">
        <v>80</v>
      </c>
      <c r="H1168">
        <v>79.949516295999999</v>
      </c>
      <c r="I1168">
        <v>50</v>
      </c>
      <c r="J1168">
        <v>45.689682007000002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800.962671</v>
      </c>
      <c r="B1169" s="1">
        <f>DATE(2012,7,9) + TIME(23,6,14)</f>
        <v>41099.96266203704</v>
      </c>
      <c r="C1169">
        <v>1378.9117432</v>
      </c>
      <c r="D1169">
        <v>1365.1457519999999</v>
      </c>
      <c r="E1169">
        <v>1290.4315185999999</v>
      </c>
      <c r="F1169">
        <v>1270.6682129000001</v>
      </c>
      <c r="G1169">
        <v>80</v>
      </c>
      <c r="H1169">
        <v>79.949539185000006</v>
      </c>
      <c r="I1169">
        <v>50</v>
      </c>
      <c r="J1169">
        <v>45.628631591999998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802.31771500000002</v>
      </c>
      <c r="B1170" s="1">
        <f>DATE(2012,7,11) + TIME(7,37,30)</f>
        <v>41101.317708333336</v>
      </c>
      <c r="C1170">
        <v>1378.8500977000001</v>
      </c>
      <c r="D1170">
        <v>1365.0931396000001</v>
      </c>
      <c r="E1170">
        <v>1290.4060059000001</v>
      </c>
      <c r="F1170">
        <v>1270.6165771000001</v>
      </c>
      <c r="G1170">
        <v>80</v>
      </c>
      <c r="H1170">
        <v>79.949562072999996</v>
      </c>
      <c r="I1170">
        <v>50</v>
      </c>
      <c r="J1170">
        <v>45.567852019999997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803.70084099999997</v>
      </c>
      <c r="B1171" s="1">
        <f>DATE(2012,7,12) + TIME(16,49,12)</f>
        <v>41102.700833333336</v>
      </c>
      <c r="C1171">
        <v>1378.7880858999999</v>
      </c>
      <c r="D1171">
        <v>1365.0400391000001</v>
      </c>
      <c r="E1171">
        <v>1290.3803711</v>
      </c>
      <c r="F1171">
        <v>1270.5642089999999</v>
      </c>
      <c r="G1171">
        <v>80</v>
      </c>
      <c r="H1171">
        <v>79.949592589999995</v>
      </c>
      <c r="I1171">
        <v>50</v>
      </c>
      <c r="J1171">
        <v>45.507362366000002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805.10697300000004</v>
      </c>
      <c r="B1172" s="1">
        <f>DATE(2012,7,14) + TIME(2,34,2)</f>
        <v>41104.10696759259</v>
      </c>
      <c r="C1172">
        <v>1378.7255858999999</v>
      </c>
      <c r="D1172">
        <v>1364.9865723</v>
      </c>
      <c r="E1172">
        <v>1290.3546143000001</v>
      </c>
      <c r="F1172">
        <v>1270.5107422000001</v>
      </c>
      <c r="G1172">
        <v>80</v>
      </c>
      <c r="H1172">
        <v>79.949615479000002</v>
      </c>
      <c r="I1172">
        <v>50</v>
      </c>
      <c r="J1172">
        <v>45.447376251000001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806.52896199999998</v>
      </c>
      <c r="B1173" s="1">
        <f>DATE(2012,7,15) + TIME(12,41,42)</f>
        <v>41105.528958333336</v>
      </c>
      <c r="C1173">
        <v>1378.6627197</v>
      </c>
      <c r="D1173">
        <v>1364.9327393000001</v>
      </c>
      <c r="E1173">
        <v>1290.3289795000001</v>
      </c>
      <c r="F1173">
        <v>1270.4567870999999</v>
      </c>
      <c r="G1173">
        <v>80</v>
      </c>
      <c r="H1173">
        <v>79.949645996000001</v>
      </c>
      <c r="I1173">
        <v>50</v>
      </c>
      <c r="J1173">
        <v>45.388317108000003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807.97076400000003</v>
      </c>
      <c r="B1174" s="1">
        <f>DATE(2012,7,16) + TIME(23,17,54)</f>
        <v>41106.970763888887</v>
      </c>
      <c r="C1174">
        <v>1378.5999756000001</v>
      </c>
      <c r="D1174">
        <v>1364.8787841999999</v>
      </c>
      <c r="E1174">
        <v>1290.3035889</v>
      </c>
      <c r="F1174">
        <v>1270.4024658000001</v>
      </c>
      <c r="G1174">
        <v>80</v>
      </c>
      <c r="H1174">
        <v>79.949676514000004</v>
      </c>
      <c r="I1174">
        <v>50</v>
      </c>
      <c r="J1174">
        <v>45.330558777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809.43651599999998</v>
      </c>
      <c r="B1175" s="1">
        <f>DATE(2012,7,18) + TIME(10,28,35)</f>
        <v>41108.436516203707</v>
      </c>
      <c r="C1175">
        <v>1378.5369873</v>
      </c>
      <c r="D1175">
        <v>1364.8245850000001</v>
      </c>
      <c r="E1175">
        <v>1290.2786865</v>
      </c>
      <c r="F1175">
        <v>1270.3481445</v>
      </c>
      <c r="G1175">
        <v>80</v>
      </c>
      <c r="H1175">
        <v>79.949707031000003</v>
      </c>
      <c r="I1175">
        <v>50</v>
      </c>
      <c r="J1175">
        <v>45.274391174000002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810.93064300000003</v>
      </c>
      <c r="B1176" s="1">
        <f>DATE(2012,7,19) + TIME(22,20,7)</f>
        <v>41109.930636574078</v>
      </c>
      <c r="C1176">
        <v>1378.4737548999999</v>
      </c>
      <c r="D1176">
        <v>1364.7700195</v>
      </c>
      <c r="E1176">
        <v>1290.2542725000001</v>
      </c>
      <c r="F1176">
        <v>1270.2937012</v>
      </c>
      <c r="G1176">
        <v>80</v>
      </c>
      <c r="H1176">
        <v>79.949737549000005</v>
      </c>
      <c r="I1176">
        <v>50</v>
      </c>
      <c r="J1176">
        <v>45.220100403000004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812.44556699999998</v>
      </c>
      <c r="B1177" s="1">
        <f>DATE(2012,7,21) + TIME(10,41,36)</f>
        <v>41111.445555555554</v>
      </c>
      <c r="C1177">
        <v>1378.4099120999999</v>
      </c>
      <c r="D1177">
        <v>1364.7149658000001</v>
      </c>
      <c r="E1177">
        <v>1290.2304687999999</v>
      </c>
      <c r="F1177">
        <v>1270.2395019999999</v>
      </c>
      <c r="G1177">
        <v>80</v>
      </c>
      <c r="H1177">
        <v>79.949768066000004</v>
      </c>
      <c r="I1177">
        <v>50</v>
      </c>
      <c r="J1177">
        <v>45.168190002000003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813.98401699999999</v>
      </c>
      <c r="B1178" s="1">
        <f>DATE(2012,7,22) + TIME(23,36,59)</f>
        <v>41112.984016203707</v>
      </c>
      <c r="C1178">
        <v>1378.3459473</v>
      </c>
      <c r="D1178">
        <v>1364.6595459</v>
      </c>
      <c r="E1178">
        <v>1290.2076416</v>
      </c>
      <c r="F1178">
        <v>1270.1860352000001</v>
      </c>
      <c r="G1178">
        <v>80</v>
      </c>
      <c r="H1178">
        <v>79.949806213000002</v>
      </c>
      <c r="I1178">
        <v>50</v>
      </c>
      <c r="J1178">
        <v>45.119258881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815.54983100000004</v>
      </c>
      <c r="B1179" s="1">
        <f>DATE(2012,7,24) + TIME(13,11,45)</f>
        <v>41114.549826388888</v>
      </c>
      <c r="C1179">
        <v>1378.2816161999999</v>
      </c>
      <c r="D1179">
        <v>1364.6038818</v>
      </c>
      <c r="E1179">
        <v>1290.1859131000001</v>
      </c>
      <c r="F1179">
        <v>1270.1336670000001</v>
      </c>
      <c r="G1179">
        <v>80</v>
      </c>
      <c r="H1179">
        <v>79.949836731000005</v>
      </c>
      <c r="I1179">
        <v>50</v>
      </c>
      <c r="J1179">
        <v>45.073871613000001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817.12788499999999</v>
      </c>
      <c r="B1180" s="1">
        <f>DATE(2012,7,26) + TIME(3,4,9)</f>
        <v>41116.127881944441</v>
      </c>
      <c r="C1180">
        <v>1378.2167969</v>
      </c>
      <c r="D1180">
        <v>1364.5476074000001</v>
      </c>
      <c r="E1180">
        <v>1290.1655272999999</v>
      </c>
      <c r="F1180">
        <v>1270.0826416</v>
      </c>
      <c r="G1180">
        <v>80</v>
      </c>
      <c r="H1180">
        <v>79.949874878000003</v>
      </c>
      <c r="I1180">
        <v>50</v>
      </c>
      <c r="J1180">
        <v>45.032855988000001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818.71987200000001</v>
      </c>
      <c r="B1181" s="1">
        <f>DATE(2012,7,27) + TIME(17,16,36)</f>
        <v>41117.719861111109</v>
      </c>
      <c r="C1181">
        <v>1378.1520995999999</v>
      </c>
      <c r="D1181">
        <v>1364.4913329999999</v>
      </c>
      <c r="E1181">
        <v>1290.1468506000001</v>
      </c>
      <c r="F1181">
        <v>1270.0339355000001</v>
      </c>
      <c r="G1181">
        <v>80</v>
      </c>
      <c r="H1181">
        <v>79.949905396000005</v>
      </c>
      <c r="I1181">
        <v>50</v>
      </c>
      <c r="J1181">
        <v>44.997085571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820.33052499999997</v>
      </c>
      <c r="B1182" s="1">
        <f>DATE(2012,7,29) + TIME(7,55,57)</f>
        <v>41119.330520833333</v>
      </c>
      <c r="C1182">
        <v>1378.0875243999999</v>
      </c>
      <c r="D1182">
        <v>1364.4350586</v>
      </c>
      <c r="E1182">
        <v>1290.130249</v>
      </c>
      <c r="F1182">
        <v>1269.9880370999999</v>
      </c>
      <c r="G1182">
        <v>80</v>
      </c>
      <c r="H1182">
        <v>79.949943542</v>
      </c>
      <c r="I1182">
        <v>50</v>
      </c>
      <c r="J1182">
        <v>44.967361449999999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821.96457899999996</v>
      </c>
      <c r="B1183" s="1">
        <f>DATE(2012,7,30) + TIME(23,8,59)</f>
        <v>41120.964571759258</v>
      </c>
      <c r="C1183">
        <v>1378.0227050999999</v>
      </c>
      <c r="D1183">
        <v>1364.3785399999999</v>
      </c>
      <c r="E1183">
        <v>1290.1157227000001</v>
      </c>
      <c r="F1183">
        <v>1269.9451904</v>
      </c>
      <c r="G1183">
        <v>80</v>
      </c>
      <c r="H1183">
        <v>79.949981688999998</v>
      </c>
      <c r="I1183">
        <v>50</v>
      </c>
      <c r="J1183">
        <v>44.944515228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823</v>
      </c>
      <c r="B1184" s="1">
        <f>DATE(2012,8,1) + TIME(0,0,0)</f>
        <v>41122</v>
      </c>
      <c r="C1184">
        <v>1377.9576416</v>
      </c>
      <c r="D1184">
        <v>1364.3215332</v>
      </c>
      <c r="E1184">
        <v>1290.1053466999999</v>
      </c>
      <c r="F1184">
        <v>1269.909668</v>
      </c>
      <c r="G1184">
        <v>80</v>
      </c>
      <c r="H1184">
        <v>79.949996948000006</v>
      </c>
      <c r="I1184">
        <v>50</v>
      </c>
      <c r="J1184">
        <v>44.932086945000002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824.66245500000002</v>
      </c>
      <c r="B1185" s="1">
        <f>DATE(2012,8,2) + TIME(15,53,56)</f>
        <v>41123.662453703706</v>
      </c>
      <c r="C1185">
        <v>1377.916626</v>
      </c>
      <c r="D1185">
        <v>1364.2855225000001</v>
      </c>
      <c r="E1185">
        <v>1290.0965576000001</v>
      </c>
      <c r="F1185">
        <v>1269.8822021000001</v>
      </c>
      <c r="G1185">
        <v>80</v>
      </c>
      <c r="H1185">
        <v>79.950042725000003</v>
      </c>
      <c r="I1185">
        <v>50</v>
      </c>
      <c r="J1185">
        <v>44.924602509000003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826.38309500000003</v>
      </c>
      <c r="B1186" s="1">
        <f>DATE(2012,8,4) + TIME(9,11,39)</f>
        <v>41125.383090277777</v>
      </c>
      <c r="C1186">
        <v>1377.8515625</v>
      </c>
      <c r="D1186">
        <v>1364.2285156</v>
      </c>
      <c r="E1186">
        <v>1290.0898437999999</v>
      </c>
      <c r="F1186">
        <v>1269.8519286999999</v>
      </c>
      <c r="G1186">
        <v>80</v>
      </c>
      <c r="H1186">
        <v>79.950088500999996</v>
      </c>
      <c r="I1186">
        <v>50</v>
      </c>
      <c r="J1186">
        <v>44.925373077000003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828.14677800000004</v>
      </c>
      <c r="B1187" s="1">
        <f>DATE(2012,8,6) + TIME(3,31,21)</f>
        <v>41127.146770833337</v>
      </c>
      <c r="C1187">
        <v>1377.784668</v>
      </c>
      <c r="D1187">
        <v>1364.1696777</v>
      </c>
      <c r="E1187">
        <v>1290.0856934000001</v>
      </c>
      <c r="F1187">
        <v>1269.8258057</v>
      </c>
      <c r="G1187">
        <v>80</v>
      </c>
      <c r="H1187">
        <v>79.950126647999994</v>
      </c>
      <c r="I1187">
        <v>50</v>
      </c>
      <c r="J1187">
        <v>44.936729431000003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829.94702099999995</v>
      </c>
      <c r="B1188" s="1">
        <f>DATE(2012,8,7) + TIME(22,43,42)</f>
        <v>41128.947013888886</v>
      </c>
      <c r="C1188">
        <v>1377.7167969</v>
      </c>
      <c r="D1188">
        <v>1364.1098632999999</v>
      </c>
      <c r="E1188">
        <v>1290.0849608999999</v>
      </c>
      <c r="F1188">
        <v>1269.8055420000001</v>
      </c>
      <c r="G1188">
        <v>80</v>
      </c>
      <c r="H1188">
        <v>79.950172424000002</v>
      </c>
      <c r="I1188">
        <v>50</v>
      </c>
      <c r="J1188">
        <v>44.960578918000003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831.75260500000002</v>
      </c>
      <c r="B1189" s="1">
        <f>DATE(2012,8,9) + TIME(18,3,45)</f>
        <v>41130.752604166664</v>
      </c>
      <c r="C1189">
        <v>1377.6481934000001</v>
      </c>
      <c r="D1189">
        <v>1364.0493164</v>
      </c>
      <c r="E1189">
        <v>1290.0882568</v>
      </c>
      <c r="F1189">
        <v>1269.7923584</v>
      </c>
      <c r="G1189">
        <v>80</v>
      </c>
      <c r="H1189">
        <v>79.950218200999998</v>
      </c>
      <c r="I1189">
        <v>50</v>
      </c>
      <c r="J1189">
        <v>44.998462676999999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833.56890699999997</v>
      </c>
      <c r="B1190" s="1">
        <f>DATE(2012,8,11) + TIME(13,39,13)</f>
        <v>41132.56890046296</v>
      </c>
      <c r="C1190">
        <v>1377.5799560999999</v>
      </c>
      <c r="D1190">
        <v>1363.9890137</v>
      </c>
      <c r="E1190">
        <v>1290.0957031</v>
      </c>
      <c r="F1190">
        <v>1269.7872314000001</v>
      </c>
      <c r="G1190">
        <v>80</v>
      </c>
      <c r="H1190">
        <v>79.950263977000006</v>
      </c>
      <c r="I1190">
        <v>50</v>
      </c>
      <c r="J1190">
        <v>45.051395415999998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835.40540799999997</v>
      </c>
      <c r="B1191" s="1">
        <f>DATE(2012,8,13) + TIME(9,43,47)</f>
        <v>41134.405405092592</v>
      </c>
      <c r="C1191">
        <v>1377.5120850000001</v>
      </c>
      <c r="D1191">
        <v>1363.9288329999999</v>
      </c>
      <c r="E1191">
        <v>1290.1072998</v>
      </c>
      <c r="F1191">
        <v>1269.7906493999999</v>
      </c>
      <c r="G1191">
        <v>80</v>
      </c>
      <c r="H1191">
        <v>79.950309752999999</v>
      </c>
      <c r="I1191">
        <v>50</v>
      </c>
      <c r="J1191">
        <v>45.120502471999998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837.26832200000001</v>
      </c>
      <c r="B1192" s="1">
        <f>DATE(2012,8,15) + TIME(6,26,23)</f>
        <v>41136.268321759257</v>
      </c>
      <c r="C1192">
        <v>1377.4440918</v>
      </c>
      <c r="D1192">
        <v>1363.8685303</v>
      </c>
      <c r="E1192">
        <v>1290.1235352000001</v>
      </c>
      <c r="F1192">
        <v>1269.8033447</v>
      </c>
      <c r="G1192">
        <v>80</v>
      </c>
      <c r="H1192">
        <v>79.950355529999996</v>
      </c>
      <c r="I1192">
        <v>50</v>
      </c>
      <c r="J1192">
        <v>45.207073211999997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839.16397400000005</v>
      </c>
      <c r="B1193" s="1">
        <f>DATE(2012,8,17) + TIME(3,56,7)</f>
        <v>41138.163969907408</v>
      </c>
      <c r="C1193">
        <v>1377.3758545000001</v>
      </c>
      <c r="D1193">
        <v>1363.8079834</v>
      </c>
      <c r="E1193">
        <v>1290.1444091999999</v>
      </c>
      <c r="F1193">
        <v>1269.8259277</v>
      </c>
      <c r="G1193">
        <v>80</v>
      </c>
      <c r="H1193">
        <v>79.950401306000003</v>
      </c>
      <c r="I1193">
        <v>50</v>
      </c>
      <c r="J1193">
        <v>45.312416077000002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841.09883300000001</v>
      </c>
      <c r="B1194" s="1">
        <f>DATE(2012,8,19) + TIME(2,22,19)</f>
        <v>41140.09883101852</v>
      </c>
      <c r="C1194">
        <v>1377.307251</v>
      </c>
      <c r="D1194">
        <v>1363.7468262</v>
      </c>
      <c r="E1194">
        <v>1290.1700439000001</v>
      </c>
      <c r="F1194">
        <v>1269.8587646000001</v>
      </c>
      <c r="G1194">
        <v>80</v>
      </c>
      <c r="H1194">
        <v>79.950454711999996</v>
      </c>
      <c r="I1194">
        <v>50</v>
      </c>
      <c r="J1194">
        <v>45.437877655000001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843.072363</v>
      </c>
      <c r="B1195" s="1">
        <f>DATE(2012,8,21) + TIME(1,44,12)</f>
        <v>41142.07236111111</v>
      </c>
      <c r="C1195">
        <v>1377.2380370999999</v>
      </c>
      <c r="D1195">
        <v>1363.6851807</v>
      </c>
      <c r="E1195">
        <v>1290.2008057</v>
      </c>
      <c r="F1195">
        <v>1269.9024658000001</v>
      </c>
      <c r="G1195">
        <v>80</v>
      </c>
      <c r="H1195">
        <v>79.950500488000003</v>
      </c>
      <c r="I1195">
        <v>50</v>
      </c>
      <c r="J1195">
        <v>45.584674835000001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844.07817999999997</v>
      </c>
      <c r="B1196" s="1">
        <f>DATE(2012,8,22) + TIME(1,52,34)</f>
        <v>41143.0781712963</v>
      </c>
      <c r="C1196">
        <v>1377.168457</v>
      </c>
      <c r="D1196">
        <v>1363.6230469</v>
      </c>
      <c r="E1196">
        <v>1290.2425536999999</v>
      </c>
      <c r="F1196">
        <v>1269.9539795000001</v>
      </c>
      <c r="G1196">
        <v>80</v>
      </c>
      <c r="H1196">
        <v>79.950523376000007</v>
      </c>
      <c r="I1196">
        <v>50</v>
      </c>
      <c r="J1196">
        <v>45.714912415000001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845.08399699999995</v>
      </c>
      <c r="B1197" s="1">
        <f>DATE(2012,8,23) + TIME(2,0,57)</f>
        <v>41144.083993055552</v>
      </c>
      <c r="C1197">
        <v>1377.1329346</v>
      </c>
      <c r="D1197">
        <v>1363.5911865</v>
      </c>
      <c r="E1197">
        <v>1290.2612305</v>
      </c>
      <c r="F1197">
        <v>1269.9910889</v>
      </c>
      <c r="G1197">
        <v>80</v>
      </c>
      <c r="H1197">
        <v>79.950546265</v>
      </c>
      <c r="I1197">
        <v>50</v>
      </c>
      <c r="J1197">
        <v>45.828544616999999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846.08981400000005</v>
      </c>
      <c r="B1198" s="1">
        <f>DATE(2012,8,24) + TIME(2,9,19)</f>
        <v>41145.089803240742</v>
      </c>
      <c r="C1198">
        <v>1377.0980225000001</v>
      </c>
      <c r="D1198">
        <v>1363.5599365</v>
      </c>
      <c r="E1198">
        <v>1290.2819824000001</v>
      </c>
      <c r="F1198">
        <v>1270.0288086</v>
      </c>
      <c r="G1198">
        <v>80</v>
      </c>
      <c r="H1198">
        <v>79.950569153000004</v>
      </c>
      <c r="I1198">
        <v>50</v>
      </c>
      <c r="J1198">
        <v>45.936981201000002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847.09563100000003</v>
      </c>
      <c r="B1199" s="1">
        <f>DATE(2012,8,25) + TIME(2,17,42)</f>
        <v>41146.095625000002</v>
      </c>
      <c r="C1199">
        <v>1377.0634766000001</v>
      </c>
      <c r="D1199">
        <v>1363.5290527</v>
      </c>
      <c r="E1199">
        <v>1290.3039550999999</v>
      </c>
      <c r="F1199">
        <v>1270.0678711</v>
      </c>
      <c r="G1199">
        <v>80</v>
      </c>
      <c r="H1199">
        <v>79.950592040999993</v>
      </c>
      <c r="I1199">
        <v>50</v>
      </c>
      <c r="J1199">
        <v>46.045349121000001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848.101448</v>
      </c>
      <c r="B1200" s="1">
        <f>DATE(2012,8,26) + TIME(2,26,5)</f>
        <v>41147.101446759261</v>
      </c>
      <c r="C1200">
        <v>1377.0290527</v>
      </c>
      <c r="D1200">
        <v>1363.4982910000001</v>
      </c>
      <c r="E1200">
        <v>1290.3270264</v>
      </c>
      <c r="F1200">
        <v>1270.1087646000001</v>
      </c>
      <c r="G1200">
        <v>80</v>
      </c>
      <c r="H1200">
        <v>79.950622558999996</v>
      </c>
      <c r="I1200">
        <v>50</v>
      </c>
      <c r="J1200">
        <v>46.155906676999997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849.10726599999998</v>
      </c>
      <c r="B1201" s="1">
        <f>DATE(2012,8,27) + TIME(2,34,27)</f>
        <v>41148.107256944444</v>
      </c>
      <c r="C1201">
        <v>1376.9949951000001</v>
      </c>
      <c r="D1201">
        <v>1363.4677733999999</v>
      </c>
      <c r="E1201">
        <v>1290.3510742000001</v>
      </c>
      <c r="F1201">
        <v>1270.1516113</v>
      </c>
      <c r="G1201">
        <v>80</v>
      </c>
      <c r="H1201">
        <v>79.950645446999999</v>
      </c>
      <c r="I1201">
        <v>50</v>
      </c>
      <c r="J1201">
        <v>46.269569396999998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850.11308299999996</v>
      </c>
      <c r="B1202" s="1">
        <f>DATE(2012,8,28) + TIME(2,42,50)</f>
        <v>41149.113078703704</v>
      </c>
      <c r="C1202">
        <v>1376.9613036999999</v>
      </c>
      <c r="D1202">
        <v>1363.4375</v>
      </c>
      <c r="E1202">
        <v>1290.3758545000001</v>
      </c>
      <c r="F1202">
        <v>1270.1964111</v>
      </c>
      <c r="G1202">
        <v>80</v>
      </c>
      <c r="H1202">
        <v>79.950675963999998</v>
      </c>
      <c r="I1202">
        <v>50</v>
      </c>
      <c r="J1202">
        <v>46.386638640999998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852.12471700000003</v>
      </c>
      <c r="B1203" s="1">
        <f>DATE(2012,8,30) + TIME(2,59,35)</f>
        <v>41151.124710648146</v>
      </c>
      <c r="C1203">
        <v>1376.9278564000001</v>
      </c>
      <c r="D1203">
        <v>1363.4075928</v>
      </c>
      <c r="E1203">
        <v>1290.3969727000001</v>
      </c>
      <c r="F1203">
        <v>1270.2480469</v>
      </c>
      <c r="G1203">
        <v>80</v>
      </c>
      <c r="H1203">
        <v>79.950737000000004</v>
      </c>
      <c r="I1203">
        <v>50</v>
      </c>
      <c r="J1203">
        <v>46.542831421000002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854</v>
      </c>
      <c r="B1204" s="1">
        <f>DATE(2012,9,1) + TIME(0,0,0)</f>
        <v>41153</v>
      </c>
      <c r="C1204">
        <v>1376.8619385</v>
      </c>
      <c r="D1204">
        <v>1363.3483887</v>
      </c>
      <c r="E1204">
        <v>1290.449707</v>
      </c>
      <c r="F1204">
        <v>1270.3355713000001</v>
      </c>
      <c r="G1204">
        <v>80</v>
      </c>
      <c r="H1204">
        <v>79.950790405000006</v>
      </c>
      <c r="I1204">
        <v>50</v>
      </c>
      <c r="J1204">
        <v>46.762714385999999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856.02319</v>
      </c>
      <c r="B1205" s="1">
        <f>DATE(2012,9,3) + TIME(0,33,23)</f>
        <v>41155.023182870369</v>
      </c>
      <c r="C1205">
        <v>1376.8011475000001</v>
      </c>
      <c r="D1205">
        <v>1363.2939452999999</v>
      </c>
      <c r="E1205">
        <v>1290.4997559000001</v>
      </c>
      <c r="F1205">
        <v>1270.4312743999999</v>
      </c>
      <c r="G1205">
        <v>80</v>
      </c>
      <c r="H1205">
        <v>79.950843810999999</v>
      </c>
      <c r="I1205">
        <v>50</v>
      </c>
      <c r="J1205">
        <v>47.007091522000003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858.15730799999994</v>
      </c>
      <c r="B1206" s="1">
        <f>DATE(2012,9,5) + TIME(3,46,31)</f>
        <v>41157.15730324074</v>
      </c>
      <c r="C1206">
        <v>1376.7368164</v>
      </c>
      <c r="D1206">
        <v>1363.2362060999999</v>
      </c>
      <c r="E1206">
        <v>1290.5552978999999</v>
      </c>
      <c r="F1206">
        <v>1270.5385742000001</v>
      </c>
      <c r="G1206">
        <v>80</v>
      </c>
      <c r="H1206">
        <v>79.950897217000005</v>
      </c>
      <c r="I1206">
        <v>50</v>
      </c>
      <c r="J1206">
        <v>47.277904509999999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860.35950100000002</v>
      </c>
      <c r="B1207" s="1">
        <f>DATE(2012,9,7) + TIME(8,37,40)</f>
        <v>41159.359490740739</v>
      </c>
      <c r="C1207">
        <v>1376.6702881000001</v>
      </c>
      <c r="D1207">
        <v>1363.1765137</v>
      </c>
      <c r="E1207">
        <v>1290.6153564000001</v>
      </c>
      <c r="F1207">
        <v>1270.65625</v>
      </c>
      <c r="G1207">
        <v>80</v>
      </c>
      <c r="H1207">
        <v>79.950958252000007</v>
      </c>
      <c r="I1207">
        <v>50</v>
      </c>
      <c r="J1207">
        <v>47.571792602999999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862.64114700000005</v>
      </c>
      <c r="B1208" s="1">
        <f>DATE(2012,9,9) + TIME(15,23,15)</f>
        <v>41161.641145833331</v>
      </c>
      <c r="C1208">
        <v>1376.6031493999999</v>
      </c>
      <c r="D1208">
        <v>1363.1162108999999</v>
      </c>
      <c r="E1208">
        <v>1290.6781006000001</v>
      </c>
      <c r="F1208">
        <v>1270.7817382999999</v>
      </c>
      <c r="G1208">
        <v>80</v>
      </c>
      <c r="H1208">
        <v>79.951019286999994</v>
      </c>
      <c r="I1208">
        <v>50</v>
      </c>
      <c r="J1208">
        <v>47.884269713999998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864.94466499999999</v>
      </c>
      <c r="B1209" s="1">
        <f>DATE(2012,9,11) + TIME(22,40,19)</f>
        <v>41163.944664351853</v>
      </c>
      <c r="C1209">
        <v>1376.5351562000001</v>
      </c>
      <c r="D1209">
        <v>1363.0551757999999</v>
      </c>
      <c r="E1209">
        <v>1290.7435303</v>
      </c>
      <c r="F1209">
        <v>1270.9138184000001</v>
      </c>
      <c r="G1209">
        <v>80</v>
      </c>
      <c r="H1209">
        <v>79.951080321999996</v>
      </c>
      <c r="I1209">
        <v>50</v>
      </c>
      <c r="J1209">
        <v>48.211093902999998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867.26137500000004</v>
      </c>
      <c r="B1210" s="1">
        <f>DATE(2012,9,14) + TIME(6,16,22)</f>
        <v>41166.261365740742</v>
      </c>
      <c r="C1210">
        <v>1376.4681396000001</v>
      </c>
      <c r="D1210">
        <v>1362.9949951000001</v>
      </c>
      <c r="E1210">
        <v>1290.8093262</v>
      </c>
      <c r="F1210">
        <v>1271.0487060999999</v>
      </c>
      <c r="G1210">
        <v>80</v>
      </c>
      <c r="H1210">
        <v>79.951141356999997</v>
      </c>
      <c r="I1210">
        <v>50</v>
      </c>
      <c r="J1210">
        <v>48.545028686999999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869.59610999999995</v>
      </c>
      <c r="B1211" s="1">
        <f>DATE(2012,9,16) + TIME(14,18,23)</f>
        <v>41168.596099537041</v>
      </c>
      <c r="C1211">
        <v>1376.4024658000001</v>
      </c>
      <c r="D1211">
        <v>1362.9360352000001</v>
      </c>
      <c r="E1211">
        <v>1290.8746338000001</v>
      </c>
      <c r="F1211">
        <v>1271.1842041</v>
      </c>
      <c r="G1211">
        <v>80</v>
      </c>
      <c r="H1211">
        <v>79.951210021999998</v>
      </c>
      <c r="I1211">
        <v>50</v>
      </c>
      <c r="J1211">
        <v>48.881664276000002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871.95057599999996</v>
      </c>
      <c r="B1212" s="1">
        <f>DATE(2012,9,18) + TIME(22,48,49)</f>
        <v>41170.950567129628</v>
      </c>
      <c r="C1212">
        <v>1376.3378906</v>
      </c>
      <c r="D1212">
        <v>1362.8781738</v>
      </c>
      <c r="E1212">
        <v>1290.9388428</v>
      </c>
      <c r="F1212">
        <v>1271.3190918</v>
      </c>
      <c r="G1212">
        <v>80</v>
      </c>
      <c r="H1212">
        <v>79.951271057</v>
      </c>
      <c r="I1212">
        <v>50</v>
      </c>
      <c r="J1212">
        <v>49.218448639000002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874.33558100000005</v>
      </c>
      <c r="B1213" s="1">
        <f>DATE(2012,9,21) + TIME(8,3,14)</f>
        <v>41173.335578703707</v>
      </c>
      <c r="C1213">
        <v>1376.2746582</v>
      </c>
      <c r="D1213">
        <v>1362.8212891000001</v>
      </c>
      <c r="E1213">
        <v>1291.0017089999999</v>
      </c>
      <c r="F1213">
        <v>1271.4522704999999</v>
      </c>
      <c r="G1213">
        <v>80</v>
      </c>
      <c r="H1213">
        <v>79.951332092000001</v>
      </c>
      <c r="I1213">
        <v>50</v>
      </c>
      <c r="J1213">
        <v>49.553653717000003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876.76189999999997</v>
      </c>
      <c r="B1214" s="1">
        <f>DATE(2012,9,23) + TIME(18,17,8)</f>
        <v>41175.76189814815</v>
      </c>
      <c r="C1214">
        <v>1376.2122803</v>
      </c>
      <c r="D1214">
        <v>1362.7653809000001</v>
      </c>
      <c r="E1214">
        <v>1291.0629882999999</v>
      </c>
      <c r="F1214">
        <v>1271.5832519999999</v>
      </c>
      <c r="G1214">
        <v>80</v>
      </c>
      <c r="H1214">
        <v>79.951400757000002</v>
      </c>
      <c r="I1214">
        <v>50</v>
      </c>
      <c r="J1214">
        <v>49.886539458999998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879.240678</v>
      </c>
      <c r="B1215" s="1">
        <f>DATE(2012,9,26) + TIME(5,46,34)</f>
        <v>41178.240671296298</v>
      </c>
      <c r="C1215">
        <v>1376.1505127</v>
      </c>
      <c r="D1215">
        <v>1362.7100829999999</v>
      </c>
      <c r="E1215">
        <v>1291.1225586</v>
      </c>
      <c r="F1215">
        <v>1271.7115478999999</v>
      </c>
      <c r="G1215">
        <v>80</v>
      </c>
      <c r="H1215">
        <v>79.951469420999999</v>
      </c>
      <c r="I1215">
        <v>50</v>
      </c>
      <c r="J1215">
        <v>50.216541290000002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881.74531999999999</v>
      </c>
      <c r="B1216" s="1">
        <f>DATE(2012,9,28) + TIME(17,53,15)</f>
        <v>41180.745312500003</v>
      </c>
      <c r="C1216">
        <v>1376.0892334</v>
      </c>
      <c r="D1216">
        <v>1362.6551514</v>
      </c>
      <c r="E1216">
        <v>1291.1804199000001</v>
      </c>
      <c r="F1216">
        <v>1271.8367920000001</v>
      </c>
      <c r="G1216">
        <v>80</v>
      </c>
      <c r="H1216">
        <v>79.951538085999999</v>
      </c>
      <c r="I1216">
        <v>50</v>
      </c>
      <c r="J1216">
        <v>50.542152405000003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884</v>
      </c>
      <c r="B1217" s="1">
        <f>DATE(2012,10,1) + TIME(0,0,0)</f>
        <v>41183</v>
      </c>
      <c r="C1217">
        <v>1376.0290527</v>
      </c>
      <c r="D1217">
        <v>1362.6013184000001</v>
      </c>
      <c r="E1217">
        <v>1291.2364502</v>
      </c>
      <c r="F1217">
        <v>1271.9556885</v>
      </c>
      <c r="G1217">
        <v>80</v>
      </c>
      <c r="H1217">
        <v>79.951591492000006</v>
      </c>
      <c r="I1217">
        <v>50</v>
      </c>
      <c r="J1217">
        <v>50.851001740000001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886.51984900000002</v>
      </c>
      <c r="B1218" s="1">
        <f>DATE(2012,10,3) + TIME(12,28,34)</f>
        <v>41185.519837962966</v>
      </c>
      <c r="C1218">
        <v>1375.9764404</v>
      </c>
      <c r="D1218">
        <v>1362.5541992000001</v>
      </c>
      <c r="E1218">
        <v>1291.2828368999999</v>
      </c>
      <c r="F1218">
        <v>1272.0626221</v>
      </c>
      <c r="G1218">
        <v>80</v>
      </c>
      <c r="H1218">
        <v>79.951667786000002</v>
      </c>
      <c r="I1218">
        <v>50</v>
      </c>
      <c r="J1218">
        <v>51.141002655000001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889.10882400000003</v>
      </c>
      <c r="B1219" s="1">
        <f>DATE(2012,10,6) + TIME(2,36,42)</f>
        <v>41188.108819444446</v>
      </c>
      <c r="C1219">
        <v>1375.9191894999999</v>
      </c>
      <c r="D1219">
        <v>1362.5030518000001</v>
      </c>
      <c r="E1219">
        <v>1291.3312988</v>
      </c>
      <c r="F1219">
        <v>1272.1694336</v>
      </c>
      <c r="G1219">
        <v>80</v>
      </c>
      <c r="H1219">
        <v>79.951736449999999</v>
      </c>
      <c r="I1219">
        <v>50</v>
      </c>
      <c r="J1219">
        <v>51.434730530000003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891.76027499999998</v>
      </c>
      <c r="B1220" s="1">
        <f>DATE(2012,10,8) + TIME(18,14,47)</f>
        <v>41190.760266203702</v>
      </c>
      <c r="C1220">
        <v>1375.8620605000001</v>
      </c>
      <c r="D1220">
        <v>1362.4520264</v>
      </c>
      <c r="E1220">
        <v>1291.3776855000001</v>
      </c>
      <c r="F1220">
        <v>1272.2730713000001</v>
      </c>
      <c r="G1220">
        <v>80</v>
      </c>
      <c r="H1220">
        <v>79.951805114999999</v>
      </c>
      <c r="I1220">
        <v>50</v>
      </c>
      <c r="J1220">
        <v>51.725082397000001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894.46881800000006</v>
      </c>
      <c r="B1221" s="1">
        <f>DATE(2012,10,11) + TIME(11,15,5)</f>
        <v>41193.468807870369</v>
      </c>
      <c r="C1221">
        <v>1375.8052978999999</v>
      </c>
      <c r="D1221">
        <v>1362.4012451000001</v>
      </c>
      <c r="E1221">
        <v>1291.4216309000001</v>
      </c>
      <c r="F1221">
        <v>1272.3721923999999</v>
      </c>
      <c r="G1221">
        <v>80</v>
      </c>
      <c r="H1221">
        <v>79.951881408999995</v>
      </c>
      <c r="I1221">
        <v>50</v>
      </c>
      <c r="J1221">
        <v>52.008876801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897.19174699999996</v>
      </c>
      <c r="B1222" s="1">
        <f>DATE(2012,10,14) + TIME(4,36,6)</f>
        <v>41196.191736111112</v>
      </c>
      <c r="C1222">
        <v>1375.7489014</v>
      </c>
      <c r="D1222">
        <v>1362.3508300999999</v>
      </c>
      <c r="E1222">
        <v>1291.4627685999999</v>
      </c>
      <c r="F1222">
        <v>1272.4659423999999</v>
      </c>
      <c r="G1222">
        <v>80</v>
      </c>
      <c r="H1222">
        <v>79.951957703000005</v>
      </c>
      <c r="I1222">
        <v>50</v>
      </c>
      <c r="J1222">
        <v>52.283618926999999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899.91813300000001</v>
      </c>
      <c r="B1223" s="1">
        <f>DATE(2012,10,16) + TIME(22,2,6)</f>
        <v>41198.918124999997</v>
      </c>
      <c r="C1223">
        <v>1375.6938477000001</v>
      </c>
      <c r="D1223">
        <v>1362.3017577999999</v>
      </c>
      <c r="E1223">
        <v>1291.5004882999999</v>
      </c>
      <c r="F1223">
        <v>1272.5531006000001</v>
      </c>
      <c r="G1223">
        <v>80</v>
      </c>
      <c r="H1223">
        <v>79.952026367000002</v>
      </c>
      <c r="I1223">
        <v>50</v>
      </c>
      <c r="J1223">
        <v>52.546096802000001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902.66668500000003</v>
      </c>
      <c r="B1224" s="1">
        <f>DATE(2012,10,19) + TIME(16,0,1)</f>
        <v>41201.666678240741</v>
      </c>
      <c r="C1224">
        <v>1375.6402588000001</v>
      </c>
      <c r="D1224">
        <v>1362.2540283000001</v>
      </c>
      <c r="E1224">
        <v>1291.534668</v>
      </c>
      <c r="F1224">
        <v>1272.6334228999999</v>
      </c>
      <c r="G1224">
        <v>80</v>
      </c>
      <c r="H1224">
        <v>79.952102660999998</v>
      </c>
      <c r="I1224">
        <v>50</v>
      </c>
      <c r="J1224">
        <v>52.795684813999998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905.44559900000002</v>
      </c>
      <c r="B1225" s="1">
        <f>DATE(2012,10,22) + TIME(10,41,39)</f>
        <v>41204.445590277777</v>
      </c>
      <c r="C1225">
        <v>1375.5877685999999</v>
      </c>
      <c r="D1225">
        <v>1362.2072754000001</v>
      </c>
      <c r="E1225">
        <v>1291.5656738</v>
      </c>
      <c r="F1225">
        <v>1272.7073975000001</v>
      </c>
      <c r="G1225">
        <v>80</v>
      </c>
      <c r="H1225">
        <v>79.952178954999994</v>
      </c>
      <c r="I1225">
        <v>50</v>
      </c>
      <c r="J1225">
        <v>53.033531189000001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908.26377200000002</v>
      </c>
      <c r="B1226" s="1">
        <f>DATE(2012,10,25) + TIME(6,19,49)</f>
        <v>41207.263761574075</v>
      </c>
      <c r="C1226">
        <v>1375.5362548999999</v>
      </c>
      <c r="D1226">
        <v>1362.1613769999999</v>
      </c>
      <c r="E1226">
        <v>1291.59375</v>
      </c>
      <c r="F1226">
        <v>1272.7756348</v>
      </c>
      <c r="G1226">
        <v>80</v>
      </c>
      <c r="H1226">
        <v>79.952255249000004</v>
      </c>
      <c r="I1226">
        <v>50</v>
      </c>
      <c r="J1226">
        <v>53.260673523000001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911.13058100000001</v>
      </c>
      <c r="B1227" s="1">
        <f>DATE(2012,10,28) + TIME(3,8,2)</f>
        <v>41210.130578703705</v>
      </c>
      <c r="C1227">
        <v>1375.4853516000001</v>
      </c>
      <c r="D1227">
        <v>1362.1160889</v>
      </c>
      <c r="E1227">
        <v>1291.6191406</v>
      </c>
      <c r="F1227">
        <v>1272.8383789</v>
      </c>
      <c r="G1227">
        <v>80</v>
      </c>
      <c r="H1227">
        <v>79.952331543</v>
      </c>
      <c r="I1227">
        <v>50</v>
      </c>
      <c r="J1227">
        <v>53.478126525999997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914.05961000000002</v>
      </c>
      <c r="B1228" s="1">
        <f>DATE(2012,10,31) + TIME(1,25,50)</f>
        <v>41213.059606481482</v>
      </c>
      <c r="C1228">
        <v>1375.4349365</v>
      </c>
      <c r="D1228">
        <v>1362.0712891000001</v>
      </c>
      <c r="E1228">
        <v>1291.6418457</v>
      </c>
      <c r="F1228">
        <v>1272.8962402</v>
      </c>
      <c r="G1228">
        <v>80</v>
      </c>
      <c r="H1228">
        <v>79.952415466000005</v>
      </c>
      <c r="I1228">
        <v>50</v>
      </c>
      <c r="J1228">
        <v>53.686855315999999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915</v>
      </c>
      <c r="B1229" s="1">
        <f>DATE(2012,11,1) + TIME(0,0,0)</f>
        <v>41214</v>
      </c>
      <c r="C1229">
        <v>1375.3852539</v>
      </c>
      <c r="D1229">
        <v>1362.0269774999999</v>
      </c>
      <c r="E1229">
        <v>1291.6678466999999</v>
      </c>
      <c r="F1229">
        <v>1272.9403076000001</v>
      </c>
      <c r="G1229">
        <v>80</v>
      </c>
      <c r="H1229">
        <v>79.952430724999999</v>
      </c>
      <c r="I1229">
        <v>50</v>
      </c>
      <c r="J1229">
        <v>53.824386597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915.000001</v>
      </c>
      <c r="B1230" s="1">
        <f>DATE(2012,11,1) + TIME(0,0,0)</f>
        <v>41214</v>
      </c>
      <c r="C1230">
        <v>1361.1551514</v>
      </c>
      <c r="D1230">
        <v>1349.1992187999999</v>
      </c>
      <c r="E1230">
        <v>1311.5718993999999</v>
      </c>
      <c r="F1230">
        <v>1292.5838623</v>
      </c>
      <c r="G1230">
        <v>80</v>
      </c>
      <c r="H1230">
        <v>79.952301024999997</v>
      </c>
      <c r="I1230">
        <v>50</v>
      </c>
      <c r="J1230">
        <v>53.824497223000002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915.00000399999999</v>
      </c>
      <c r="B1231" s="1">
        <f>DATE(2012,11,1) + TIME(0,0,0)</f>
        <v>41214</v>
      </c>
      <c r="C1231">
        <v>1358.9527588000001</v>
      </c>
      <c r="D1231">
        <v>1346.9960937999999</v>
      </c>
      <c r="E1231">
        <v>1313.9320068</v>
      </c>
      <c r="F1231">
        <v>1295.0185547000001</v>
      </c>
      <c r="G1231">
        <v>80</v>
      </c>
      <c r="H1231">
        <v>79.951988220000004</v>
      </c>
      <c r="I1231">
        <v>50</v>
      </c>
      <c r="J1231">
        <v>53.824798584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915.00001299999997</v>
      </c>
      <c r="B1232" s="1">
        <f>DATE(2012,11,1) + TIME(0,0,1)</f>
        <v>41214.000011574077</v>
      </c>
      <c r="C1232">
        <v>1354.5065918</v>
      </c>
      <c r="D1232">
        <v>1342.5493164</v>
      </c>
      <c r="E1232">
        <v>1319.2416992000001</v>
      </c>
      <c r="F1232">
        <v>1300.4468993999999</v>
      </c>
      <c r="G1232">
        <v>80</v>
      </c>
      <c r="H1232">
        <v>79.951362610000004</v>
      </c>
      <c r="I1232">
        <v>50</v>
      </c>
      <c r="J1232">
        <v>53.825458527000002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915.00004000000001</v>
      </c>
      <c r="B1233" s="1">
        <f>DATE(2012,11,1) + TIME(0,0,3)</f>
        <v>41214.000034722223</v>
      </c>
      <c r="C1233">
        <v>1348.0104980000001</v>
      </c>
      <c r="D1233">
        <v>1336.0555420000001</v>
      </c>
      <c r="E1233">
        <v>1328.0386963000001</v>
      </c>
      <c r="F1233">
        <v>1309.2958983999999</v>
      </c>
      <c r="G1233">
        <v>80</v>
      </c>
      <c r="H1233">
        <v>79.950431824000006</v>
      </c>
      <c r="I1233">
        <v>50</v>
      </c>
      <c r="J1233">
        <v>53.826461792000003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915.00012100000004</v>
      </c>
      <c r="B1234" s="1">
        <f>DATE(2012,11,1) + TIME(0,0,10)</f>
        <v>41214.000115740739</v>
      </c>
      <c r="C1234">
        <v>1340.7808838000001</v>
      </c>
      <c r="D1234">
        <v>1328.8314209</v>
      </c>
      <c r="E1234">
        <v>1338.8149414</v>
      </c>
      <c r="F1234">
        <v>1320.0653076000001</v>
      </c>
      <c r="G1234">
        <v>80</v>
      </c>
      <c r="H1234">
        <v>79.949386597</v>
      </c>
      <c r="I1234">
        <v>50</v>
      </c>
      <c r="J1234">
        <v>53.827453613000003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915.00036399999999</v>
      </c>
      <c r="B1235" s="1">
        <f>DATE(2012,11,1) + TIME(0,0,31)</f>
        <v>41214.000358796293</v>
      </c>
      <c r="C1235">
        <v>1333.5117187999999</v>
      </c>
      <c r="D1235">
        <v>1321.5678711</v>
      </c>
      <c r="E1235">
        <v>1350.1650391000001</v>
      </c>
      <c r="F1235">
        <v>1331.4112548999999</v>
      </c>
      <c r="G1235">
        <v>80</v>
      </c>
      <c r="H1235">
        <v>79.948303222999996</v>
      </c>
      <c r="I1235">
        <v>50</v>
      </c>
      <c r="J1235">
        <v>53.827735900999997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915.00109299999997</v>
      </c>
      <c r="B1236" s="1">
        <f>DATE(2012,11,1) + TIME(0,1,34)</f>
        <v>41214.001087962963</v>
      </c>
      <c r="C1236">
        <v>1326.2442627</v>
      </c>
      <c r="D1236">
        <v>1314.2661132999999</v>
      </c>
      <c r="E1236">
        <v>1361.8004149999999</v>
      </c>
      <c r="F1236">
        <v>1343.0311279</v>
      </c>
      <c r="G1236">
        <v>80</v>
      </c>
      <c r="H1236">
        <v>79.947113036999994</v>
      </c>
      <c r="I1236">
        <v>50</v>
      </c>
      <c r="J1236">
        <v>53.825714111000003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915.00328000000002</v>
      </c>
      <c r="B1237" s="1">
        <f>DATE(2012,11,1) + TIME(0,4,43)</f>
        <v>41214.003275462965</v>
      </c>
      <c r="C1237">
        <v>1319.1551514</v>
      </c>
      <c r="D1237">
        <v>1307.0452881000001</v>
      </c>
      <c r="E1237">
        <v>1373.1801757999999</v>
      </c>
      <c r="F1237">
        <v>1354.3460693</v>
      </c>
      <c r="G1237">
        <v>80</v>
      </c>
      <c r="H1237">
        <v>79.945617675999998</v>
      </c>
      <c r="I1237">
        <v>50</v>
      </c>
      <c r="J1237">
        <v>53.816616058000001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915.00984100000005</v>
      </c>
      <c r="B1238" s="1">
        <f>DATE(2012,11,1) + TIME(0,14,10)</f>
        <v>41214.009837962964</v>
      </c>
      <c r="C1238">
        <v>1312.9852295000001</v>
      </c>
      <c r="D1238">
        <v>1300.7421875</v>
      </c>
      <c r="E1238">
        <v>1382.5841064000001</v>
      </c>
      <c r="F1238">
        <v>1363.6464844</v>
      </c>
      <c r="G1238">
        <v>80</v>
      </c>
      <c r="H1238">
        <v>79.943267821999996</v>
      </c>
      <c r="I1238">
        <v>50</v>
      </c>
      <c r="J1238">
        <v>53.786254882999998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915.02952400000004</v>
      </c>
      <c r="B1239" s="1">
        <f>DATE(2012,11,1) + TIME(0,42,30)</f>
        <v>41214.029513888891</v>
      </c>
      <c r="C1239">
        <v>1308.6829834</v>
      </c>
      <c r="D1239">
        <v>1296.390625</v>
      </c>
      <c r="E1239">
        <v>1388.3361815999999</v>
      </c>
      <c r="F1239">
        <v>1369.3023682</v>
      </c>
      <c r="G1239">
        <v>80</v>
      </c>
      <c r="H1239">
        <v>79.938293457</v>
      </c>
      <c r="I1239">
        <v>50</v>
      </c>
      <c r="J1239">
        <v>53.694259643999999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915.088573</v>
      </c>
      <c r="B1240" s="1">
        <f>DATE(2012,11,1) + TIME(2,7,32)</f>
        <v>41214.088564814818</v>
      </c>
      <c r="C1240">
        <v>1306.6486815999999</v>
      </c>
      <c r="D1240">
        <v>1294.3472899999999</v>
      </c>
      <c r="E1240">
        <v>1390.4937743999999</v>
      </c>
      <c r="F1240">
        <v>1371.3692627</v>
      </c>
      <c r="G1240">
        <v>80</v>
      </c>
      <c r="H1240">
        <v>79.925575256000002</v>
      </c>
      <c r="I1240">
        <v>50</v>
      </c>
      <c r="J1240">
        <v>53.435527802000003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915.17971</v>
      </c>
      <c r="B1241" s="1">
        <f>DATE(2012,11,1) + TIME(4,18,46)</f>
        <v>41214.179699074077</v>
      </c>
      <c r="C1241">
        <v>1306.171875</v>
      </c>
      <c r="D1241">
        <v>1293.8691406</v>
      </c>
      <c r="E1241">
        <v>1390.8374022999999</v>
      </c>
      <c r="F1241">
        <v>1371.6308594</v>
      </c>
      <c r="G1241">
        <v>80</v>
      </c>
      <c r="H1241">
        <v>79.907310486</v>
      </c>
      <c r="I1241">
        <v>50</v>
      </c>
      <c r="J1241">
        <v>53.077697753999999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915.27747399999998</v>
      </c>
      <c r="B1242" s="1">
        <f>DATE(2012,11,1) + TIME(6,39,33)</f>
        <v>41214.277465277781</v>
      </c>
      <c r="C1242">
        <v>1306.0765381000001</v>
      </c>
      <c r="D1242">
        <v>1293.7734375</v>
      </c>
      <c r="E1242">
        <v>1390.8746338000001</v>
      </c>
      <c r="F1242">
        <v>1371.6003418</v>
      </c>
      <c r="G1242">
        <v>80</v>
      </c>
      <c r="H1242">
        <v>79.888359070000007</v>
      </c>
      <c r="I1242">
        <v>50</v>
      </c>
      <c r="J1242">
        <v>52.736728667999998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915.383015</v>
      </c>
      <c r="B1243" s="1">
        <f>DATE(2012,11,1) + TIME(9,11,32)</f>
        <v>41214.383009259262</v>
      </c>
      <c r="C1243">
        <v>1306.0511475000001</v>
      </c>
      <c r="D1243">
        <v>1293.7478027</v>
      </c>
      <c r="E1243">
        <v>1390.8886719</v>
      </c>
      <c r="F1243">
        <v>1371.5507812000001</v>
      </c>
      <c r="G1243">
        <v>80</v>
      </c>
      <c r="H1243">
        <v>79.868560790999993</v>
      </c>
      <c r="I1243">
        <v>50</v>
      </c>
      <c r="J1243">
        <v>52.412528991999999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915.49788599999999</v>
      </c>
      <c r="B1244" s="1">
        <f>DATE(2012,11,1) + TIME(11,56,57)</f>
        <v>41214.497881944444</v>
      </c>
      <c r="C1244">
        <v>1306.0400391000001</v>
      </c>
      <c r="D1244">
        <v>1293.7364502</v>
      </c>
      <c r="E1244">
        <v>1390.9031981999999</v>
      </c>
      <c r="F1244">
        <v>1371.5056152</v>
      </c>
      <c r="G1244">
        <v>80</v>
      </c>
      <c r="H1244">
        <v>79.847694396999998</v>
      </c>
      <c r="I1244">
        <v>50</v>
      </c>
      <c r="J1244">
        <v>52.104839325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915.62418300000002</v>
      </c>
      <c r="B1245" s="1">
        <f>DATE(2012,11,1) + TIME(14,58,49)</f>
        <v>41214.624178240738</v>
      </c>
      <c r="C1245">
        <v>1306.0317382999999</v>
      </c>
      <c r="D1245">
        <v>1293.7277832</v>
      </c>
      <c r="E1245">
        <v>1390.9174805</v>
      </c>
      <c r="F1245">
        <v>1371.4639893000001</v>
      </c>
      <c r="G1245">
        <v>80</v>
      </c>
      <c r="H1245">
        <v>79.825515746999997</v>
      </c>
      <c r="I1245">
        <v>50</v>
      </c>
      <c r="J1245">
        <v>51.813411713000001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915.76470300000005</v>
      </c>
      <c r="B1246" s="1">
        <f>DATE(2012,11,1) + TIME(18,21,10)</f>
        <v>41214.764699074076</v>
      </c>
      <c r="C1246">
        <v>1306.0236815999999</v>
      </c>
      <c r="D1246">
        <v>1293.7192382999999</v>
      </c>
      <c r="E1246">
        <v>1390.9304199000001</v>
      </c>
      <c r="F1246">
        <v>1371.4249268000001</v>
      </c>
      <c r="G1246">
        <v>80</v>
      </c>
      <c r="H1246">
        <v>79.801681518999999</v>
      </c>
      <c r="I1246">
        <v>50</v>
      </c>
      <c r="J1246">
        <v>51.538215637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915.91002100000003</v>
      </c>
      <c r="B1247" s="1">
        <f>DATE(2012,11,1) + TIME(21,50,25)</f>
        <v>41214.910011574073</v>
      </c>
      <c r="C1247">
        <v>1306.0150146000001</v>
      </c>
      <c r="D1247">
        <v>1293.7100829999999</v>
      </c>
      <c r="E1247">
        <v>1390.9390868999999</v>
      </c>
      <c r="F1247">
        <v>1371.3897704999999</v>
      </c>
      <c r="G1247">
        <v>80</v>
      </c>
      <c r="H1247">
        <v>79.777610779</v>
      </c>
      <c r="I1247">
        <v>50</v>
      </c>
      <c r="J1247">
        <v>51.297798157000003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916.06172600000002</v>
      </c>
      <c r="B1248" s="1">
        <f>DATE(2012,11,2) + TIME(1,28,53)</f>
        <v>41215.061724537038</v>
      </c>
      <c r="C1248">
        <v>1306.0062256000001</v>
      </c>
      <c r="D1248">
        <v>1293.7006836</v>
      </c>
      <c r="E1248">
        <v>1390.9461670000001</v>
      </c>
      <c r="F1248">
        <v>1371.3591309000001</v>
      </c>
      <c r="G1248">
        <v>80</v>
      </c>
      <c r="H1248">
        <v>79.753067017000006</v>
      </c>
      <c r="I1248">
        <v>50</v>
      </c>
      <c r="J1248">
        <v>51.087100982999999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916.22091499999999</v>
      </c>
      <c r="B1249" s="1">
        <f>DATE(2012,11,2) + TIME(5,18,7)</f>
        <v>41215.220914351848</v>
      </c>
      <c r="C1249">
        <v>1305.9970702999999</v>
      </c>
      <c r="D1249">
        <v>1293.690918</v>
      </c>
      <c r="E1249">
        <v>1390.9517822</v>
      </c>
      <c r="F1249">
        <v>1371.3323975000001</v>
      </c>
      <c r="G1249">
        <v>80</v>
      </c>
      <c r="H1249">
        <v>79.727882385000001</v>
      </c>
      <c r="I1249">
        <v>50</v>
      </c>
      <c r="J1249">
        <v>50.902854918999999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916.38883599999997</v>
      </c>
      <c r="B1250" s="1">
        <f>DATE(2012,11,2) + TIME(9,19,55)</f>
        <v>41215.388831018521</v>
      </c>
      <c r="C1250">
        <v>1305.9876709</v>
      </c>
      <c r="D1250">
        <v>1293.6809082</v>
      </c>
      <c r="E1250">
        <v>1390.9561768000001</v>
      </c>
      <c r="F1250">
        <v>1371.3094481999999</v>
      </c>
      <c r="G1250">
        <v>80</v>
      </c>
      <c r="H1250">
        <v>79.701904296999999</v>
      </c>
      <c r="I1250">
        <v>50</v>
      </c>
      <c r="J1250">
        <v>50.742290496999999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916.56696599999998</v>
      </c>
      <c r="B1251" s="1">
        <f>DATE(2012,11,2) + TIME(13,36,25)</f>
        <v>41215.56695601852</v>
      </c>
      <c r="C1251">
        <v>1305.9779053</v>
      </c>
      <c r="D1251">
        <v>1293.6702881000001</v>
      </c>
      <c r="E1251">
        <v>1390.9595947</v>
      </c>
      <c r="F1251">
        <v>1371.2897949000001</v>
      </c>
      <c r="G1251">
        <v>80</v>
      </c>
      <c r="H1251">
        <v>79.674934386999993</v>
      </c>
      <c r="I1251">
        <v>50</v>
      </c>
      <c r="J1251">
        <v>50.602977752999998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916.757068</v>
      </c>
      <c r="B1252" s="1">
        <f>DATE(2012,11,2) + TIME(18,10,10)</f>
        <v>41215.757060185184</v>
      </c>
      <c r="C1252">
        <v>1305.9677733999999</v>
      </c>
      <c r="D1252">
        <v>1293.6591797000001</v>
      </c>
      <c r="E1252">
        <v>1390.9622803</v>
      </c>
      <c r="F1252">
        <v>1371.2733154</v>
      </c>
      <c r="G1252">
        <v>80</v>
      </c>
      <c r="H1252">
        <v>79.646759032999995</v>
      </c>
      <c r="I1252">
        <v>50</v>
      </c>
      <c r="J1252">
        <v>50.482791900999999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916.96128799999997</v>
      </c>
      <c r="B1253" s="1">
        <f>DATE(2012,11,2) + TIME(23,4,15)</f>
        <v>41215.961284722223</v>
      </c>
      <c r="C1253">
        <v>1305.9569091999999</v>
      </c>
      <c r="D1253">
        <v>1293.6473389</v>
      </c>
      <c r="E1253">
        <v>1390.9643555</v>
      </c>
      <c r="F1253">
        <v>1371.2597656</v>
      </c>
      <c r="G1253">
        <v>80</v>
      </c>
      <c r="H1253">
        <v>79.617134093999994</v>
      </c>
      <c r="I1253">
        <v>50</v>
      </c>
      <c r="J1253">
        <v>50.379840850999997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917.18221200000005</v>
      </c>
      <c r="B1254" s="1">
        <f>DATE(2012,11,3) + TIME(4,22,23)</f>
        <v>41216.182210648149</v>
      </c>
      <c r="C1254">
        <v>1305.9455565999999</v>
      </c>
      <c r="D1254">
        <v>1293.6348877</v>
      </c>
      <c r="E1254">
        <v>1390.9659423999999</v>
      </c>
      <c r="F1254">
        <v>1371.2490233999999</v>
      </c>
      <c r="G1254">
        <v>80</v>
      </c>
      <c r="H1254">
        <v>79.585754394999995</v>
      </c>
      <c r="I1254">
        <v>50</v>
      </c>
      <c r="J1254">
        <v>50.292449951000002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917.42319199999997</v>
      </c>
      <c r="B1255" s="1">
        <f>DATE(2012,11,3) + TIME(10,9,23)</f>
        <v>41216.423182870371</v>
      </c>
      <c r="C1255">
        <v>1305.9333495999999</v>
      </c>
      <c r="D1255">
        <v>1293.6213379000001</v>
      </c>
      <c r="E1255">
        <v>1390.9674072</v>
      </c>
      <c r="F1255">
        <v>1371.2407227000001</v>
      </c>
      <c r="G1255">
        <v>80</v>
      </c>
      <c r="H1255">
        <v>79.552261353000006</v>
      </c>
      <c r="I1255">
        <v>50</v>
      </c>
      <c r="J1255">
        <v>50.219051360999998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917.68864799999994</v>
      </c>
      <c r="B1256" s="1">
        <f>DATE(2012,11,3) + TIME(16,31,39)</f>
        <v>41216.688645833332</v>
      </c>
      <c r="C1256">
        <v>1305.9201660000001</v>
      </c>
      <c r="D1256">
        <v>1293.6068115</v>
      </c>
      <c r="E1256">
        <v>1390.9686279</v>
      </c>
      <c r="F1256">
        <v>1371.2349853999999</v>
      </c>
      <c r="G1256">
        <v>80</v>
      </c>
      <c r="H1256">
        <v>79.516189574999999</v>
      </c>
      <c r="I1256">
        <v>50</v>
      </c>
      <c r="J1256">
        <v>50.158195495999998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917.96944499999995</v>
      </c>
      <c r="B1257" s="1">
        <f>DATE(2012,11,3) + TIME(23,16,0)</f>
        <v>41216.969444444447</v>
      </c>
      <c r="C1257">
        <v>1305.9057617000001</v>
      </c>
      <c r="D1257">
        <v>1293.5910644999999</v>
      </c>
      <c r="E1257">
        <v>1390.9698486</v>
      </c>
      <c r="F1257">
        <v>1371.2316894999999</v>
      </c>
      <c r="G1257">
        <v>80</v>
      </c>
      <c r="H1257">
        <v>79.478424071999996</v>
      </c>
      <c r="I1257">
        <v>50</v>
      </c>
      <c r="J1257">
        <v>50.110408782999997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918.26503600000001</v>
      </c>
      <c r="B1258" s="1">
        <f>DATE(2012,11,4) + TIME(6,21,39)</f>
        <v>41217.265034722222</v>
      </c>
      <c r="C1258">
        <v>1305.890625</v>
      </c>
      <c r="D1258">
        <v>1293.5743408000001</v>
      </c>
      <c r="E1258">
        <v>1390.9709473</v>
      </c>
      <c r="F1258">
        <v>1371.2303466999999</v>
      </c>
      <c r="G1258">
        <v>80</v>
      </c>
      <c r="H1258">
        <v>79.439033507999994</v>
      </c>
      <c r="I1258">
        <v>50</v>
      </c>
      <c r="J1258">
        <v>50.073551178000002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918.57093099999997</v>
      </c>
      <c r="B1259" s="1">
        <f>DATE(2012,11,4) + TIME(13,42,8)</f>
        <v>41217.570925925924</v>
      </c>
      <c r="C1259">
        <v>1305.8748779</v>
      </c>
      <c r="D1259">
        <v>1293.5570068</v>
      </c>
      <c r="E1259">
        <v>1390.972168</v>
      </c>
      <c r="F1259">
        <v>1371.2308350000001</v>
      </c>
      <c r="G1259">
        <v>80</v>
      </c>
      <c r="H1259">
        <v>79.398468018000003</v>
      </c>
      <c r="I1259">
        <v>50</v>
      </c>
      <c r="J1259">
        <v>50.045852660999998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918.88406399999997</v>
      </c>
      <c r="B1260" s="1">
        <f>DATE(2012,11,4) + TIME(21,13,3)</f>
        <v>41217.884062500001</v>
      </c>
      <c r="C1260">
        <v>1305.8586425999999</v>
      </c>
      <c r="D1260">
        <v>1293.5393065999999</v>
      </c>
      <c r="E1260">
        <v>1390.9735106999999</v>
      </c>
      <c r="F1260">
        <v>1371.2324219</v>
      </c>
      <c r="G1260">
        <v>80</v>
      </c>
      <c r="H1260">
        <v>79.357063292999996</v>
      </c>
      <c r="I1260">
        <v>50</v>
      </c>
      <c r="J1260">
        <v>50.025390625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919.20710499999996</v>
      </c>
      <c r="B1261" s="1">
        <f>DATE(2012,11,5) + TIME(4,58,13)</f>
        <v>41218.207094907404</v>
      </c>
      <c r="C1261">
        <v>1305.8422852000001</v>
      </c>
      <c r="D1261">
        <v>1293.5211182</v>
      </c>
      <c r="E1261">
        <v>1390.9747314000001</v>
      </c>
      <c r="F1261">
        <v>1371.2347411999999</v>
      </c>
      <c r="G1261">
        <v>80</v>
      </c>
      <c r="H1261">
        <v>79.314643860000004</v>
      </c>
      <c r="I1261">
        <v>50</v>
      </c>
      <c r="J1261">
        <v>50.010284423999998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919.54277200000001</v>
      </c>
      <c r="B1262" s="1">
        <f>DATE(2012,11,5) + TIME(13,1,35)</f>
        <v>41218.542766203704</v>
      </c>
      <c r="C1262">
        <v>1305.8255615</v>
      </c>
      <c r="D1262">
        <v>1293.5025635</v>
      </c>
      <c r="E1262">
        <v>1390.9760742000001</v>
      </c>
      <c r="F1262">
        <v>1371.2376709</v>
      </c>
      <c r="G1262">
        <v>80</v>
      </c>
      <c r="H1262">
        <v>79.270988463999998</v>
      </c>
      <c r="I1262">
        <v>50</v>
      </c>
      <c r="J1262">
        <v>49.999172211000001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919.89398700000004</v>
      </c>
      <c r="B1263" s="1">
        <f>DATE(2012,11,5) + TIME(21,27,20)</f>
        <v>41218.89398148148</v>
      </c>
      <c r="C1263">
        <v>1305.8083495999999</v>
      </c>
      <c r="D1263">
        <v>1293.4833983999999</v>
      </c>
      <c r="E1263">
        <v>1390.9772949000001</v>
      </c>
      <c r="F1263">
        <v>1371.2410889</v>
      </c>
      <c r="G1263">
        <v>80</v>
      </c>
      <c r="H1263">
        <v>79.225837708</v>
      </c>
      <c r="I1263">
        <v>50</v>
      </c>
      <c r="J1263">
        <v>49.991050719999997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920.26407099999994</v>
      </c>
      <c r="B1264" s="1">
        <f>DATE(2012,11,6) + TIME(6,20,15)</f>
        <v>41219.264062499999</v>
      </c>
      <c r="C1264">
        <v>1305.7905272999999</v>
      </c>
      <c r="D1264">
        <v>1293.463501</v>
      </c>
      <c r="E1264">
        <v>1390.9785156</v>
      </c>
      <c r="F1264">
        <v>1371.244751</v>
      </c>
      <c r="G1264">
        <v>80</v>
      </c>
      <c r="H1264">
        <v>79.178886414000004</v>
      </c>
      <c r="I1264">
        <v>50</v>
      </c>
      <c r="J1264">
        <v>49.985164642000001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920.65691700000002</v>
      </c>
      <c r="B1265" s="1">
        <f>DATE(2012,11,6) + TIME(15,45,57)</f>
        <v>41219.656909722224</v>
      </c>
      <c r="C1265">
        <v>1305.7718506000001</v>
      </c>
      <c r="D1265">
        <v>1293.4426269999999</v>
      </c>
      <c r="E1265">
        <v>1390.9797363</v>
      </c>
      <c r="F1265">
        <v>1371.2485352000001</v>
      </c>
      <c r="G1265">
        <v>80</v>
      </c>
      <c r="H1265">
        <v>79.129768372000001</v>
      </c>
      <c r="I1265">
        <v>50</v>
      </c>
      <c r="J1265">
        <v>49.980949402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921.07711700000004</v>
      </c>
      <c r="B1266" s="1">
        <f>DATE(2012,11,7) + TIME(1,51,2)</f>
        <v>41220.077106481483</v>
      </c>
      <c r="C1266">
        <v>1305.7520752</v>
      </c>
      <c r="D1266">
        <v>1293.4206543</v>
      </c>
      <c r="E1266">
        <v>1390.9808350000001</v>
      </c>
      <c r="F1266">
        <v>1371.2525635</v>
      </c>
      <c r="G1266">
        <v>80</v>
      </c>
      <c r="H1266">
        <v>79.078056334999999</v>
      </c>
      <c r="I1266">
        <v>50</v>
      </c>
      <c r="J1266">
        <v>49.977977752999998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921.53042200000004</v>
      </c>
      <c r="B1267" s="1">
        <f>DATE(2012,11,7) + TIME(12,43,48)</f>
        <v>41220.530416666668</v>
      </c>
      <c r="C1267">
        <v>1305.7312012</v>
      </c>
      <c r="D1267">
        <v>1293.3973389</v>
      </c>
      <c r="E1267">
        <v>1390.9819336</v>
      </c>
      <c r="F1267">
        <v>1371.2565918</v>
      </c>
      <c r="G1267">
        <v>80</v>
      </c>
      <c r="H1267">
        <v>79.023223877000007</v>
      </c>
      <c r="I1267">
        <v>50</v>
      </c>
      <c r="J1267">
        <v>49.975921630999999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922.00994100000003</v>
      </c>
      <c r="B1268" s="1">
        <f>DATE(2012,11,8) + TIME(0,14,18)</f>
        <v>41221.009930555556</v>
      </c>
      <c r="C1268">
        <v>1305.7087402</v>
      </c>
      <c r="D1268">
        <v>1293.3721923999999</v>
      </c>
      <c r="E1268">
        <v>1390.9827881000001</v>
      </c>
      <c r="F1268">
        <v>1371.2607422000001</v>
      </c>
      <c r="G1268">
        <v>80</v>
      </c>
      <c r="H1268">
        <v>78.965690613000007</v>
      </c>
      <c r="I1268">
        <v>50</v>
      </c>
      <c r="J1268">
        <v>49.974555969000001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922.49459100000001</v>
      </c>
      <c r="B1269" s="1">
        <f>DATE(2012,11,8) + TIME(11,52,12)</f>
        <v>41221.494583333333</v>
      </c>
      <c r="C1269">
        <v>1305.6850586</v>
      </c>
      <c r="D1269">
        <v>1293.3459473</v>
      </c>
      <c r="E1269">
        <v>1390.9836425999999</v>
      </c>
      <c r="F1269">
        <v>1371.2647704999999</v>
      </c>
      <c r="G1269">
        <v>80</v>
      </c>
      <c r="H1269">
        <v>78.907081603999998</v>
      </c>
      <c r="I1269">
        <v>50</v>
      </c>
      <c r="J1269">
        <v>49.973697661999999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922.98842999999999</v>
      </c>
      <c r="B1270" s="1">
        <f>DATE(2012,11,8) + TIME(23,43,20)</f>
        <v>41221.988425925927</v>
      </c>
      <c r="C1270">
        <v>1305.6611327999999</v>
      </c>
      <c r="D1270">
        <v>1293.3193358999999</v>
      </c>
      <c r="E1270">
        <v>1390.9842529</v>
      </c>
      <c r="F1270">
        <v>1371.2685547000001</v>
      </c>
      <c r="G1270">
        <v>80</v>
      </c>
      <c r="H1270">
        <v>78.847450256000002</v>
      </c>
      <c r="I1270">
        <v>50</v>
      </c>
      <c r="J1270">
        <v>49.973163605000003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923.495361</v>
      </c>
      <c r="B1271" s="1">
        <f>DATE(2012,11,9) + TIME(11,53,19)</f>
        <v>41222.495358796295</v>
      </c>
      <c r="C1271">
        <v>1305.6370850000001</v>
      </c>
      <c r="D1271">
        <v>1293.2923584</v>
      </c>
      <c r="E1271">
        <v>1390.9847411999999</v>
      </c>
      <c r="F1271">
        <v>1371.2720947</v>
      </c>
      <c r="G1271">
        <v>80</v>
      </c>
      <c r="H1271">
        <v>78.786682128999999</v>
      </c>
      <c r="I1271">
        <v>50</v>
      </c>
      <c r="J1271">
        <v>49.972827911000003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924.01937099999998</v>
      </c>
      <c r="B1272" s="1">
        <f>DATE(2012,11,10) + TIME(0,27,53)</f>
        <v>41223.019363425927</v>
      </c>
      <c r="C1272">
        <v>1305.6124268000001</v>
      </c>
      <c r="D1272">
        <v>1293.2647704999999</v>
      </c>
      <c r="E1272">
        <v>1390.9851074000001</v>
      </c>
      <c r="F1272">
        <v>1371.2753906</v>
      </c>
      <c r="G1272">
        <v>80</v>
      </c>
      <c r="H1272">
        <v>78.724548339999998</v>
      </c>
      <c r="I1272">
        <v>50</v>
      </c>
      <c r="J1272">
        <v>49.972629546999997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924.56416400000001</v>
      </c>
      <c r="B1273" s="1">
        <f>DATE(2012,11,10) + TIME(13,32,23)</f>
        <v>41223.564155092594</v>
      </c>
      <c r="C1273">
        <v>1305.5871582</v>
      </c>
      <c r="D1273">
        <v>1293.2362060999999</v>
      </c>
      <c r="E1273">
        <v>1390.9853516000001</v>
      </c>
      <c r="F1273">
        <v>1371.2785644999999</v>
      </c>
      <c r="G1273">
        <v>80</v>
      </c>
      <c r="H1273">
        <v>78.660766601999995</v>
      </c>
      <c r="I1273">
        <v>50</v>
      </c>
      <c r="J1273">
        <v>49.972511292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925.13331700000003</v>
      </c>
      <c r="B1274" s="1">
        <f>DATE(2012,11,11) + TIME(3,11,58)</f>
        <v>41224.133310185185</v>
      </c>
      <c r="C1274">
        <v>1305.5609131000001</v>
      </c>
      <c r="D1274">
        <v>1293.2066649999999</v>
      </c>
      <c r="E1274">
        <v>1390.9854736</v>
      </c>
      <c r="F1274">
        <v>1371.2816161999999</v>
      </c>
      <c r="G1274">
        <v>80</v>
      </c>
      <c r="H1274">
        <v>78.595031738000003</v>
      </c>
      <c r="I1274">
        <v>50</v>
      </c>
      <c r="J1274">
        <v>49.972450256000002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925.73220300000003</v>
      </c>
      <c r="B1275" s="1">
        <f>DATE(2012,11,11) + TIME(17,34,22)</f>
        <v>41224.732199074075</v>
      </c>
      <c r="C1275">
        <v>1305.5335693</v>
      </c>
      <c r="D1275">
        <v>1293.1759033000001</v>
      </c>
      <c r="E1275">
        <v>1390.9854736</v>
      </c>
      <c r="F1275">
        <v>1371.2845459</v>
      </c>
      <c r="G1275">
        <v>80</v>
      </c>
      <c r="H1275">
        <v>78.526916503999999</v>
      </c>
      <c r="I1275">
        <v>50</v>
      </c>
      <c r="J1275">
        <v>49.972419739000003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926.36713399999996</v>
      </c>
      <c r="B1276" s="1">
        <f>DATE(2012,11,12) + TIME(8,48,40)</f>
        <v>41225.367129629631</v>
      </c>
      <c r="C1276">
        <v>1305.5048827999999</v>
      </c>
      <c r="D1276">
        <v>1293.1435547000001</v>
      </c>
      <c r="E1276">
        <v>1390.9853516000001</v>
      </c>
      <c r="F1276">
        <v>1371.2873535000001</v>
      </c>
      <c r="G1276">
        <v>80</v>
      </c>
      <c r="H1276">
        <v>78.455886840999995</v>
      </c>
      <c r="I1276">
        <v>50</v>
      </c>
      <c r="J1276">
        <v>49.972412108999997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927.04543999999999</v>
      </c>
      <c r="B1277" s="1">
        <f>DATE(2012,11,13) + TIME(1,5,25)</f>
        <v>41226.045428240737</v>
      </c>
      <c r="C1277">
        <v>1305.4744873</v>
      </c>
      <c r="D1277">
        <v>1293.1092529</v>
      </c>
      <c r="E1277">
        <v>1390.9852295000001</v>
      </c>
      <c r="F1277">
        <v>1371.2901611</v>
      </c>
      <c r="G1277">
        <v>80</v>
      </c>
      <c r="H1277">
        <v>78.381332396999994</v>
      </c>
      <c r="I1277">
        <v>50</v>
      </c>
      <c r="J1277">
        <v>49.972419739000003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927.73213999999996</v>
      </c>
      <c r="B1278" s="1">
        <f>DATE(2012,11,13) + TIME(17,34,16)</f>
        <v>41226.732129629629</v>
      </c>
      <c r="C1278">
        <v>1305.4420166</v>
      </c>
      <c r="D1278">
        <v>1293.0727539</v>
      </c>
      <c r="E1278">
        <v>1390.9849853999999</v>
      </c>
      <c r="F1278">
        <v>1371.2929687999999</v>
      </c>
      <c r="G1278">
        <v>80</v>
      </c>
      <c r="H1278">
        <v>78.305137634000005</v>
      </c>
      <c r="I1278">
        <v>50</v>
      </c>
      <c r="J1278">
        <v>49.972431182999998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928.42856900000004</v>
      </c>
      <c r="B1279" s="1">
        <f>DATE(2012,11,14) + TIME(10,17,8)</f>
        <v>41227.428564814814</v>
      </c>
      <c r="C1279">
        <v>1305.4091797000001</v>
      </c>
      <c r="D1279">
        <v>1293.0356445</v>
      </c>
      <c r="E1279">
        <v>1390.9846190999999</v>
      </c>
      <c r="F1279">
        <v>1371.2954102000001</v>
      </c>
      <c r="G1279">
        <v>80</v>
      </c>
      <c r="H1279">
        <v>78.227890015</v>
      </c>
      <c r="I1279">
        <v>50</v>
      </c>
      <c r="J1279">
        <v>49.972446441999999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929.13994000000002</v>
      </c>
      <c r="B1280" s="1">
        <f>DATE(2012,11,15) + TIME(3,21,30)</f>
        <v>41228.139930555553</v>
      </c>
      <c r="C1280">
        <v>1305.3759766000001</v>
      </c>
      <c r="D1280">
        <v>1292.9979248</v>
      </c>
      <c r="E1280">
        <v>1390.9841309000001</v>
      </c>
      <c r="F1280">
        <v>1371.2977295000001</v>
      </c>
      <c r="G1280">
        <v>80</v>
      </c>
      <c r="H1280">
        <v>78.149620056000003</v>
      </c>
      <c r="I1280">
        <v>50</v>
      </c>
      <c r="J1280">
        <v>49.972461699999997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929.87164099999995</v>
      </c>
      <c r="B1281" s="1">
        <f>DATE(2012,11,15) + TIME(20,55,9)</f>
        <v>41228.871631944443</v>
      </c>
      <c r="C1281">
        <v>1305.3420410000001</v>
      </c>
      <c r="D1281">
        <v>1292.9592285000001</v>
      </c>
      <c r="E1281">
        <v>1390.9836425999999</v>
      </c>
      <c r="F1281">
        <v>1371.2999268000001</v>
      </c>
      <c r="G1281">
        <v>80</v>
      </c>
      <c r="H1281">
        <v>78.070121764999996</v>
      </c>
      <c r="I1281">
        <v>50</v>
      </c>
      <c r="J1281">
        <v>49.972476958999998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930.62908400000003</v>
      </c>
      <c r="B1282" s="1">
        <f>DATE(2012,11,16) + TIME(15,5,52)</f>
        <v>41229.629074074073</v>
      </c>
      <c r="C1282">
        <v>1305.3070068</v>
      </c>
      <c r="D1282">
        <v>1292.9194336</v>
      </c>
      <c r="E1282">
        <v>1390.9830322</v>
      </c>
      <c r="F1282">
        <v>1371.3020019999999</v>
      </c>
      <c r="G1282">
        <v>80</v>
      </c>
      <c r="H1282">
        <v>77.989013671999999</v>
      </c>
      <c r="I1282">
        <v>50</v>
      </c>
      <c r="J1282">
        <v>49.972492217999999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931.41839400000003</v>
      </c>
      <c r="B1283" s="1">
        <f>DATE(2012,11,17) + TIME(10,2,29)</f>
        <v>41230.418391203704</v>
      </c>
      <c r="C1283">
        <v>1305.2707519999999</v>
      </c>
      <c r="D1283">
        <v>1292.8779297000001</v>
      </c>
      <c r="E1283">
        <v>1390.9822998</v>
      </c>
      <c r="F1283">
        <v>1371.3039550999999</v>
      </c>
      <c r="G1283">
        <v>80</v>
      </c>
      <c r="H1283">
        <v>77.905845642000003</v>
      </c>
      <c r="I1283">
        <v>50</v>
      </c>
      <c r="J1283">
        <v>49.972507477000001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932.244778</v>
      </c>
      <c r="B1284" s="1">
        <f>DATE(2012,11,18) + TIME(5,52,28)</f>
        <v>41231.244768518518</v>
      </c>
      <c r="C1284">
        <v>1305.2329102000001</v>
      </c>
      <c r="D1284">
        <v>1292.8345947</v>
      </c>
      <c r="E1284">
        <v>1390.9815673999999</v>
      </c>
      <c r="F1284">
        <v>1371.3059082</v>
      </c>
      <c r="G1284">
        <v>80</v>
      </c>
      <c r="H1284">
        <v>77.820159911999994</v>
      </c>
      <c r="I1284">
        <v>50</v>
      </c>
      <c r="J1284">
        <v>49.972522736000002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933.11518799999999</v>
      </c>
      <c r="B1285" s="1">
        <f>DATE(2012,11,19) + TIME(2,45,52)</f>
        <v>41232.115185185183</v>
      </c>
      <c r="C1285">
        <v>1305.1932373</v>
      </c>
      <c r="D1285">
        <v>1292.7890625</v>
      </c>
      <c r="E1285">
        <v>1390.9805908000001</v>
      </c>
      <c r="F1285">
        <v>1371.3077393000001</v>
      </c>
      <c r="G1285">
        <v>80</v>
      </c>
      <c r="H1285">
        <v>77.731422424000002</v>
      </c>
      <c r="I1285">
        <v>50</v>
      </c>
      <c r="J1285">
        <v>49.972541808999999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934.01883199999997</v>
      </c>
      <c r="B1286" s="1">
        <f>DATE(2012,11,20) + TIME(0,27,7)</f>
        <v>41233.018831018519</v>
      </c>
      <c r="C1286">
        <v>1305.1512451000001</v>
      </c>
      <c r="D1286">
        <v>1292.7407227000001</v>
      </c>
      <c r="E1286">
        <v>1390.9796143000001</v>
      </c>
      <c r="F1286">
        <v>1371.3094481999999</v>
      </c>
      <c r="G1286">
        <v>80</v>
      </c>
      <c r="H1286">
        <v>77.639923096000004</v>
      </c>
      <c r="I1286">
        <v>50</v>
      </c>
      <c r="J1286">
        <v>49.972557068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934.93102499999998</v>
      </c>
      <c r="B1287" s="1">
        <f>DATE(2012,11,20) + TIME(22,20,40)</f>
        <v>41233.931018518517</v>
      </c>
      <c r="C1287">
        <v>1305.1072998</v>
      </c>
      <c r="D1287">
        <v>1292.6903076000001</v>
      </c>
      <c r="E1287">
        <v>1390.9785156</v>
      </c>
      <c r="F1287">
        <v>1371.3111572</v>
      </c>
      <c r="G1287">
        <v>80</v>
      </c>
      <c r="H1287">
        <v>77.547088622999993</v>
      </c>
      <c r="I1287">
        <v>50</v>
      </c>
      <c r="J1287">
        <v>49.972572327000002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935.85830899999996</v>
      </c>
      <c r="B1288" s="1">
        <f>DATE(2012,11,21) + TIME(20,35,57)</f>
        <v>41234.858298611114</v>
      </c>
      <c r="C1288">
        <v>1305.0627440999999</v>
      </c>
      <c r="D1288">
        <v>1292.6387939000001</v>
      </c>
      <c r="E1288">
        <v>1390.9774170000001</v>
      </c>
      <c r="F1288">
        <v>1371.3126221</v>
      </c>
      <c r="G1288">
        <v>80</v>
      </c>
      <c r="H1288">
        <v>77.453376770000006</v>
      </c>
      <c r="I1288">
        <v>50</v>
      </c>
      <c r="J1288">
        <v>49.972587584999999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936.80738799999995</v>
      </c>
      <c r="B1289" s="1">
        <f>DATE(2012,11,22) + TIME(19,22,38)</f>
        <v>41235.807384259257</v>
      </c>
      <c r="C1289">
        <v>1305.0173339999999</v>
      </c>
      <c r="D1289">
        <v>1292.5860596</v>
      </c>
      <c r="E1289">
        <v>1390.9760742000001</v>
      </c>
      <c r="F1289">
        <v>1371.3139647999999</v>
      </c>
      <c r="G1289">
        <v>80</v>
      </c>
      <c r="H1289">
        <v>77.358703613000003</v>
      </c>
      <c r="I1289">
        <v>50</v>
      </c>
      <c r="J1289">
        <v>49.972602844000001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937.78512499999999</v>
      </c>
      <c r="B1290" s="1">
        <f>DATE(2012,11,23) + TIME(18,50,34)</f>
        <v>41236.785115740742</v>
      </c>
      <c r="C1290">
        <v>1304.9704589999999</v>
      </c>
      <c r="D1290">
        <v>1292.5314940999999</v>
      </c>
      <c r="E1290">
        <v>1390.9747314000001</v>
      </c>
      <c r="F1290">
        <v>1371.3151855000001</v>
      </c>
      <c r="G1290">
        <v>80</v>
      </c>
      <c r="H1290">
        <v>77.262695312000005</v>
      </c>
      <c r="I1290">
        <v>50</v>
      </c>
      <c r="J1290">
        <v>49.972618103000002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938.79885100000001</v>
      </c>
      <c r="B1291" s="1">
        <f>DATE(2012,11,24) + TIME(19,10,20)</f>
        <v>41237.798842592594</v>
      </c>
      <c r="C1291">
        <v>1304.921875</v>
      </c>
      <c r="D1291">
        <v>1292.4748535000001</v>
      </c>
      <c r="E1291">
        <v>1390.9733887</v>
      </c>
      <c r="F1291">
        <v>1371.3162841999999</v>
      </c>
      <c r="G1291">
        <v>80</v>
      </c>
      <c r="H1291">
        <v>77.164848328000005</v>
      </c>
      <c r="I1291">
        <v>50</v>
      </c>
      <c r="J1291">
        <v>49.972633362000003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939.85694000000001</v>
      </c>
      <c r="B1292" s="1">
        <f>DATE(2012,11,25) + TIME(20,33,59)</f>
        <v>41238.856932870367</v>
      </c>
      <c r="C1292">
        <v>1304.8710937999999</v>
      </c>
      <c r="D1292">
        <v>1292.4152832</v>
      </c>
      <c r="E1292">
        <v>1390.9718018000001</v>
      </c>
      <c r="F1292">
        <v>1371.3173827999999</v>
      </c>
      <c r="G1292">
        <v>80</v>
      </c>
      <c r="H1292">
        <v>77.064552307</v>
      </c>
      <c r="I1292">
        <v>50</v>
      </c>
      <c r="J1292">
        <v>49.972648620999998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940.96554600000002</v>
      </c>
      <c r="B1293" s="1">
        <f>DATE(2012,11,26) + TIME(23,10,23)</f>
        <v>41239.965543981481</v>
      </c>
      <c r="C1293">
        <v>1304.8176269999999</v>
      </c>
      <c r="D1293">
        <v>1292.3525391000001</v>
      </c>
      <c r="E1293">
        <v>1390.9702147999999</v>
      </c>
      <c r="F1293">
        <v>1371.3182373</v>
      </c>
      <c r="G1293">
        <v>80</v>
      </c>
      <c r="H1293">
        <v>76.961250304999993</v>
      </c>
      <c r="I1293">
        <v>50</v>
      </c>
      <c r="J1293">
        <v>49.972667694000002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942.09588399999996</v>
      </c>
      <c r="B1294" s="1">
        <f>DATE(2012,11,28) + TIME(2,18,4)</f>
        <v>41241.095879629633</v>
      </c>
      <c r="C1294">
        <v>1304.7611084</v>
      </c>
      <c r="D1294">
        <v>1292.2860106999999</v>
      </c>
      <c r="E1294">
        <v>1390.9683838000001</v>
      </c>
      <c r="F1294">
        <v>1371.3190918</v>
      </c>
      <c r="G1294">
        <v>80</v>
      </c>
      <c r="H1294">
        <v>76.855834960999999</v>
      </c>
      <c r="I1294">
        <v>50</v>
      </c>
      <c r="J1294">
        <v>49.972682953000003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943.24153699999999</v>
      </c>
      <c r="B1295" s="1">
        <f>DATE(2012,11,29) + TIME(5,47,48)</f>
        <v>41242.241527777776</v>
      </c>
      <c r="C1295">
        <v>1304.7027588000001</v>
      </c>
      <c r="D1295">
        <v>1292.2172852000001</v>
      </c>
      <c r="E1295">
        <v>1390.9665527</v>
      </c>
      <c r="F1295">
        <v>1371.3198242000001</v>
      </c>
      <c r="G1295">
        <v>80</v>
      </c>
      <c r="H1295">
        <v>76.749336243000002</v>
      </c>
      <c r="I1295">
        <v>50</v>
      </c>
      <c r="J1295">
        <v>49.972702026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944.40702899999997</v>
      </c>
      <c r="B1296" s="1">
        <f>DATE(2012,11,30) + TIME(9,46,7)</f>
        <v>41243.407025462962</v>
      </c>
      <c r="C1296">
        <v>1304.6430664</v>
      </c>
      <c r="D1296">
        <v>1292.1463623</v>
      </c>
      <c r="E1296">
        <v>1390.9645995999999</v>
      </c>
      <c r="F1296">
        <v>1371.3204346</v>
      </c>
      <c r="G1296">
        <v>80</v>
      </c>
      <c r="H1296">
        <v>76.642143250000004</v>
      </c>
      <c r="I1296">
        <v>50</v>
      </c>
      <c r="J1296">
        <v>49.972717285000002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945</v>
      </c>
      <c r="B1297" s="1">
        <f>DATE(2012,12,1) + TIME(0,0,0)</f>
        <v>41244</v>
      </c>
      <c r="C1297">
        <v>1304.5809326000001</v>
      </c>
      <c r="D1297">
        <v>1292.0760498</v>
      </c>
      <c r="E1297">
        <v>1390.9620361</v>
      </c>
      <c r="F1297">
        <v>1371.3204346</v>
      </c>
      <c r="G1297">
        <v>80</v>
      </c>
      <c r="H1297">
        <v>76.566246032999999</v>
      </c>
      <c r="I1297">
        <v>50</v>
      </c>
      <c r="J1297">
        <v>49.972728729000004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946.19371899999999</v>
      </c>
      <c r="B1298" s="1">
        <f>DATE(2012,12,2) + TIME(4,38,57)</f>
        <v>41245.193715277775</v>
      </c>
      <c r="C1298">
        <v>1304.5495605000001</v>
      </c>
      <c r="D1298">
        <v>1292.0334473</v>
      </c>
      <c r="E1298">
        <v>1390.9614257999999</v>
      </c>
      <c r="F1298">
        <v>1371.3210449000001</v>
      </c>
      <c r="G1298">
        <v>80</v>
      </c>
      <c r="H1298">
        <v>76.470993042000003</v>
      </c>
      <c r="I1298">
        <v>50</v>
      </c>
      <c r="J1298">
        <v>49.972743987999998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947.44650000000001</v>
      </c>
      <c r="B1299" s="1">
        <f>DATE(2012,12,3) + TIME(10,42,57)</f>
        <v>41246.446493055555</v>
      </c>
      <c r="C1299">
        <v>1304.4858397999999</v>
      </c>
      <c r="D1299">
        <v>1291.9578856999999</v>
      </c>
      <c r="E1299">
        <v>1390.9593506000001</v>
      </c>
      <c r="F1299">
        <v>1371.3212891000001</v>
      </c>
      <c r="G1299">
        <v>80</v>
      </c>
      <c r="H1299">
        <v>76.36656189</v>
      </c>
      <c r="I1299">
        <v>50</v>
      </c>
      <c r="J1299">
        <v>49.972763061999999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948.74957400000005</v>
      </c>
      <c r="B1300" s="1">
        <f>DATE(2012,12,4) + TIME(17,59,23)</f>
        <v>41247.749571759261</v>
      </c>
      <c r="C1300">
        <v>1304.4179687999999</v>
      </c>
      <c r="D1300">
        <v>1291.8764647999999</v>
      </c>
      <c r="E1300">
        <v>1390.9570312000001</v>
      </c>
      <c r="F1300">
        <v>1371.3215332</v>
      </c>
      <c r="G1300">
        <v>80</v>
      </c>
      <c r="H1300">
        <v>76.256256104000002</v>
      </c>
      <c r="I1300">
        <v>50</v>
      </c>
      <c r="J1300">
        <v>49.972785950000002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950.09882000000005</v>
      </c>
      <c r="B1301" s="1">
        <f>DATE(2012,12,6) + TIME(2,22,18)</f>
        <v>41249.098819444444</v>
      </c>
      <c r="C1301">
        <v>1304.3463135</v>
      </c>
      <c r="D1301">
        <v>1291.7901611</v>
      </c>
      <c r="E1301">
        <v>1390.9545897999999</v>
      </c>
      <c r="F1301">
        <v>1371.3216553</v>
      </c>
      <c r="G1301">
        <v>80</v>
      </c>
      <c r="H1301">
        <v>76.141914368000002</v>
      </c>
      <c r="I1301">
        <v>50</v>
      </c>
      <c r="J1301">
        <v>49.972805022999999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951.46332199999995</v>
      </c>
      <c r="B1302" s="1">
        <f>DATE(2012,12,7) + TIME(11,7,11)</f>
        <v>41250.463321759256</v>
      </c>
      <c r="C1302">
        <v>1304.2709961</v>
      </c>
      <c r="D1302">
        <v>1291.6992187999999</v>
      </c>
      <c r="E1302">
        <v>1390.9520264</v>
      </c>
      <c r="F1302">
        <v>1371.3215332</v>
      </c>
      <c r="G1302">
        <v>80</v>
      </c>
      <c r="H1302">
        <v>76.025474548000005</v>
      </c>
      <c r="I1302">
        <v>50</v>
      </c>
      <c r="J1302">
        <v>49.972827911000003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952.84982200000002</v>
      </c>
      <c r="B1303" s="1">
        <f>DATE(2012,12,8) + TIME(20,23,44)</f>
        <v>41251.849814814814</v>
      </c>
      <c r="C1303">
        <v>1304.1937256000001</v>
      </c>
      <c r="D1303">
        <v>1291.6051024999999</v>
      </c>
      <c r="E1303">
        <v>1390.9493408000001</v>
      </c>
      <c r="F1303">
        <v>1371.3214111</v>
      </c>
      <c r="G1303">
        <v>80</v>
      </c>
      <c r="H1303">
        <v>75.908119201999995</v>
      </c>
      <c r="I1303">
        <v>50</v>
      </c>
      <c r="J1303">
        <v>49.972846984999997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954.26305400000001</v>
      </c>
      <c r="B1304" s="1">
        <f>DATE(2012,12,10) + TIME(6,18,47)</f>
        <v>41253.263043981482</v>
      </c>
      <c r="C1304">
        <v>1304.1138916</v>
      </c>
      <c r="D1304">
        <v>1291.5076904</v>
      </c>
      <c r="E1304">
        <v>1390.9466553</v>
      </c>
      <c r="F1304">
        <v>1371.3211670000001</v>
      </c>
      <c r="G1304">
        <v>80</v>
      </c>
      <c r="H1304">
        <v>75.790046692000004</v>
      </c>
      <c r="I1304">
        <v>50</v>
      </c>
      <c r="J1304">
        <v>49.972869873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955.71296700000005</v>
      </c>
      <c r="B1305" s="1">
        <f>DATE(2012,12,11) + TIME(17,6,40)</f>
        <v>41254.712962962964</v>
      </c>
      <c r="C1305">
        <v>1304.0313721</v>
      </c>
      <c r="D1305">
        <v>1291.4063721</v>
      </c>
      <c r="E1305">
        <v>1390.9438477000001</v>
      </c>
      <c r="F1305">
        <v>1371.3208007999999</v>
      </c>
      <c r="G1305">
        <v>80</v>
      </c>
      <c r="H1305">
        <v>75.670936584000003</v>
      </c>
      <c r="I1305">
        <v>50</v>
      </c>
      <c r="J1305">
        <v>49.972892760999997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957.20989299999997</v>
      </c>
      <c r="B1306" s="1">
        <f>DATE(2012,12,13) + TIME(5,2,14)</f>
        <v>41256.20988425926</v>
      </c>
      <c r="C1306">
        <v>1303.9453125</v>
      </c>
      <c r="D1306">
        <v>1291.3004149999999</v>
      </c>
      <c r="E1306">
        <v>1390.940918</v>
      </c>
      <c r="F1306">
        <v>1371.3203125</v>
      </c>
      <c r="G1306">
        <v>80</v>
      </c>
      <c r="H1306">
        <v>75.550201415999993</v>
      </c>
      <c r="I1306">
        <v>50</v>
      </c>
      <c r="J1306">
        <v>49.972915649000001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958.76556400000004</v>
      </c>
      <c r="B1307" s="1">
        <f>DATE(2012,12,14) + TIME(18,22,24)</f>
        <v>41257.765555555554</v>
      </c>
      <c r="C1307">
        <v>1303.8549805</v>
      </c>
      <c r="D1307">
        <v>1291.1887207</v>
      </c>
      <c r="E1307">
        <v>1390.9378661999999</v>
      </c>
      <c r="F1307">
        <v>1371.3197021000001</v>
      </c>
      <c r="G1307">
        <v>80</v>
      </c>
      <c r="H1307">
        <v>75.427116393999995</v>
      </c>
      <c r="I1307">
        <v>50</v>
      </c>
      <c r="J1307">
        <v>49.972938538000001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960.34324800000002</v>
      </c>
      <c r="B1308" s="1">
        <f>DATE(2012,12,16) + TIME(8,14,16)</f>
        <v>41259.343240740738</v>
      </c>
      <c r="C1308">
        <v>1303.7595214999999</v>
      </c>
      <c r="D1308">
        <v>1291.0704346</v>
      </c>
      <c r="E1308">
        <v>1390.9345702999999</v>
      </c>
      <c r="F1308">
        <v>1371.3189697</v>
      </c>
      <c r="G1308">
        <v>80</v>
      </c>
      <c r="H1308">
        <v>75.302207946999999</v>
      </c>
      <c r="I1308">
        <v>50</v>
      </c>
      <c r="J1308">
        <v>49.972961425999998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961.94443799999999</v>
      </c>
      <c r="B1309" s="1">
        <f>DATE(2012,12,17) + TIME(22,39,59)</f>
        <v>41260.944432870368</v>
      </c>
      <c r="C1309">
        <v>1303.6608887</v>
      </c>
      <c r="D1309">
        <v>1290.9476318</v>
      </c>
      <c r="E1309">
        <v>1390.9312743999999</v>
      </c>
      <c r="F1309">
        <v>1371.3181152</v>
      </c>
      <c r="G1309">
        <v>80</v>
      </c>
      <c r="H1309">
        <v>75.176513671999999</v>
      </c>
      <c r="I1309">
        <v>50</v>
      </c>
      <c r="J1309">
        <v>49.972988129000001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963.57314899999994</v>
      </c>
      <c r="B1310" s="1">
        <f>DATE(2012,12,19) + TIME(13,45,20)</f>
        <v>41262.573148148149</v>
      </c>
      <c r="C1310">
        <v>1303.5589600000001</v>
      </c>
      <c r="D1310">
        <v>1290.8201904</v>
      </c>
      <c r="E1310">
        <v>1390.9279785000001</v>
      </c>
      <c r="F1310">
        <v>1371.3171387</v>
      </c>
      <c r="G1310">
        <v>80</v>
      </c>
      <c r="H1310">
        <v>75.050285338999998</v>
      </c>
      <c r="I1310">
        <v>50</v>
      </c>
      <c r="J1310">
        <v>49.973011016999997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965.237843</v>
      </c>
      <c r="B1311" s="1">
        <f>DATE(2012,12,21) + TIME(5,42,29)</f>
        <v>41264.237835648149</v>
      </c>
      <c r="C1311">
        <v>1303.4533690999999</v>
      </c>
      <c r="D1311">
        <v>1290.6876221</v>
      </c>
      <c r="E1311">
        <v>1390.9245605000001</v>
      </c>
      <c r="F1311">
        <v>1371.3161620999999</v>
      </c>
      <c r="G1311">
        <v>80</v>
      </c>
      <c r="H1311">
        <v>74.923225403000004</v>
      </c>
      <c r="I1311">
        <v>50</v>
      </c>
      <c r="J1311">
        <v>49.973037720000001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966.94990199999995</v>
      </c>
      <c r="B1312" s="1">
        <f>DATE(2012,12,22) + TIME(22,47,51)</f>
        <v>41265.949895833335</v>
      </c>
      <c r="C1312">
        <v>1303.3433838000001</v>
      </c>
      <c r="D1312">
        <v>1290.5489502</v>
      </c>
      <c r="E1312">
        <v>1390.9210204999999</v>
      </c>
      <c r="F1312">
        <v>1371.3150635</v>
      </c>
      <c r="G1312">
        <v>80</v>
      </c>
      <c r="H1312">
        <v>74.794731139999996</v>
      </c>
      <c r="I1312">
        <v>50</v>
      </c>
      <c r="J1312">
        <v>49.973064422999997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968.721271</v>
      </c>
      <c r="B1313" s="1">
        <f>DATE(2012,12,24) + TIME(17,18,37)</f>
        <v>41267.721261574072</v>
      </c>
      <c r="C1313">
        <v>1303.2282714999999</v>
      </c>
      <c r="D1313">
        <v>1290.4031981999999</v>
      </c>
      <c r="E1313">
        <v>1390.9173584</v>
      </c>
      <c r="F1313">
        <v>1371.3137207</v>
      </c>
      <c r="G1313">
        <v>80</v>
      </c>
      <c r="H1313">
        <v>74.664108275999993</v>
      </c>
      <c r="I1313">
        <v>50</v>
      </c>
      <c r="J1313">
        <v>49.973091125000003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970.51316999999995</v>
      </c>
      <c r="B1314" s="1">
        <f>DATE(2012,12,26) + TIME(12,18,57)</f>
        <v>41269.513159722221</v>
      </c>
      <c r="C1314">
        <v>1303.1066894999999</v>
      </c>
      <c r="D1314">
        <v>1290.2490233999999</v>
      </c>
      <c r="E1314">
        <v>1390.9135742000001</v>
      </c>
      <c r="F1314">
        <v>1371.3123779</v>
      </c>
      <c r="G1314">
        <v>80</v>
      </c>
      <c r="H1314">
        <v>74.531707764000004</v>
      </c>
      <c r="I1314">
        <v>50</v>
      </c>
      <c r="J1314">
        <v>49.973117827999999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972.33225100000004</v>
      </c>
      <c r="B1315" s="1">
        <f>DATE(2012,12,28) + TIME(7,58,26)</f>
        <v>41271.332245370373</v>
      </c>
      <c r="C1315">
        <v>1302.9812012</v>
      </c>
      <c r="D1315">
        <v>1290.0889893000001</v>
      </c>
      <c r="E1315">
        <v>1390.9097899999999</v>
      </c>
      <c r="F1315">
        <v>1371.3109131000001</v>
      </c>
      <c r="G1315">
        <v>80</v>
      </c>
      <c r="H1315">
        <v>74.398483275999993</v>
      </c>
      <c r="I1315">
        <v>50</v>
      </c>
      <c r="J1315">
        <v>49.973148346000002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974.18242399999997</v>
      </c>
      <c r="B1316" s="1">
        <f>DATE(2012,12,30) + TIME(4,22,41)</f>
        <v>41273.18241898148</v>
      </c>
      <c r="C1316">
        <v>1302.8510742000001</v>
      </c>
      <c r="D1316">
        <v>1289.9223632999999</v>
      </c>
      <c r="E1316">
        <v>1390.9057617000001</v>
      </c>
      <c r="F1316">
        <v>1371.3093262</v>
      </c>
      <c r="G1316">
        <v>80</v>
      </c>
      <c r="H1316">
        <v>74.264434813999998</v>
      </c>
      <c r="I1316">
        <v>50</v>
      </c>
      <c r="J1316">
        <v>49.973175048999998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976</v>
      </c>
      <c r="B1317" s="1">
        <f>DATE(2013,1,1) + TIME(0,0,0)</f>
        <v>41275</v>
      </c>
      <c r="C1317">
        <v>1302.7160644999999</v>
      </c>
      <c r="D1317">
        <v>1289.7491454999999</v>
      </c>
      <c r="E1317">
        <v>1390.9017334</v>
      </c>
      <c r="F1317">
        <v>1371.3077393000001</v>
      </c>
      <c r="G1317">
        <v>80</v>
      </c>
      <c r="H1317">
        <v>74.130867003999995</v>
      </c>
      <c r="I1317">
        <v>50</v>
      </c>
      <c r="J1317">
        <v>49.973201752000001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977.89016300000003</v>
      </c>
      <c r="B1318" s="1">
        <f>DATE(2013,1,2) + TIME(21,21,50)</f>
        <v>41276.890162037038</v>
      </c>
      <c r="C1318">
        <v>1302.5802002</v>
      </c>
      <c r="D1318">
        <v>1289.5733643000001</v>
      </c>
      <c r="E1318">
        <v>1390.8979492000001</v>
      </c>
      <c r="F1318">
        <v>1371.3060303</v>
      </c>
      <c r="G1318">
        <v>80</v>
      </c>
      <c r="H1318">
        <v>73.997344971000004</v>
      </c>
      <c r="I1318">
        <v>50</v>
      </c>
      <c r="J1318">
        <v>49.973232269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979.87323500000002</v>
      </c>
      <c r="B1319" s="1">
        <f>DATE(2013,1,4) + TIME(20,57,27)</f>
        <v>41278.873229166667</v>
      </c>
      <c r="C1319">
        <v>1302.4362793</v>
      </c>
      <c r="D1319">
        <v>1289.3868408000001</v>
      </c>
      <c r="E1319">
        <v>1390.8937988</v>
      </c>
      <c r="F1319">
        <v>1371.3043213000001</v>
      </c>
      <c r="G1319">
        <v>80</v>
      </c>
      <c r="H1319">
        <v>73.860527039000004</v>
      </c>
      <c r="I1319">
        <v>50</v>
      </c>
      <c r="J1319">
        <v>49.973262787000003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981.87863100000004</v>
      </c>
      <c r="B1320" s="1">
        <f>DATE(2013,1,6) + TIME(21,5,13)</f>
        <v>41280.878622685188</v>
      </c>
      <c r="C1320">
        <v>1302.2823486</v>
      </c>
      <c r="D1320">
        <v>1289.1870117000001</v>
      </c>
      <c r="E1320">
        <v>1390.8895264</v>
      </c>
      <c r="F1320">
        <v>1371.3023682</v>
      </c>
      <c r="G1320">
        <v>80</v>
      </c>
      <c r="H1320">
        <v>73.720130920000003</v>
      </c>
      <c r="I1320">
        <v>50</v>
      </c>
      <c r="J1320">
        <v>49.973293304000002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983.91797499999996</v>
      </c>
      <c r="B1321" s="1">
        <f>DATE(2013,1,8) + TIME(22,1,53)</f>
        <v>41282.917974537035</v>
      </c>
      <c r="C1321">
        <v>1302.1228027</v>
      </c>
      <c r="D1321">
        <v>1288.9788818</v>
      </c>
      <c r="E1321">
        <v>1390.8851318</v>
      </c>
      <c r="F1321">
        <v>1371.300293</v>
      </c>
      <c r="G1321">
        <v>80</v>
      </c>
      <c r="H1321">
        <v>73.577705382999994</v>
      </c>
      <c r="I1321">
        <v>50</v>
      </c>
      <c r="J1321">
        <v>49.973323821999998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985.99245399999995</v>
      </c>
      <c r="B1322" s="1">
        <f>DATE(2013,1,10) + TIME(23,49,8)</f>
        <v>41284.9924537037</v>
      </c>
      <c r="C1322">
        <v>1301.9569091999999</v>
      </c>
      <c r="D1322">
        <v>1288.7613524999999</v>
      </c>
      <c r="E1322">
        <v>1390.8807373</v>
      </c>
      <c r="F1322">
        <v>1371.2982178</v>
      </c>
      <c r="G1322">
        <v>80</v>
      </c>
      <c r="H1322">
        <v>73.433189392000003</v>
      </c>
      <c r="I1322">
        <v>50</v>
      </c>
      <c r="J1322">
        <v>49.97335434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988.11645499999997</v>
      </c>
      <c r="B1323" s="1">
        <f>DATE(2013,1,13) + TIME(2,47,41)</f>
        <v>41287.116446759261</v>
      </c>
      <c r="C1323">
        <v>1301.7840576000001</v>
      </c>
      <c r="D1323">
        <v>1288.5339355000001</v>
      </c>
      <c r="E1323">
        <v>1390.8762207</v>
      </c>
      <c r="F1323">
        <v>1371.2960204999999</v>
      </c>
      <c r="G1323">
        <v>80</v>
      </c>
      <c r="H1323">
        <v>73.286041260000005</v>
      </c>
      <c r="I1323">
        <v>50</v>
      </c>
      <c r="J1323">
        <v>49.973388671999999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990.28500499999996</v>
      </c>
      <c r="B1324" s="1">
        <f>DATE(2013,1,15) + TIME(6,50,24)</f>
        <v>41289.285000000003</v>
      </c>
      <c r="C1324">
        <v>1301.6031493999999</v>
      </c>
      <c r="D1324">
        <v>1288.2949219</v>
      </c>
      <c r="E1324">
        <v>1390.871582</v>
      </c>
      <c r="F1324">
        <v>1371.2938231999999</v>
      </c>
      <c r="G1324">
        <v>80</v>
      </c>
      <c r="H1324">
        <v>73.135520935000002</v>
      </c>
      <c r="I1324">
        <v>50</v>
      </c>
      <c r="J1324">
        <v>49.973419188999998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992.47762799999998</v>
      </c>
      <c r="B1325" s="1">
        <f>DATE(2013,1,17) + TIME(11,27,47)</f>
        <v>41291.477627314816</v>
      </c>
      <c r="C1325">
        <v>1301.4141846</v>
      </c>
      <c r="D1325">
        <v>1288.0440673999999</v>
      </c>
      <c r="E1325">
        <v>1390.8668213000001</v>
      </c>
      <c r="F1325">
        <v>1371.2913818</v>
      </c>
      <c r="G1325">
        <v>80</v>
      </c>
      <c r="H1325">
        <v>72.981658936000002</v>
      </c>
      <c r="I1325">
        <v>50</v>
      </c>
      <c r="J1325">
        <v>49.973453522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994.70561799999996</v>
      </c>
      <c r="B1326" s="1">
        <f>DATE(2013,1,19) + TIME(16,56,5)</f>
        <v>41293.705613425926</v>
      </c>
      <c r="C1326">
        <v>1301.2182617000001</v>
      </c>
      <c r="D1326">
        <v>1287.7829589999999</v>
      </c>
      <c r="E1326">
        <v>1390.8620605000001</v>
      </c>
      <c r="F1326">
        <v>1371.2888184000001</v>
      </c>
      <c r="G1326">
        <v>80</v>
      </c>
      <c r="H1326">
        <v>72.824546814000001</v>
      </c>
      <c r="I1326">
        <v>50</v>
      </c>
      <c r="J1326">
        <v>49.973487853999998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996.97016599999995</v>
      </c>
      <c r="B1327" s="1">
        <f>DATE(2013,1,21) + TIME(23,17,2)</f>
        <v>41295.97016203704</v>
      </c>
      <c r="C1327">
        <v>1301.0145264</v>
      </c>
      <c r="D1327">
        <v>1287.5102539</v>
      </c>
      <c r="E1327">
        <v>1390.8570557</v>
      </c>
      <c r="F1327">
        <v>1371.2862548999999</v>
      </c>
      <c r="G1327">
        <v>80</v>
      </c>
      <c r="H1327">
        <v>72.66343689</v>
      </c>
      <c r="I1327">
        <v>50</v>
      </c>
      <c r="J1327">
        <v>49.973522185999997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999.28671899999995</v>
      </c>
      <c r="B1328" s="1">
        <f>DATE(2013,1,24) + TIME(6,52,52)</f>
        <v>41298.286712962959</v>
      </c>
      <c r="C1328">
        <v>1300.8026123</v>
      </c>
      <c r="D1328">
        <v>1287.2250977000001</v>
      </c>
      <c r="E1328">
        <v>1390.8519286999999</v>
      </c>
      <c r="F1328">
        <v>1371.2835693</v>
      </c>
      <c r="G1328">
        <v>80</v>
      </c>
      <c r="H1328">
        <v>72.497337341000005</v>
      </c>
      <c r="I1328">
        <v>50</v>
      </c>
      <c r="J1328">
        <v>49.973556518999999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1001.6338050000001</v>
      </c>
      <c r="B1329" s="1">
        <f>DATE(2013,1,26) + TIME(15,12,40)</f>
        <v>41300.633796296293</v>
      </c>
      <c r="C1329">
        <v>1300.5808105000001</v>
      </c>
      <c r="D1329">
        <v>1286.9257812000001</v>
      </c>
      <c r="E1329">
        <v>1390.8466797000001</v>
      </c>
      <c r="F1329">
        <v>1371.2806396000001</v>
      </c>
      <c r="G1329">
        <v>80</v>
      </c>
      <c r="H1329">
        <v>72.325355529999996</v>
      </c>
      <c r="I1329">
        <v>50</v>
      </c>
      <c r="J1329">
        <v>49.973590850999997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1004.013318</v>
      </c>
      <c r="B1330" s="1">
        <f>DATE(2013,1,29) + TIME(0,19,10)</f>
        <v>41303.013310185182</v>
      </c>
      <c r="C1330">
        <v>1300.3508300999999</v>
      </c>
      <c r="D1330">
        <v>1286.6137695</v>
      </c>
      <c r="E1330">
        <v>1390.8411865</v>
      </c>
      <c r="F1330">
        <v>1371.2775879000001</v>
      </c>
      <c r="G1330">
        <v>80</v>
      </c>
      <c r="H1330">
        <v>72.147377014</v>
      </c>
      <c r="I1330">
        <v>50</v>
      </c>
      <c r="J1330">
        <v>49.973625183000003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1006.4263529999999</v>
      </c>
      <c r="B1331" s="1">
        <f>DATE(2013,1,31) + TIME(10,13,56)</f>
        <v>41305.426342592589</v>
      </c>
      <c r="C1331">
        <v>1300.1124268000001</v>
      </c>
      <c r="D1331">
        <v>1286.2885742000001</v>
      </c>
      <c r="E1331">
        <v>1390.8355713000001</v>
      </c>
      <c r="F1331">
        <v>1371.2742920000001</v>
      </c>
      <c r="G1331">
        <v>80</v>
      </c>
      <c r="H1331">
        <v>71.962707519999995</v>
      </c>
      <c r="I1331">
        <v>50</v>
      </c>
      <c r="J1331">
        <v>49.973659515000001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1007</v>
      </c>
      <c r="B1332" s="1">
        <f>DATE(2013,2,1) + TIME(0,0,0)</f>
        <v>41306</v>
      </c>
      <c r="C1332">
        <v>1299.8798827999999</v>
      </c>
      <c r="D1332">
        <v>1285.9899902</v>
      </c>
      <c r="E1332">
        <v>1390.828125</v>
      </c>
      <c r="F1332">
        <v>1371.2694091999999</v>
      </c>
      <c r="G1332">
        <v>80</v>
      </c>
      <c r="H1332">
        <v>71.857330321999996</v>
      </c>
      <c r="I1332">
        <v>50</v>
      </c>
      <c r="J1332">
        <v>49.973667145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1009.457664</v>
      </c>
      <c r="B1333" s="1">
        <f>DATE(2013,2,3) + TIME(10,59,2)</f>
        <v>41308.457662037035</v>
      </c>
      <c r="C1333">
        <v>1299.7940673999999</v>
      </c>
      <c r="D1333">
        <v>1285.8461914</v>
      </c>
      <c r="E1333">
        <v>1390.8284911999999</v>
      </c>
      <c r="F1333">
        <v>1371.2700195</v>
      </c>
      <c r="G1333">
        <v>80</v>
      </c>
      <c r="H1333">
        <v>71.708137511999993</v>
      </c>
      <c r="I1333">
        <v>50</v>
      </c>
      <c r="J1333">
        <v>49.973705291999998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1011.961046</v>
      </c>
      <c r="B1334" s="1">
        <f>DATE(2013,2,5) + TIME(23,3,54)</f>
        <v>41310.961041666669</v>
      </c>
      <c r="C1334">
        <v>1299.5445557</v>
      </c>
      <c r="D1334">
        <v>1285.5067139</v>
      </c>
      <c r="E1334">
        <v>1390.8221435999999</v>
      </c>
      <c r="F1334">
        <v>1371.2662353999999</v>
      </c>
      <c r="G1334">
        <v>80</v>
      </c>
      <c r="H1334">
        <v>71.516212463000002</v>
      </c>
      <c r="I1334">
        <v>50</v>
      </c>
      <c r="J1334">
        <v>49.973743439000003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1014.499906</v>
      </c>
      <c r="B1335" s="1">
        <f>DATE(2013,2,8) + TIME(11,59,51)</f>
        <v>41313.499895833331</v>
      </c>
      <c r="C1335">
        <v>1299.2785644999999</v>
      </c>
      <c r="D1335">
        <v>1285.1396483999999</v>
      </c>
      <c r="E1335">
        <v>1390.8155518000001</v>
      </c>
      <c r="F1335">
        <v>1371.262207</v>
      </c>
      <c r="G1335">
        <v>80</v>
      </c>
      <c r="H1335">
        <v>71.305450438999998</v>
      </c>
      <c r="I1335">
        <v>50</v>
      </c>
      <c r="J1335">
        <v>49.973777771000002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1017.070327</v>
      </c>
      <c r="B1336" s="1">
        <f>DATE(2013,2,11) + TIME(1,41,16)</f>
        <v>41316.070324074077</v>
      </c>
      <c r="C1336">
        <v>1299.0019531</v>
      </c>
      <c r="D1336">
        <v>1284.755249</v>
      </c>
      <c r="E1336">
        <v>1390.8085937999999</v>
      </c>
      <c r="F1336">
        <v>1371.2578125</v>
      </c>
      <c r="G1336">
        <v>80</v>
      </c>
      <c r="H1336">
        <v>71.081764221</v>
      </c>
      <c r="I1336">
        <v>50</v>
      </c>
      <c r="J1336">
        <v>49.973815918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1019.687963</v>
      </c>
      <c r="B1337" s="1">
        <f>DATE(2013,2,13) + TIME(16,30,40)</f>
        <v>41318.687962962962</v>
      </c>
      <c r="C1337">
        <v>1298.7165527</v>
      </c>
      <c r="D1337">
        <v>1284.3563231999999</v>
      </c>
      <c r="E1337">
        <v>1390.8013916</v>
      </c>
      <c r="F1337">
        <v>1371.2531738</v>
      </c>
      <c r="G1337">
        <v>80</v>
      </c>
      <c r="H1337">
        <v>70.845787048000005</v>
      </c>
      <c r="I1337">
        <v>50</v>
      </c>
      <c r="J1337">
        <v>49.973854064999998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1022.336396</v>
      </c>
      <c r="B1338" s="1">
        <f>DATE(2013,2,16) + TIME(8,4,24)</f>
        <v>41321.336388888885</v>
      </c>
      <c r="C1338">
        <v>1298.4212646000001</v>
      </c>
      <c r="D1338">
        <v>1283.9416504000001</v>
      </c>
      <c r="E1338">
        <v>1390.7937012</v>
      </c>
      <c r="F1338">
        <v>1371.2480469</v>
      </c>
      <c r="G1338">
        <v>80</v>
      </c>
      <c r="H1338">
        <v>70.596580505000006</v>
      </c>
      <c r="I1338">
        <v>50</v>
      </c>
      <c r="J1338">
        <v>49.973892212000003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1025.0194160000001</v>
      </c>
      <c r="B1339" s="1">
        <f>DATE(2013,2,19) + TIME(0,27,57)</f>
        <v>41324.019409722219</v>
      </c>
      <c r="C1339">
        <v>1298.1177978999999</v>
      </c>
      <c r="D1339">
        <v>1283.5134277</v>
      </c>
      <c r="E1339">
        <v>1390.7855225000001</v>
      </c>
      <c r="F1339">
        <v>1371.2424315999999</v>
      </c>
      <c r="G1339">
        <v>80</v>
      </c>
      <c r="H1339">
        <v>70.334083557</v>
      </c>
      <c r="I1339">
        <v>50</v>
      </c>
      <c r="J1339">
        <v>49.973930359000001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1027.737572</v>
      </c>
      <c r="B1340" s="1">
        <f>DATE(2013,2,21) + TIME(17,42,6)</f>
        <v>41326.737569444442</v>
      </c>
      <c r="C1340">
        <v>1297.8063964999999</v>
      </c>
      <c r="D1340">
        <v>1283.0717772999999</v>
      </c>
      <c r="E1340">
        <v>1390.7767334</v>
      </c>
      <c r="F1340">
        <v>1371.2363281</v>
      </c>
      <c r="G1340">
        <v>80</v>
      </c>
      <c r="H1340">
        <v>70.057357788000004</v>
      </c>
      <c r="I1340">
        <v>50</v>
      </c>
      <c r="J1340">
        <v>49.973968505999999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1030.500423</v>
      </c>
      <c r="B1341" s="1">
        <f>DATE(2013,2,24) + TIME(12,0,36)</f>
        <v>41329.500416666669</v>
      </c>
      <c r="C1341">
        <v>1297.4871826000001</v>
      </c>
      <c r="D1341">
        <v>1282.6169434000001</v>
      </c>
      <c r="E1341">
        <v>1390.7674560999999</v>
      </c>
      <c r="F1341">
        <v>1371.2297363</v>
      </c>
      <c r="G1341">
        <v>80</v>
      </c>
      <c r="H1341">
        <v>69.765159607000001</v>
      </c>
      <c r="I1341">
        <v>50</v>
      </c>
      <c r="J1341">
        <v>49.974006653000004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1033.299949</v>
      </c>
      <c r="B1342" s="1">
        <f>DATE(2013,2,27) + TIME(7,11,55)</f>
        <v>41332.299942129626</v>
      </c>
      <c r="C1342">
        <v>1297.159668</v>
      </c>
      <c r="D1342">
        <v>1282.1481934000001</v>
      </c>
      <c r="E1342">
        <v>1390.7574463000001</v>
      </c>
      <c r="F1342">
        <v>1371.2225341999999</v>
      </c>
      <c r="G1342">
        <v>80</v>
      </c>
      <c r="H1342">
        <v>69.456535338999998</v>
      </c>
      <c r="I1342">
        <v>50</v>
      </c>
      <c r="J1342">
        <v>49.974048615000001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1035</v>
      </c>
      <c r="B1343" s="1">
        <f>DATE(2013,3,1) + TIME(0,0,0)</f>
        <v>41334</v>
      </c>
      <c r="C1343">
        <v>1296.8306885</v>
      </c>
      <c r="D1343">
        <v>1281.6854248</v>
      </c>
      <c r="E1343">
        <v>1390.7460937999999</v>
      </c>
      <c r="F1343">
        <v>1371.2139893000001</v>
      </c>
      <c r="G1343">
        <v>80</v>
      </c>
      <c r="H1343">
        <v>69.172637938999998</v>
      </c>
      <c r="I1343">
        <v>50</v>
      </c>
      <c r="J1343">
        <v>49.974071502999998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1037.829522</v>
      </c>
      <c r="B1344" s="1">
        <f>DATE(2013,3,3) + TIME(19,54,30)</f>
        <v>41336.829513888886</v>
      </c>
      <c r="C1344">
        <v>1296.6068115</v>
      </c>
      <c r="D1344">
        <v>1281.3444824000001</v>
      </c>
      <c r="E1344">
        <v>1390.7399902</v>
      </c>
      <c r="F1344">
        <v>1371.2095947</v>
      </c>
      <c r="G1344">
        <v>80</v>
      </c>
      <c r="H1344">
        <v>68.907615661999998</v>
      </c>
      <c r="I1344">
        <v>50</v>
      </c>
      <c r="J1344">
        <v>49.974109650000003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1040.7383010000001</v>
      </c>
      <c r="B1345" s="1">
        <f>DATE(2013,3,6) + TIME(17,43,9)</f>
        <v>41339.738298611112</v>
      </c>
      <c r="C1345">
        <v>1296.276001</v>
      </c>
      <c r="D1345">
        <v>1280.8706055</v>
      </c>
      <c r="E1345">
        <v>1390.7280272999999</v>
      </c>
      <c r="F1345">
        <v>1371.2005615</v>
      </c>
      <c r="G1345">
        <v>80</v>
      </c>
      <c r="H1345">
        <v>68.572715759000005</v>
      </c>
      <c r="I1345">
        <v>50</v>
      </c>
      <c r="J1345">
        <v>49.974151611000003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1043.6799590000001</v>
      </c>
      <c r="B1346" s="1">
        <f>DATE(2013,3,9) + TIME(16,19,8)</f>
        <v>41342.6799537037</v>
      </c>
      <c r="C1346">
        <v>1295.9270019999999</v>
      </c>
      <c r="D1346">
        <v>1280.3642577999999</v>
      </c>
      <c r="E1346">
        <v>1390.7150879000001</v>
      </c>
      <c r="F1346">
        <v>1371.1906738</v>
      </c>
      <c r="G1346">
        <v>80</v>
      </c>
      <c r="H1346">
        <v>68.206047057999996</v>
      </c>
      <c r="I1346">
        <v>50</v>
      </c>
      <c r="J1346">
        <v>49.974189758000001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1046.667144</v>
      </c>
      <c r="B1347" s="1">
        <f>DATE(2013,3,12) + TIME(16,0,41)</f>
        <v>41345.667141203703</v>
      </c>
      <c r="C1347">
        <v>1295.5710449000001</v>
      </c>
      <c r="D1347">
        <v>1279.8441161999999</v>
      </c>
      <c r="E1347">
        <v>1390.7014160000001</v>
      </c>
      <c r="F1347">
        <v>1371.1799315999999</v>
      </c>
      <c r="G1347">
        <v>80</v>
      </c>
      <c r="H1347">
        <v>67.819297790999997</v>
      </c>
      <c r="I1347">
        <v>50</v>
      </c>
      <c r="J1347">
        <v>49.974231719999999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1049.71965</v>
      </c>
      <c r="B1348" s="1">
        <f>DATE(2013,3,15) + TIME(17,16,17)</f>
        <v>41348.719641203701</v>
      </c>
      <c r="C1348">
        <v>1295.2094727000001</v>
      </c>
      <c r="D1348">
        <v>1279.3131103999999</v>
      </c>
      <c r="E1348">
        <v>1390.6866454999999</v>
      </c>
      <c r="F1348">
        <v>1371.1683350000001</v>
      </c>
      <c r="G1348">
        <v>80</v>
      </c>
      <c r="H1348">
        <v>67.413612365999995</v>
      </c>
      <c r="I1348">
        <v>50</v>
      </c>
      <c r="J1348">
        <v>49.974273682000003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1052.819193</v>
      </c>
      <c r="B1349" s="1">
        <f>DATE(2013,3,18) + TIME(19,39,38)</f>
        <v>41351.819189814814</v>
      </c>
      <c r="C1349">
        <v>1294.8411865</v>
      </c>
      <c r="D1349">
        <v>1278.7702637</v>
      </c>
      <c r="E1349">
        <v>1390.6708983999999</v>
      </c>
      <c r="F1349">
        <v>1371.1556396000001</v>
      </c>
      <c r="G1349">
        <v>80</v>
      </c>
      <c r="H1349">
        <v>66.988311768000003</v>
      </c>
      <c r="I1349">
        <v>50</v>
      </c>
      <c r="J1349">
        <v>49.974315642999997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1055.977699</v>
      </c>
      <c r="B1350" s="1">
        <f>DATE(2013,3,21) + TIME(23,27,53)</f>
        <v>41354.977696759262</v>
      </c>
      <c r="C1350">
        <v>1294.46875</v>
      </c>
      <c r="D1350">
        <v>1278.2185059000001</v>
      </c>
      <c r="E1350">
        <v>1390.6539307</v>
      </c>
      <c r="F1350">
        <v>1371.1418457</v>
      </c>
      <c r="G1350">
        <v>80</v>
      </c>
      <c r="H1350">
        <v>66.544822693</v>
      </c>
      <c r="I1350">
        <v>50</v>
      </c>
      <c r="J1350">
        <v>49.974357605000002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1059.2168260000001</v>
      </c>
      <c r="B1351" s="1">
        <f>DATE(2013,3,25) + TIME(5,12,13)</f>
        <v>41358.216817129629</v>
      </c>
      <c r="C1351">
        <v>1294.0919189000001</v>
      </c>
      <c r="D1351">
        <v>1277.6575928</v>
      </c>
      <c r="E1351">
        <v>1390.6357422000001</v>
      </c>
      <c r="F1351">
        <v>1371.1269531</v>
      </c>
      <c r="G1351">
        <v>80</v>
      </c>
      <c r="H1351">
        <v>66.082389832000004</v>
      </c>
      <c r="I1351">
        <v>50</v>
      </c>
      <c r="J1351">
        <v>49.974403381000002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1062.550176</v>
      </c>
      <c r="B1352" s="1">
        <f>DATE(2013,3,28) + TIME(13,12,15)</f>
        <v>41361.550173611111</v>
      </c>
      <c r="C1352">
        <v>1293.7091064000001</v>
      </c>
      <c r="D1352">
        <v>1277.0855713000001</v>
      </c>
      <c r="E1352">
        <v>1390.6162108999999</v>
      </c>
      <c r="F1352">
        <v>1371.1108397999999</v>
      </c>
      <c r="G1352">
        <v>80</v>
      </c>
      <c r="H1352">
        <v>65.599021911999998</v>
      </c>
      <c r="I1352">
        <v>50</v>
      </c>
      <c r="J1352">
        <v>49.974445342999999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1066</v>
      </c>
      <c r="B1353" s="1">
        <f>DATE(2013,4,1) + TIME(0,0,0)</f>
        <v>41365</v>
      </c>
      <c r="C1353">
        <v>1293.3197021000001</v>
      </c>
      <c r="D1353">
        <v>1276.5010986</v>
      </c>
      <c r="E1353">
        <v>1390.5952147999999</v>
      </c>
      <c r="F1353">
        <v>1371.0931396000001</v>
      </c>
      <c r="G1353">
        <v>80</v>
      </c>
      <c r="H1353">
        <v>65.093147278000004</v>
      </c>
      <c r="I1353">
        <v>50</v>
      </c>
      <c r="J1353">
        <v>49.974491119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1069.4157909999999</v>
      </c>
      <c r="B1354" s="1">
        <f>DATE(2013,4,4) + TIME(9,58,44)</f>
        <v>41368.41578703704</v>
      </c>
      <c r="C1354">
        <v>1292.9228516000001</v>
      </c>
      <c r="D1354">
        <v>1275.9041748</v>
      </c>
      <c r="E1354">
        <v>1390.5722656</v>
      </c>
      <c r="F1354">
        <v>1371.0738524999999</v>
      </c>
      <c r="G1354">
        <v>80</v>
      </c>
      <c r="H1354">
        <v>64.567291260000005</v>
      </c>
      <c r="I1354">
        <v>50</v>
      </c>
      <c r="J1354">
        <v>49.974536895999996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1073.0694100000001</v>
      </c>
      <c r="B1355" s="1">
        <f>DATE(2013,4,8) + TIME(1,39,57)</f>
        <v>41372.069409722222</v>
      </c>
      <c r="C1355">
        <v>1292.5336914</v>
      </c>
      <c r="D1355">
        <v>1275.3133545000001</v>
      </c>
      <c r="E1355">
        <v>1390.5487060999999</v>
      </c>
      <c r="F1355">
        <v>1371.0538329999999</v>
      </c>
      <c r="G1355">
        <v>80</v>
      </c>
      <c r="H1355">
        <v>64.030555724999999</v>
      </c>
      <c r="I1355">
        <v>50</v>
      </c>
      <c r="J1355">
        <v>49.974582671999997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1076.8507870000001</v>
      </c>
      <c r="B1356" s="1">
        <f>DATE(2013,4,11) + TIME(20,25,7)</f>
        <v>41375.850775462961</v>
      </c>
      <c r="C1356">
        <v>1292.128418</v>
      </c>
      <c r="D1356">
        <v>1274.6981201000001</v>
      </c>
      <c r="E1356">
        <v>1390.5224608999999</v>
      </c>
      <c r="F1356">
        <v>1371.03125</v>
      </c>
      <c r="G1356">
        <v>80</v>
      </c>
      <c r="H1356">
        <v>63.461326599000003</v>
      </c>
      <c r="I1356">
        <v>50</v>
      </c>
      <c r="J1356">
        <v>49.974632262999997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1080.7886579999999</v>
      </c>
      <c r="B1357" s="1">
        <f>DATE(2013,4,15) + TIME(18,55,40)</f>
        <v>41379.788657407407</v>
      </c>
      <c r="C1357">
        <v>1291.7167969</v>
      </c>
      <c r="D1357">
        <v>1274.0699463000001</v>
      </c>
      <c r="E1357">
        <v>1390.4941406</v>
      </c>
      <c r="F1357">
        <v>1371.0068358999999</v>
      </c>
      <c r="G1357">
        <v>80</v>
      </c>
      <c r="H1357">
        <v>62.867355347</v>
      </c>
      <c r="I1357">
        <v>50</v>
      </c>
      <c r="J1357">
        <v>49.974685669000003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1084.8303880000001</v>
      </c>
      <c r="B1358" s="1">
        <f>DATE(2013,4,19) + TIME(19,55,45)</f>
        <v>41383.830381944441</v>
      </c>
      <c r="C1358">
        <v>1291.2988281</v>
      </c>
      <c r="D1358">
        <v>1273.4295654</v>
      </c>
      <c r="E1358">
        <v>1390.4636230000001</v>
      </c>
      <c r="F1358">
        <v>1370.9802245999999</v>
      </c>
      <c r="G1358">
        <v>80</v>
      </c>
      <c r="H1358">
        <v>62.249835967999999</v>
      </c>
      <c r="I1358">
        <v>50</v>
      </c>
      <c r="J1358">
        <v>49.974735260000003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1088.956788</v>
      </c>
      <c r="B1359" s="1">
        <f>DATE(2013,4,23) + TIME(22,57,46)</f>
        <v>41387.956782407404</v>
      </c>
      <c r="C1359">
        <v>1290.8808594</v>
      </c>
      <c r="D1359">
        <v>1272.7862548999999</v>
      </c>
      <c r="E1359">
        <v>1390.4310303</v>
      </c>
      <c r="F1359">
        <v>1370.9517822</v>
      </c>
      <c r="G1359">
        <v>80</v>
      </c>
      <c r="H1359">
        <v>61.616939545000001</v>
      </c>
      <c r="I1359">
        <v>50</v>
      </c>
      <c r="J1359">
        <v>49.974788666000002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1093.164047</v>
      </c>
      <c r="B1360" s="1">
        <f>DATE(2013,4,28) + TIME(3,56,13)</f>
        <v>41392.164039351854</v>
      </c>
      <c r="C1360">
        <v>1290.4667969</v>
      </c>
      <c r="D1360">
        <v>1272.1459961</v>
      </c>
      <c r="E1360">
        <v>1390.3968506000001</v>
      </c>
      <c r="F1360">
        <v>1370.9215088000001</v>
      </c>
      <c r="G1360">
        <v>80</v>
      </c>
      <c r="H1360">
        <v>60.974273682000003</v>
      </c>
      <c r="I1360">
        <v>50</v>
      </c>
      <c r="J1360">
        <v>49.974842072000001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1096</v>
      </c>
      <c r="B1361" s="1">
        <f>DATE(2013,5,1) + TIME(0,0,0)</f>
        <v>41395</v>
      </c>
      <c r="C1361">
        <v>1290.0603027</v>
      </c>
      <c r="D1361">
        <v>1271.5279541</v>
      </c>
      <c r="E1361">
        <v>1390.3604736</v>
      </c>
      <c r="F1361">
        <v>1370.8892822</v>
      </c>
      <c r="G1361">
        <v>80</v>
      </c>
      <c r="H1361">
        <v>60.370552062999998</v>
      </c>
      <c r="I1361">
        <v>50</v>
      </c>
      <c r="J1361">
        <v>49.974876404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1096.0000010000001</v>
      </c>
      <c r="B1362" s="1">
        <f>DATE(2013,5,1) + TIME(0,0,0)</f>
        <v>41395</v>
      </c>
      <c r="C1362">
        <v>1310.1871338000001</v>
      </c>
      <c r="D1362">
        <v>1291.0661620999999</v>
      </c>
      <c r="E1362">
        <v>1370.0147704999999</v>
      </c>
      <c r="F1362">
        <v>1351.1451416</v>
      </c>
      <c r="G1362">
        <v>80</v>
      </c>
      <c r="H1362">
        <v>60.370712279999999</v>
      </c>
      <c r="I1362">
        <v>50</v>
      </c>
      <c r="J1362">
        <v>49.974765777999998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1096.000004</v>
      </c>
      <c r="B1363" s="1">
        <f>DATE(2013,5,1) + TIME(0,0,0)</f>
        <v>41395</v>
      </c>
      <c r="C1363">
        <v>1312.5549315999999</v>
      </c>
      <c r="D1363">
        <v>1293.6845702999999</v>
      </c>
      <c r="E1363">
        <v>1367.6823730000001</v>
      </c>
      <c r="F1363">
        <v>1348.8120117000001</v>
      </c>
      <c r="G1363">
        <v>80</v>
      </c>
      <c r="H1363">
        <v>60.371135711999997</v>
      </c>
      <c r="I1363">
        <v>50</v>
      </c>
      <c r="J1363">
        <v>49.974472046000002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1096.0000130000001</v>
      </c>
      <c r="B1364" s="1">
        <f>DATE(2013,5,1) + TIME(0,0,1)</f>
        <v>41395.000011574077</v>
      </c>
      <c r="C1364">
        <v>1317.8226318</v>
      </c>
      <c r="D1364">
        <v>1299.2937012</v>
      </c>
      <c r="E1364">
        <v>1362.4500731999999</v>
      </c>
      <c r="F1364">
        <v>1343.5787353999999</v>
      </c>
      <c r="G1364">
        <v>80</v>
      </c>
      <c r="H1364">
        <v>60.372116089000002</v>
      </c>
      <c r="I1364">
        <v>50</v>
      </c>
      <c r="J1364">
        <v>49.973812103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1096.0000399999999</v>
      </c>
      <c r="B1365" s="1">
        <f>DATE(2013,5,1) + TIME(0,0,3)</f>
        <v>41395.000034722223</v>
      </c>
      <c r="C1365">
        <v>1326.5449219</v>
      </c>
      <c r="D1365">
        <v>1308.1674805</v>
      </c>
      <c r="E1365">
        <v>1353.7061768000001</v>
      </c>
      <c r="F1365">
        <v>1334.8356934000001</v>
      </c>
      <c r="G1365">
        <v>80</v>
      </c>
      <c r="H1365">
        <v>60.374004364000001</v>
      </c>
      <c r="I1365">
        <v>50</v>
      </c>
      <c r="J1365">
        <v>49.972709655999999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1096.000121</v>
      </c>
      <c r="B1366" s="1">
        <f>DATE(2013,5,1) + TIME(0,0,10)</f>
        <v>41395.000115740739</v>
      </c>
      <c r="C1366">
        <v>1337.1773682</v>
      </c>
      <c r="D1366">
        <v>1318.6915283000001</v>
      </c>
      <c r="E1366">
        <v>1343.0324707</v>
      </c>
      <c r="F1366">
        <v>1324.166626</v>
      </c>
      <c r="G1366">
        <v>80</v>
      </c>
      <c r="H1366">
        <v>60.377563477000002</v>
      </c>
      <c r="I1366">
        <v>50</v>
      </c>
      <c r="J1366">
        <v>49.971355438000003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1096.000364</v>
      </c>
      <c r="B1367" s="1">
        <f>DATE(2013,5,1) + TIME(0,0,31)</f>
        <v>41395.000358796293</v>
      </c>
      <c r="C1367">
        <v>1348.2393798999999</v>
      </c>
      <c r="D1367">
        <v>1329.5924072</v>
      </c>
      <c r="E1367">
        <v>1332.0441894999999</v>
      </c>
      <c r="F1367">
        <v>1313.1873779</v>
      </c>
      <c r="G1367">
        <v>80</v>
      </c>
      <c r="H1367">
        <v>60.385578156000001</v>
      </c>
      <c r="I1367">
        <v>50</v>
      </c>
      <c r="J1367">
        <v>49.969947814999998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1096.0010930000001</v>
      </c>
      <c r="B1368" s="1">
        <f>DATE(2013,5,1) + TIME(0,1,34)</f>
        <v>41395.001087962963</v>
      </c>
      <c r="C1368">
        <v>1359.5452881000001</v>
      </c>
      <c r="D1368">
        <v>1340.7224120999999</v>
      </c>
      <c r="E1368">
        <v>1321.0894774999999</v>
      </c>
      <c r="F1368">
        <v>1302.2398682</v>
      </c>
      <c r="G1368">
        <v>80</v>
      </c>
      <c r="H1368">
        <v>60.406944275000001</v>
      </c>
      <c r="I1368">
        <v>50</v>
      </c>
      <c r="J1368">
        <v>49.968486786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1096.0032799999999</v>
      </c>
      <c r="B1369" s="1">
        <f>DATE(2013,5,1) + TIME(0,4,43)</f>
        <v>41395.003275462965</v>
      </c>
      <c r="C1369">
        <v>1370.9763184000001</v>
      </c>
      <c r="D1369">
        <v>1351.9686279</v>
      </c>
      <c r="E1369">
        <v>1310.4121094</v>
      </c>
      <c r="F1369">
        <v>1291.5295410000001</v>
      </c>
      <c r="G1369">
        <v>80</v>
      </c>
      <c r="H1369">
        <v>60.468574523999997</v>
      </c>
      <c r="I1369">
        <v>50</v>
      </c>
      <c r="J1369">
        <v>49.966892242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1096.0098410000001</v>
      </c>
      <c r="B1370" s="1">
        <f>DATE(2013,5,1) + TIME(0,14,10)</f>
        <v>41395.009837962964</v>
      </c>
      <c r="C1370">
        <v>1381.1212158000001</v>
      </c>
      <c r="D1370">
        <v>1362.0150146000001</v>
      </c>
      <c r="E1370">
        <v>1301.0589600000001</v>
      </c>
      <c r="F1370">
        <v>1282.0996094</v>
      </c>
      <c r="G1370">
        <v>80</v>
      </c>
      <c r="H1370">
        <v>60.65007782</v>
      </c>
      <c r="I1370">
        <v>50</v>
      </c>
      <c r="J1370">
        <v>49.964962006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1096.029524</v>
      </c>
      <c r="B1371" s="1">
        <f>DATE(2013,5,1) + TIME(0,42,30)</f>
        <v>41395.029513888891</v>
      </c>
      <c r="C1371">
        <v>1387.9337158000001</v>
      </c>
      <c r="D1371">
        <v>1368.9300536999999</v>
      </c>
      <c r="E1371">
        <v>1294.6633300999999</v>
      </c>
      <c r="F1371">
        <v>1275.6477050999999</v>
      </c>
      <c r="G1371">
        <v>80</v>
      </c>
      <c r="H1371">
        <v>61.178028107000003</v>
      </c>
      <c r="I1371">
        <v>50</v>
      </c>
      <c r="J1371">
        <v>49.961940765000001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1096.0555589999999</v>
      </c>
      <c r="B1372" s="1">
        <f>DATE(2013,5,1) + TIME(1,20,0)</f>
        <v>41395.055555555555</v>
      </c>
      <c r="C1372">
        <v>1390.2862548999999</v>
      </c>
      <c r="D1372">
        <v>1371.4632568</v>
      </c>
      <c r="E1372">
        <v>1292.4913329999999</v>
      </c>
      <c r="F1372">
        <v>1273.4589844</v>
      </c>
      <c r="G1372">
        <v>80</v>
      </c>
      <c r="H1372">
        <v>61.850860595999997</v>
      </c>
      <c r="I1372">
        <v>50</v>
      </c>
      <c r="J1372">
        <v>49.958759307999998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1096.0821659999999</v>
      </c>
      <c r="B1373" s="1">
        <f>DATE(2013,5,1) + TIME(1,58,19)</f>
        <v>41395.08216435185</v>
      </c>
      <c r="C1373">
        <v>1390.9881591999999</v>
      </c>
      <c r="D1373">
        <v>1372.3395995999999</v>
      </c>
      <c r="E1373">
        <v>1291.8790283000001</v>
      </c>
      <c r="F1373">
        <v>1272.8417969</v>
      </c>
      <c r="G1373">
        <v>80</v>
      </c>
      <c r="H1373">
        <v>62.513507842999999</v>
      </c>
      <c r="I1373">
        <v>50</v>
      </c>
      <c r="J1373">
        <v>49.955734253000003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1096.109342</v>
      </c>
      <c r="B1374" s="1">
        <f>DATE(2013,5,1) + TIME(2,37,27)</f>
        <v>41395.109340277777</v>
      </c>
      <c r="C1374">
        <v>1391.1352539</v>
      </c>
      <c r="D1374">
        <v>1372.6551514</v>
      </c>
      <c r="E1374">
        <v>1291.7313231999999</v>
      </c>
      <c r="F1374">
        <v>1272.6925048999999</v>
      </c>
      <c r="G1374">
        <v>80</v>
      </c>
      <c r="H1374">
        <v>63.165378570999998</v>
      </c>
      <c r="I1374">
        <v>50</v>
      </c>
      <c r="J1374">
        <v>49.952732085999997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1096.1371099999999</v>
      </c>
      <c r="B1375" s="1">
        <f>DATE(2013,5,1) + TIME(3,17,26)</f>
        <v>41395.137106481481</v>
      </c>
      <c r="C1375">
        <v>1391.0682373</v>
      </c>
      <c r="D1375">
        <v>1372.7506103999999</v>
      </c>
      <c r="E1375">
        <v>1291.7200928</v>
      </c>
      <c r="F1375">
        <v>1272.6805420000001</v>
      </c>
      <c r="G1375">
        <v>80</v>
      </c>
      <c r="H1375">
        <v>63.806415557999998</v>
      </c>
      <c r="I1375">
        <v>50</v>
      </c>
      <c r="J1375">
        <v>49.949710846000002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1096.165495</v>
      </c>
      <c r="B1376" s="1">
        <f>DATE(2013,5,1) + TIME(3,58,18)</f>
        <v>41395.165486111109</v>
      </c>
      <c r="C1376">
        <v>1390.9121094</v>
      </c>
      <c r="D1376">
        <v>1372.7509766000001</v>
      </c>
      <c r="E1376">
        <v>1291.7413329999999</v>
      </c>
      <c r="F1376">
        <v>1272.7014160000001</v>
      </c>
      <c r="G1376">
        <v>80</v>
      </c>
      <c r="H1376">
        <v>64.436561584000003</v>
      </c>
      <c r="I1376">
        <v>50</v>
      </c>
      <c r="J1376">
        <v>49.946655272999998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1096.1945350000001</v>
      </c>
      <c r="B1377" s="1">
        <f>DATE(2013,5,1) + TIME(4,40,7)</f>
        <v>41395.194525462961</v>
      </c>
      <c r="C1377">
        <v>1390.7178954999999</v>
      </c>
      <c r="D1377">
        <v>1372.7078856999999</v>
      </c>
      <c r="E1377">
        <v>1291.7639160000001</v>
      </c>
      <c r="F1377">
        <v>1272.7238769999999</v>
      </c>
      <c r="G1377">
        <v>80</v>
      </c>
      <c r="H1377">
        <v>65.055923461999996</v>
      </c>
      <c r="I1377">
        <v>50</v>
      </c>
      <c r="J1377">
        <v>49.943561553999999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1096.2242650000001</v>
      </c>
      <c r="B1378" s="1">
        <f>DATE(2013,5,1) + TIME(5,22,56)</f>
        <v>41395.224259259259</v>
      </c>
      <c r="C1378">
        <v>1390.5086670000001</v>
      </c>
      <c r="D1378">
        <v>1372.6442870999999</v>
      </c>
      <c r="E1378">
        <v>1291.7808838000001</v>
      </c>
      <c r="F1378">
        <v>1272.7406006000001</v>
      </c>
      <c r="G1378">
        <v>80</v>
      </c>
      <c r="H1378">
        <v>65.66468811</v>
      </c>
      <c r="I1378">
        <v>50</v>
      </c>
      <c r="J1378">
        <v>49.940425873000002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1096.2547279999999</v>
      </c>
      <c r="B1379" s="1">
        <f>DATE(2013,5,1) + TIME(6,6,48)</f>
        <v>41395.25472222222</v>
      </c>
      <c r="C1379">
        <v>1390.2949219</v>
      </c>
      <c r="D1379">
        <v>1372.5711670000001</v>
      </c>
      <c r="E1379">
        <v>1291.7921143000001</v>
      </c>
      <c r="F1379">
        <v>1272.7515868999999</v>
      </c>
      <c r="G1379">
        <v>80</v>
      </c>
      <c r="H1379">
        <v>66.262763977000006</v>
      </c>
      <c r="I1379">
        <v>50</v>
      </c>
      <c r="J1379">
        <v>49.937240600999999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1096.2859639999999</v>
      </c>
      <c r="B1380" s="1">
        <f>DATE(2013,5,1) + TIME(6,51,47)</f>
        <v>41395.285960648151</v>
      </c>
      <c r="C1380">
        <v>1390.0821533000001</v>
      </c>
      <c r="D1380">
        <v>1372.4940185999999</v>
      </c>
      <c r="E1380">
        <v>1291.7991943</v>
      </c>
      <c r="F1380">
        <v>1272.7583007999999</v>
      </c>
      <c r="G1380">
        <v>80</v>
      </c>
      <c r="H1380">
        <v>66.850166321000003</v>
      </c>
      <c r="I1380">
        <v>50</v>
      </c>
      <c r="J1380">
        <v>49.934009551999999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1096.3180199999999</v>
      </c>
      <c r="B1381" s="1">
        <f>DATE(2013,5,1) + TIME(7,37,56)</f>
        <v>41395.318009259259</v>
      </c>
      <c r="C1381">
        <v>1389.8729248</v>
      </c>
      <c r="D1381">
        <v>1372.4156493999999</v>
      </c>
      <c r="E1381">
        <v>1291.8034668</v>
      </c>
      <c r="F1381">
        <v>1272.7624512</v>
      </c>
      <c r="G1381">
        <v>80</v>
      </c>
      <c r="H1381">
        <v>67.426887511999993</v>
      </c>
      <c r="I1381">
        <v>50</v>
      </c>
      <c r="J1381">
        <v>49.930721282999997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1096.350946</v>
      </c>
      <c r="B1382" s="1">
        <f>DATE(2013,5,1) + TIME(8,25,21)</f>
        <v>41395.350937499999</v>
      </c>
      <c r="C1382">
        <v>1389.668457</v>
      </c>
      <c r="D1382">
        <v>1372.3376464999999</v>
      </c>
      <c r="E1382">
        <v>1291.8060303</v>
      </c>
      <c r="F1382">
        <v>1272.7647704999999</v>
      </c>
      <c r="G1382">
        <v>80</v>
      </c>
      <c r="H1382">
        <v>67.992927550999994</v>
      </c>
      <c r="I1382">
        <v>50</v>
      </c>
      <c r="J1382">
        <v>49.927379608000003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1096.3847969999999</v>
      </c>
      <c r="B1383" s="1">
        <f>DATE(2013,5,1) + TIME(9,14,6)</f>
        <v>41395.384791666664</v>
      </c>
      <c r="C1383">
        <v>1389.4693603999999</v>
      </c>
      <c r="D1383">
        <v>1372.2604980000001</v>
      </c>
      <c r="E1383">
        <v>1291.8077393000001</v>
      </c>
      <c r="F1383">
        <v>1272.7661132999999</v>
      </c>
      <c r="G1383">
        <v>80</v>
      </c>
      <c r="H1383">
        <v>68.548255920000003</v>
      </c>
      <c r="I1383">
        <v>50</v>
      </c>
      <c r="J1383">
        <v>49.923980712999999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1096.419631</v>
      </c>
      <c r="B1384" s="1">
        <f>DATE(2013,5,1) + TIME(10,4,16)</f>
        <v>41395.419629629629</v>
      </c>
      <c r="C1384">
        <v>1389.2757568</v>
      </c>
      <c r="D1384">
        <v>1372.1846923999999</v>
      </c>
      <c r="E1384">
        <v>1291.8087158000001</v>
      </c>
      <c r="F1384">
        <v>1272.7668457</v>
      </c>
      <c r="G1384">
        <v>80</v>
      </c>
      <c r="H1384">
        <v>69.092849731000001</v>
      </c>
      <c r="I1384">
        <v>50</v>
      </c>
      <c r="J1384">
        <v>49.920513153000002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1096.455512</v>
      </c>
      <c r="B1385" s="1">
        <f>DATE(2013,5,1) + TIME(10,55,56)</f>
        <v>41395.455509259256</v>
      </c>
      <c r="C1385">
        <v>1389.0877685999999</v>
      </c>
      <c r="D1385">
        <v>1372.1104736</v>
      </c>
      <c r="E1385">
        <v>1291.8094481999999</v>
      </c>
      <c r="F1385">
        <v>1272.7672118999999</v>
      </c>
      <c r="G1385">
        <v>80</v>
      </c>
      <c r="H1385">
        <v>69.626655579000001</v>
      </c>
      <c r="I1385">
        <v>50</v>
      </c>
      <c r="J1385">
        <v>49.916980743000003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1096.492518</v>
      </c>
      <c r="B1386" s="1">
        <f>DATE(2013,5,1) + TIME(11,49,13)</f>
        <v>41395.492511574077</v>
      </c>
      <c r="C1386">
        <v>1388.9050293</v>
      </c>
      <c r="D1386">
        <v>1372.0375977000001</v>
      </c>
      <c r="E1386">
        <v>1291.8098144999999</v>
      </c>
      <c r="F1386">
        <v>1272.7673339999999</v>
      </c>
      <c r="G1386">
        <v>80</v>
      </c>
      <c r="H1386">
        <v>70.149597168</v>
      </c>
      <c r="I1386">
        <v>50</v>
      </c>
      <c r="J1386">
        <v>49.913372039999999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1096.5307310000001</v>
      </c>
      <c r="B1387" s="1">
        <f>DATE(2013,5,1) + TIME(12,44,15)</f>
        <v>41395.530729166669</v>
      </c>
      <c r="C1387">
        <v>1388.7275391000001</v>
      </c>
      <c r="D1387">
        <v>1371.9661865</v>
      </c>
      <c r="E1387">
        <v>1291.8101807</v>
      </c>
      <c r="F1387">
        <v>1272.7673339999999</v>
      </c>
      <c r="G1387">
        <v>80</v>
      </c>
      <c r="H1387">
        <v>70.661499023000005</v>
      </c>
      <c r="I1387">
        <v>50</v>
      </c>
      <c r="J1387">
        <v>49.909687042000002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1096.5702269999999</v>
      </c>
      <c r="B1388" s="1">
        <f>DATE(2013,5,1) + TIME(13,41,7)</f>
        <v>41395.570219907408</v>
      </c>
      <c r="C1388">
        <v>1388.5550536999999</v>
      </c>
      <c r="D1388">
        <v>1371.8959961</v>
      </c>
      <c r="E1388">
        <v>1291.8103027</v>
      </c>
      <c r="F1388">
        <v>1272.7672118999999</v>
      </c>
      <c r="G1388">
        <v>80</v>
      </c>
      <c r="H1388">
        <v>71.162399292000003</v>
      </c>
      <c r="I1388">
        <v>50</v>
      </c>
      <c r="J1388">
        <v>49.905914307000003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1096.6111000000001</v>
      </c>
      <c r="B1389" s="1">
        <f>DATE(2013,5,1) + TIME(14,39,59)</f>
        <v>41395.61109953704</v>
      </c>
      <c r="C1389">
        <v>1388.387207</v>
      </c>
      <c r="D1389">
        <v>1371.8271483999999</v>
      </c>
      <c r="E1389">
        <v>1291.8104248</v>
      </c>
      <c r="F1389">
        <v>1272.7669678</v>
      </c>
      <c r="G1389">
        <v>80</v>
      </c>
      <c r="H1389">
        <v>71.652183532999999</v>
      </c>
      <c r="I1389">
        <v>50</v>
      </c>
      <c r="J1389">
        <v>49.902053832999997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1096.6534529999999</v>
      </c>
      <c r="B1390" s="1">
        <f>DATE(2013,5,1) + TIME(15,40,58)</f>
        <v>41395.653449074074</v>
      </c>
      <c r="C1390">
        <v>1388.223999</v>
      </c>
      <c r="D1390">
        <v>1371.7593993999999</v>
      </c>
      <c r="E1390">
        <v>1291.8105469</v>
      </c>
      <c r="F1390">
        <v>1272.7667236</v>
      </c>
      <c r="G1390">
        <v>80</v>
      </c>
      <c r="H1390">
        <v>72.130760193</v>
      </c>
      <c r="I1390">
        <v>50</v>
      </c>
      <c r="J1390">
        <v>49.898094176999997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1096.6974029999999</v>
      </c>
      <c r="B1391" s="1">
        <f>DATE(2013,5,1) + TIME(16,44,15)</f>
        <v>41395.697395833333</v>
      </c>
      <c r="C1391">
        <v>1388.0650635</v>
      </c>
      <c r="D1391">
        <v>1371.6925048999999</v>
      </c>
      <c r="E1391">
        <v>1291.8105469</v>
      </c>
      <c r="F1391">
        <v>1272.7663574000001</v>
      </c>
      <c r="G1391">
        <v>80</v>
      </c>
      <c r="H1391">
        <v>72.597991942999997</v>
      </c>
      <c r="I1391">
        <v>50</v>
      </c>
      <c r="J1391">
        <v>49.894027710000003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1096.7430790000001</v>
      </c>
      <c r="B1392" s="1">
        <f>DATE(2013,5,1) + TIME(17,50,1)</f>
        <v>41395.743067129632</v>
      </c>
      <c r="C1392">
        <v>1387.9100341999999</v>
      </c>
      <c r="D1392">
        <v>1371.6265868999999</v>
      </c>
      <c r="E1392">
        <v>1291.8105469</v>
      </c>
      <c r="F1392">
        <v>1272.7659911999999</v>
      </c>
      <c r="G1392">
        <v>80</v>
      </c>
      <c r="H1392">
        <v>73.053756714000002</v>
      </c>
      <c r="I1392">
        <v>50</v>
      </c>
      <c r="J1392">
        <v>49.889842987000002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1096.7906250000001</v>
      </c>
      <c r="B1393" s="1">
        <f>DATE(2013,5,1) + TIME(18,58,30)</f>
        <v>41395.790625000001</v>
      </c>
      <c r="C1393">
        <v>1387.7589111</v>
      </c>
      <c r="D1393">
        <v>1371.5612793</v>
      </c>
      <c r="E1393">
        <v>1291.8104248</v>
      </c>
      <c r="F1393">
        <v>1272.7655029</v>
      </c>
      <c r="G1393">
        <v>80</v>
      </c>
      <c r="H1393">
        <v>73.497886657999999</v>
      </c>
      <c r="I1393">
        <v>50</v>
      </c>
      <c r="J1393">
        <v>49.885540009000003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1096.8402060000001</v>
      </c>
      <c r="B1394" s="1">
        <f>DATE(2013,5,1) + TIME(20,9,53)</f>
        <v>41395.840196759258</v>
      </c>
      <c r="C1394">
        <v>1387.6113281</v>
      </c>
      <c r="D1394">
        <v>1371.496582</v>
      </c>
      <c r="E1394">
        <v>1291.8104248</v>
      </c>
      <c r="F1394">
        <v>1272.7650146000001</v>
      </c>
      <c r="G1394">
        <v>80</v>
      </c>
      <c r="H1394">
        <v>73.930236816000004</v>
      </c>
      <c r="I1394">
        <v>50</v>
      </c>
      <c r="J1394">
        <v>49.881095885999997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1096.8920049999999</v>
      </c>
      <c r="B1395" s="1">
        <f>DATE(2013,5,1) + TIME(21,24,29)</f>
        <v>41395.892002314817</v>
      </c>
      <c r="C1395">
        <v>1387.4671631000001</v>
      </c>
      <c r="D1395">
        <v>1371.432251</v>
      </c>
      <c r="E1395">
        <v>1291.8101807</v>
      </c>
      <c r="F1395">
        <v>1272.7644043</v>
      </c>
      <c r="G1395">
        <v>80</v>
      </c>
      <c r="H1395">
        <v>74.350601196</v>
      </c>
      <c r="I1395">
        <v>50</v>
      </c>
      <c r="J1395">
        <v>49.876506804999998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1096.946232</v>
      </c>
      <c r="B1396" s="1">
        <f>DATE(2013,5,1) + TIME(22,42,34)</f>
        <v>41395.946226851855</v>
      </c>
      <c r="C1396">
        <v>1387.3260498</v>
      </c>
      <c r="D1396">
        <v>1371.3681641000001</v>
      </c>
      <c r="E1396">
        <v>1291.8100586</v>
      </c>
      <c r="F1396">
        <v>1272.7637939000001</v>
      </c>
      <c r="G1396">
        <v>80</v>
      </c>
      <c r="H1396">
        <v>74.758796692000004</v>
      </c>
      <c r="I1396">
        <v>50</v>
      </c>
      <c r="J1396">
        <v>49.871757506999998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1097.00317</v>
      </c>
      <c r="B1397" s="1">
        <f>DATE(2013,5,2) + TIME(0,4,33)</f>
        <v>41396.003159722219</v>
      </c>
      <c r="C1397">
        <v>1387.1877440999999</v>
      </c>
      <c r="D1397">
        <v>1371.3041992000001</v>
      </c>
      <c r="E1397">
        <v>1291.8098144999999</v>
      </c>
      <c r="F1397">
        <v>1272.7630615</v>
      </c>
      <c r="G1397">
        <v>80</v>
      </c>
      <c r="H1397">
        <v>75.154754639000004</v>
      </c>
      <c r="I1397">
        <v>50</v>
      </c>
      <c r="J1397">
        <v>49.866825104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1097.06306</v>
      </c>
      <c r="B1398" s="1">
        <f>DATE(2013,5,2) + TIME(1,30,48)</f>
        <v>41396.063055555554</v>
      </c>
      <c r="C1398">
        <v>1387.0520019999999</v>
      </c>
      <c r="D1398">
        <v>1371.2402344</v>
      </c>
      <c r="E1398">
        <v>1291.8095702999999</v>
      </c>
      <c r="F1398">
        <v>1272.7623291</v>
      </c>
      <c r="G1398">
        <v>80</v>
      </c>
      <c r="H1398">
        <v>75.537918090999995</v>
      </c>
      <c r="I1398">
        <v>50</v>
      </c>
      <c r="J1398">
        <v>49.861694335999999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1097.1262220000001</v>
      </c>
      <c r="B1399" s="1">
        <f>DATE(2013,5,2) + TIME(3,1,45)</f>
        <v>41396.126215277778</v>
      </c>
      <c r="C1399">
        <v>1386.9187012</v>
      </c>
      <c r="D1399">
        <v>1371.1760254000001</v>
      </c>
      <c r="E1399">
        <v>1291.8093262</v>
      </c>
      <c r="F1399">
        <v>1272.7615966999999</v>
      </c>
      <c r="G1399">
        <v>80</v>
      </c>
      <c r="H1399">
        <v>75.908180236999996</v>
      </c>
      <c r="I1399">
        <v>50</v>
      </c>
      <c r="J1399">
        <v>49.856349944999998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1097.193033</v>
      </c>
      <c r="B1400" s="1">
        <f>DATE(2013,5,2) + TIME(4,37,58)</f>
        <v>41396.193032407406</v>
      </c>
      <c r="C1400">
        <v>1386.7875977000001</v>
      </c>
      <c r="D1400">
        <v>1371.1114502</v>
      </c>
      <c r="E1400">
        <v>1291.8089600000001</v>
      </c>
      <c r="F1400">
        <v>1272.7607422000001</v>
      </c>
      <c r="G1400">
        <v>80</v>
      </c>
      <c r="H1400">
        <v>76.265289307000003</v>
      </c>
      <c r="I1400">
        <v>50</v>
      </c>
      <c r="J1400">
        <v>49.850761413999997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1097.2639340000001</v>
      </c>
      <c r="B1401" s="1">
        <f>DATE(2013,5,2) + TIME(6,20,3)</f>
        <v>41396.263923611114</v>
      </c>
      <c r="C1401">
        <v>1386.6583252</v>
      </c>
      <c r="D1401">
        <v>1371.0461425999999</v>
      </c>
      <c r="E1401">
        <v>1291.8085937999999</v>
      </c>
      <c r="F1401">
        <v>1272.7598877</v>
      </c>
      <c r="G1401">
        <v>80</v>
      </c>
      <c r="H1401">
        <v>76.608940125000004</v>
      </c>
      <c r="I1401">
        <v>50</v>
      </c>
      <c r="J1401">
        <v>49.844902038999997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1097.3394350000001</v>
      </c>
      <c r="B1402" s="1">
        <f>DATE(2013,5,2) + TIME(8,8,47)</f>
        <v>41396.339432870373</v>
      </c>
      <c r="C1402">
        <v>1386.5307617000001</v>
      </c>
      <c r="D1402">
        <v>1370.9802245999999</v>
      </c>
      <c r="E1402">
        <v>1291.8082274999999</v>
      </c>
      <c r="F1402">
        <v>1272.7590332</v>
      </c>
      <c r="G1402">
        <v>80</v>
      </c>
      <c r="H1402">
        <v>76.938758849999999</v>
      </c>
      <c r="I1402">
        <v>50</v>
      </c>
      <c r="J1402">
        <v>49.838741302000003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1097.4201700000001</v>
      </c>
      <c r="B1403" s="1">
        <f>DATE(2013,5,2) + TIME(10,5,2)</f>
        <v>41396.420162037037</v>
      </c>
      <c r="C1403">
        <v>1386.4044189000001</v>
      </c>
      <c r="D1403">
        <v>1370.9130858999999</v>
      </c>
      <c r="E1403">
        <v>1291.8078613</v>
      </c>
      <c r="F1403">
        <v>1272.7579346</v>
      </c>
      <c r="G1403">
        <v>80</v>
      </c>
      <c r="H1403">
        <v>77.254440308</v>
      </c>
      <c r="I1403">
        <v>50</v>
      </c>
      <c r="J1403">
        <v>49.832237243999998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1097.506905</v>
      </c>
      <c r="B1404" s="1">
        <f>DATE(2013,5,2) + TIME(12,9,56)</f>
        <v>41396.506898148145</v>
      </c>
      <c r="C1404">
        <v>1386.2790527</v>
      </c>
      <c r="D1404">
        <v>1370.8447266000001</v>
      </c>
      <c r="E1404">
        <v>1291.8073730000001</v>
      </c>
      <c r="F1404">
        <v>1272.7569579999999</v>
      </c>
      <c r="G1404">
        <v>80</v>
      </c>
      <c r="H1404">
        <v>77.555633545000006</v>
      </c>
      <c r="I1404">
        <v>50</v>
      </c>
      <c r="J1404">
        <v>49.825344086000001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1097.600576</v>
      </c>
      <c r="B1405" s="1">
        <f>DATE(2013,5,2) + TIME(14,24,49)</f>
        <v>41396.60056712963</v>
      </c>
      <c r="C1405">
        <v>1386.1542969</v>
      </c>
      <c r="D1405">
        <v>1370.7746582</v>
      </c>
      <c r="E1405">
        <v>1291.8068848</v>
      </c>
      <c r="F1405">
        <v>1272.7557373</v>
      </c>
      <c r="G1405">
        <v>80</v>
      </c>
      <c r="H1405">
        <v>77.841926575000002</v>
      </c>
      <c r="I1405">
        <v>50</v>
      </c>
      <c r="J1405">
        <v>49.818000793000003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1097.7023469999999</v>
      </c>
      <c r="B1406" s="1">
        <f>DATE(2013,5,2) + TIME(16,51,22)</f>
        <v>41396.702337962961</v>
      </c>
      <c r="C1406">
        <v>1386.0296631000001</v>
      </c>
      <c r="D1406">
        <v>1370.7026367000001</v>
      </c>
      <c r="E1406">
        <v>1291.8063964999999</v>
      </c>
      <c r="F1406">
        <v>1272.7545166</v>
      </c>
      <c r="G1406">
        <v>80</v>
      </c>
      <c r="H1406">
        <v>78.112884520999998</v>
      </c>
      <c r="I1406">
        <v>50</v>
      </c>
      <c r="J1406">
        <v>49.810138702000003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1097.813721</v>
      </c>
      <c r="B1407" s="1">
        <f>DATE(2013,5,2) + TIME(19,31,45)</f>
        <v>41396.813715277778</v>
      </c>
      <c r="C1407">
        <v>1385.9046631000001</v>
      </c>
      <c r="D1407">
        <v>1370.6281738</v>
      </c>
      <c r="E1407">
        <v>1291.8057861</v>
      </c>
      <c r="F1407">
        <v>1272.7531738</v>
      </c>
      <c r="G1407">
        <v>80</v>
      </c>
      <c r="H1407">
        <v>78.368072510000005</v>
      </c>
      <c r="I1407">
        <v>50</v>
      </c>
      <c r="J1407">
        <v>49.801662444999998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1097.9250999999999</v>
      </c>
      <c r="B1408" s="1">
        <f>DATE(2013,5,2) + TIME(22,12,8)</f>
        <v>41396.925092592595</v>
      </c>
      <c r="C1408">
        <v>1385.7882079999999</v>
      </c>
      <c r="D1408">
        <v>1370.5552978999999</v>
      </c>
      <c r="E1408">
        <v>1291.8050536999999</v>
      </c>
      <c r="F1408">
        <v>1272.7518310999999</v>
      </c>
      <c r="G1408">
        <v>80</v>
      </c>
      <c r="H1408">
        <v>78.587715149000005</v>
      </c>
      <c r="I1408">
        <v>50</v>
      </c>
      <c r="J1408">
        <v>49.793224334999998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1098.037067</v>
      </c>
      <c r="B1409" s="1">
        <f>DATE(2013,5,3) + TIME(0,53,22)</f>
        <v>41397.037060185183</v>
      </c>
      <c r="C1409">
        <v>1385.6791992000001</v>
      </c>
      <c r="D1409">
        <v>1370.4852295000001</v>
      </c>
      <c r="E1409">
        <v>1291.8043213000001</v>
      </c>
      <c r="F1409">
        <v>1272.7503661999999</v>
      </c>
      <c r="G1409">
        <v>80</v>
      </c>
      <c r="H1409">
        <v>78.777603149000001</v>
      </c>
      <c r="I1409">
        <v>50</v>
      </c>
      <c r="J1409">
        <v>49.784782409999998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1098.149919</v>
      </c>
      <c r="B1410" s="1">
        <f>DATE(2013,5,3) + TIME(3,35,52)</f>
        <v>41397.149907407409</v>
      </c>
      <c r="C1410">
        <v>1385.5766602000001</v>
      </c>
      <c r="D1410">
        <v>1370.4177245999999</v>
      </c>
      <c r="E1410">
        <v>1291.8035889</v>
      </c>
      <c r="F1410">
        <v>1272.7489014</v>
      </c>
      <c r="G1410">
        <v>80</v>
      </c>
      <c r="H1410">
        <v>78.94203186</v>
      </c>
      <c r="I1410">
        <v>50</v>
      </c>
      <c r="J1410">
        <v>49.776313782000003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1098.2639489999999</v>
      </c>
      <c r="B1411" s="1">
        <f>DATE(2013,5,3) + TIME(6,20,5)</f>
        <v>41397.26394675926</v>
      </c>
      <c r="C1411">
        <v>1385.4797363</v>
      </c>
      <c r="D1411">
        <v>1370.3522949000001</v>
      </c>
      <c r="E1411">
        <v>1291.8027344</v>
      </c>
      <c r="F1411">
        <v>1272.7474365</v>
      </c>
      <c r="G1411">
        <v>80</v>
      </c>
      <c r="H1411">
        <v>79.084571838000002</v>
      </c>
      <c r="I1411">
        <v>50</v>
      </c>
      <c r="J1411">
        <v>49.767803192000002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1098.379439</v>
      </c>
      <c r="B1412" s="1">
        <f>DATE(2013,5,3) + TIME(9,6,23)</f>
        <v>41397.379432870373</v>
      </c>
      <c r="C1412">
        <v>1385.3874512</v>
      </c>
      <c r="D1412">
        <v>1370.2886963000001</v>
      </c>
      <c r="E1412">
        <v>1291.8020019999999</v>
      </c>
      <c r="F1412">
        <v>1272.7459716999999</v>
      </c>
      <c r="G1412">
        <v>80</v>
      </c>
      <c r="H1412">
        <v>79.208206176999994</v>
      </c>
      <c r="I1412">
        <v>50</v>
      </c>
      <c r="J1412">
        <v>49.759231567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1098.4966810000001</v>
      </c>
      <c r="B1413" s="1">
        <f>DATE(2013,5,3) + TIME(11,55,13)</f>
        <v>41397.496678240743</v>
      </c>
      <c r="C1413">
        <v>1385.2994385</v>
      </c>
      <c r="D1413">
        <v>1370.2266846</v>
      </c>
      <c r="E1413">
        <v>1291.8011475000001</v>
      </c>
      <c r="F1413">
        <v>1272.7443848</v>
      </c>
      <c r="G1413">
        <v>80</v>
      </c>
      <c r="H1413">
        <v>79.315475464000002</v>
      </c>
      <c r="I1413">
        <v>50</v>
      </c>
      <c r="J1413">
        <v>49.750579834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1098.615984</v>
      </c>
      <c r="B1414" s="1">
        <f>DATE(2013,5,3) + TIME(14,47,1)</f>
        <v>41397.615983796299</v>
      </c>
      <c r="C1414">
        <v>1385.2148437999999</v>
      </c>
      <c r="D1414">
        <v>1370.1660156</v>
      </c>
      <c r="E1414">
        <v>1291.8004149999999</v>
      </c>
      <c r="F1414">
        <v>1272.7427978999999</v>
      </c>
      <c r="G1414">
        <v>80</v>
      </c>
      <c r="H1414">
        <v>79.408546447999996</v>
      </c>
      <c r="I1414">
        <v>50</v>
      </c>
      <c r="J1414">
        <v>49.741821289000001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1098.7375979999999</v>
      </c>
      <c r="B1415" s="1">
        <f>DATE(2013,5,3) + TIME(17,42,8)</f>
        <v>41397.737592592595</v>
      </c>
      <c r="C1415">
        <v>1385.1334228999999</v>
      </c>
      <c r="D1415">
        <v>1370.1065673999999</v>
      </c>
      <c r="E1415">
        <v>1291.7995605000001</v>
      </c>
      <c r="F1415">
        <v>1272.7412108999999</v>
      </c>
      <c r="G1415">
        <v>80</v>
      </c>
      <c r="H1415">
        <v>79.489219665999997</v>
      </c>
      <c r="I1415">
        <v>50</v>
      </c>
      <c r="J1415">
        <v>49.732944488999998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1098.861823</v>
      </c>
      <c r="B1416" s="1">
        <f>DATE(2013,5,3) + TIME(20,41,1)</f>
        <v>41397.861817129633</v>
      </c>
      <c r="C1416">
        <v>1385.0546875</v>
      </c>
      <c r="D1416">
        <v>1370.0482178</v>
      </c>
      <c r="E1416">
        <v>1291.7985839999999</v>
      </c>
      <c r="F1416">
        <v>1272.739624</v>
      </c>
      <c r="G1416">
        <v>80</v>
      </c>
      <c r="H1416">
        <v>79.559089661000002</v>
      </c>
      <c r="I1416">
        <v>50</v>
      </c>
      <c r="J1416">
        <v>49.723934174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1098.9889780000001</v>
      </c>
      <c r="B1417" s="1">
        <f>DATE(2013,5,3) + TIME(23,44,7)</f>
        <v>41397.988969907405</v>
      </c>
      <c r="C1417">
        <v>1384.9781493999999</v>
      </c>
      <c r="D1417">
        <v>1369.9907227000001</v>
      </c>
      <c r="E1417">
        <v>1291.7977295000001</v>
      </c>
      <c r="F1417">
        <v>1272.7379149999999</v>
      </c>
      <c r="G1417">
        <v>80</v>
      </c>
      <c r="H1417">
        <v>79.619522094999994</v>
      </c>
      <c r="I1417">
        <v>50</v>
      </c>
      <c r="J1417">
        <v>49.714763640999998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1099.1194</v>
      </c>
      <c r="B1418" s="1">
        <f>DATE(2013,5,4) + TIME(2,51,56)</f>
        <v>41398.119398148148</v>
      </c>
      <c r="C1418">
        <v>1384.9035644999999</v>
      </c>
      <c r="D1418">
        <v>1369.9339600000001</v>
      </c>
      <c r="E1418">
        <v>1291.7967529</v>
      </c>
      <c r="F1418">
        <v>1272.7362060999999</v>
      </c>
      <c r="G1418">
        <v>80</v>
      </c>
      <c r="H1418">
        <v>79.671707153</v>
      </c>
      <c r="I1418">
        <v>50</v>
      </c>
      <c r="J1418">
        <v>49.705413817999997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1099.253453</v>
      </c>
      <c r="B1419" s="1">
        <f>DATE(2013,5,4) + TIME(6,4,58)</f>
        <v>41398.253449074073</v>
      </c>
      <c r="C1419">
        <v>1384.8306885</v>
      </c>
      <c r="D1419">
        <v>1369.8776855000001</v>
      </c>
      <c r="E1419">
        <v>1291.7957764</v>
      </c>
      <c r="F1419">
        <v>1272.7344971</v>
      </c>
      <c r="G1419">
        <v>80</v>
      </c>
      <c r="H1419">
        <v>79.716690063000001</v>
      </c>
      <c r="I1419">
        <v>50</v>
      </c>
      <c r="J1419">
        <v>49.695861815999997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1099.391537</v>
      </c>
      <c r="B1420" s="1">
        <f>DATE(2013,5,4) + TIME(9,23,48)</f>
        <v>41398.391527777778</v>
      </c>
      <c r="C1420">
        <v>1384.7592772999999</v>
      </c>
      <c r="D1420">
        <v>1369.8220214999999</v>
      </c>
      <c r="E1420">
        <v>1291.7947998</v>
      </c>
      <c r="F1420">
        <v>1272.7326660000001</v>
      </c>
      <c r="G1420">
        <v>80</v>
      </c>
      <c r="H1420">
        <v>79.755363463999998</v>
      </c>
      <c r="I1420">
        <v>50</v>
      </c>
      <c r="J1420">
        <v>49.686084747000002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1099.5340880000001</v>
      </c>
      <c r="B1421" s="1">
        <f>DATE(2013,5,4) + TIME(12,49,5)</f>
        <v>41398.534085648149</v>
      </c>
      <c r="C1421">
        <v>1384.6888428</v>
      </c>
      <c r="D1421">
        <v>1369.7666016000001</v>
      </c>
      <c r="E1421">
        <v>1291.7937012</v>
      </c>
      <c r="F1421">
        <v>1272.7307129000001</v>
      </c>
      <c r="G1421">
        <v>80</v>
      </c>
      <c r="H1421">
        <v>79.788528442</v>
      </c>
      <c r="I1421">
        <v>50</v>
      </c>
      <c r="J1421">
        <v>49.676059723000002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1099.681593</v>
      </c>
      <c r="B1422" s="1">
        <f>DATE(2013,5,4) + TIME(16,21,29)</f>
        <v>41398.681585648148</v>
      </c>
      <c r="C1422">
        <v>1384.6192627</v>
      </c>
      <c r="D1422">
        <v>1369.7114257999999</v>
      </c>
      <c r="E1422">
        <v>1291.7926024999999</v>
      </c>
      <c r="F1422">
        <v>1272.7287598</v>
      </c>
      <c r="G1422">
        <v>80</v>
      </c>
      <c r="H1422">
        <v>79.816894531000003</v>
      </c>
      <c r="I1422">
        <v>50</v>
      </c>
      <c r="J1422">
        <v>49.665748596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1099.834593</v>
      </c>
      <c r="B1423" s="1">
        <f>DATE(2013,5,4) + TIME(20,1,48)</f>
        <v>41398.834583333337</v>
      </c>
      <c r="C1423">
        <v>1384.5504149999999</v>
      </c>
      <c r="D1423">
        <v>1369.65625</v>
      </c>
      <c r="E1423">
        <v>1291.7915039</v>
      </c>
      <c r="F1423">
        <v>1272.7268065999999</v>
      </c>
      <c r="G1423">
        <v>80</v>
      </c>
      <c r="H1423">
        <v>79.841056824000006</v>
      </c>
      <c r="I1423">
        <v>50</v>
      </c>
      <c r="J1423">
        <v>49.655128478999998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1099.9938070000001</v>
      </c>
      <c r="B1424" s="1">
        <f>DATE(2013,5,4) + TIME(23,51,4)</f>
        <v>41398.993796296294</v>
      </c>
      <c r="C1424">
        <v>1384.4818115</v>
      </c>
      <c r="D1424">
        <v>1369.6010742000001</v>
      </c>
      <c r="E1424">
        <v>1291.7902832</v>
      </c>
      <c r="F1424">
        <v>1272.7246094</v>
      </c>
      <c r="G1424">
        <v>80</v>
      </c>
      <c r="H1424">
        <v>79.861587524000001</v>
      </c>
      <c r="I1424">
        <v>50</v>
      </c>
      <c r="J1424">
        <v>49.644149779999999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1100.159842</v>
      </c>
      <c r="B1425" s="1">
        <f>DATE(2013,5,5) + TIME(3,50,10)</f>
        <v>41399.159837962965</v>
      </c>
      <c r="C1425">
        <v>1384.4134521000001</v>
      </c>
      <c r="D1425">
        <v>1369.5456543</v>
      </c>
      <c r="E1425">
        <v>1291.7890625</v>
      </c>
      <c r="F1425">
        <v>1272.7224120999999</v>
      </c>
      <c r="G1425">
        <v>80</v>
      </c>
      <c r="H1425">
        <v>79.878936768000003</v>
      </c>
      <c r="I1425">
        <v>50</v>
      </c>
      <c r="J1425">
        <v>49.632785796999997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1100.3310779999999</v>
      </c>
      <c r="B1426" s="1">
        <f>DATE(2013,5,5) + TIME(7,56,45)</f>
        <v>41399.331076388888</v>
      </c>
      <c r="C1426">
        <v>1384.3450928</v>
      </c>
      <c r="D1426">
        <v>1369.4899902</v>
      </c>
      <c r="E1426">
        <v>1291.7877197</v>
      </c>
      <c r="F1426">
        <v>1272.7200928</v>
      </c>
      <c r="G1426">
        <v>80</v>
      </c>
      <c r="H1426">
        <v>79.893371582</v>
      </c>
      <c r="I1426">
        <v>50</v>
      </c>
      <c r="J1426">
        <v>49.621120453000003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1100.5078129999999</v>
      </c>
      <c r="B1427" s="1">
        <f>DATE(2013,5,5) + TIME(12,11,15)</f>
        <v>41399.5078125</v>
      </c>
      <c r="C1427">
        <v>1384.2773437999999</v>
      </c>
      <c r="D1427">
        <v>1369.4344481999999</v>
      </c>
      <c r="E1427">
        <v>1291.7862548999999</v>
      </c>
      <c r="F1427">
        <v>1272.7176514</v>
      </c>
      <c r="G1427">
        <v>80</v>
      </c>
      <c r="H1427">
        <v>79.905326842999997</v>
      </c>
      <c r="I1427">
        <v>50</v>
      </c>
      <c r="J1427">
        <v>49.609142302999999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1100.6905810000001</v>
      </c>
      <c r="B1428" s="1">
        <f>DATE(2013,5,5) + TIME(16,34,26)</f>
        <v>41399.690578703703</v>
      </c>
      <c r="C1428">
        <v>1384.2100829999999</v>
      </c>
      <c r="D1428">
        <v>1369.3792725000001</v>
      </c>
      <c r="E1428">
        <v>1291.7849120999999</v>
      </c>
      <c r="F1428">
        <v>1272.7152100000001</v>
      </c>
      <c r="G1428">
        <v>80</v>
      </c>
      <c r="H1428">
        <v>79.915199279999996</v>
      </c>
      <c r="I1428">
        <v>50</v>
      </c>
      <c r="J1428">
        <v>49.596824646000002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1100.8799650000001</v>
      </c>
      <c r="B1429" s="1">
        <f>DATE(2013,5,5) + TIME(21,7,9)</f>
        <v>41399.879965277774</v>
      </c>
      <c r="C1429">
        <v>1384.1430664</v>
      </c>
      <c r="D1429">
        <v>1369.3240966999999</v>
      </c>
      <c r="E1429">
        <v>1291.7833252</v>
      </c>
      <c r="F1429">
        <v>1272.7125243999999</v>
      </c>
      <c r="G1429">
        <v>80</v>
      </c>
      <c r="H1429">
        <v>79.923324585000003</v>
      </c>
      <c r="I1429">
        <v>50</v>
      </c>
      <c r="J1429">
        <v>49.584129333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1101.0766229999999</v>
      </c>
      <c r="B1430" s="1">
        <f>DATE(2013,5,6) + TIME(1,50,20)</f>
        <v>41400.076620370368</v>
      </c>
      <c r="C1430">
        <v>1384.0761719</v>
      </c>
      <c r="D1430">
        <v>1369.2689209</v>
      </c>
      <c r="E1430">
        <v>1291.7817382999999</v>
      </c>
      <c r="F1430">
        <v>1272.7098389</v>
      </c>
      <c r="G1430">
        <v>80</v>
      </c>
      <c r="H1430">
        <v>79.929977417000003</v>
      </c>
      <c r="I1430">
        <v>50</v>
      </c>
      <c r="J1430">
        <v>49.571025847999998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1101.281348</v>
      </c>
      <c r="B1431" s="1">
        <f>DATE(2013,5,6) + TIME(6,45,8)</f>
        <v>41400.281342592592</v>
      </c>
      <c r="C1431">
        <v>1384.0091553</v>
      </c>
      <c r="D1431">
        <v>1369.2136230000001</v>
      </c>
      <c r="E1431">
        <v>1291.7801514</v>
      </c>
      <c r="F1431">
        <v>1272.7070312000001</v>
      </c>
      <c r="G1431">
        <v>80</v>
      </c>
      <c r="H1431">
        <v>79.935409546000002</v>
      </c>
      <c r="I1431">
        <v>50</v>
      </c>
      <c r="J1431">
        <v>49.557472228999998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1101.4950260000001</v>
      </c>
      <c r="B1432" s="1">
        <f>DATE(2013,5,6) + TIME(11,52,50)</f>
        <v>41400.495023148149</v>
      </c>
      <c r="C1432">
        <v>1383.9417725000001</v>
      </c>
      <c r="D1432">
        <v>1369.1579589999999</v>
      </c>
      <c r="E1432">
        <v>1291.7784423999999</v>
      </c>
      <c r="F1432">
        <v>1272.7041016000001</v>
      </c>
      <c r="G1432">
        <v>80</v>
      </c>
      <c r="H1432">
        <v>79.939826964999995</v>
      </c>
      <c r="I1432">
        <v>50</v>
      </c>
      <c r="J1432">
        <v>49.543418883999998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1101.7185420000001</v>
      </c>
      <c r="B1433" s="1">
        <f>DATE(2013,5,6) + TIME(17,14,42)</f>
        <v>41400.718541666669</v>
      </c>
      <c r="C1433">
        <v>1383.8740233999999</v>
      </c>
      <c r="D1433">
        <v>1369.1018065999999</v>
      </c>
      <c r="E1433">
        <v>1291.7766113</v>
      </c>
      <c r="F1433">
        <v>1272.7010498</v>
      </c>
      <c r="G1433">
        <v>80</v>
      </c>
      <c r="H1433">
        <v>79.943405150999993</v>
      </c>
      <c r="I1433">
        <v>50</v>
      </c>
      <c r="J1433">
        <v>49.528820037999999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1101.952415</v>
      </c>
      <c r="B1434" s="1">
        <f>DATE(2013,5,6) + TIME(22,51,28)</f>
        <v>41400.952407407407</v>
      </c>
      <c r="C1434">
        <v>1383.8055420000001</v>
      </c>
      <c r="D1434">
        <v>1369.0451660000001</v>
      </c>
      <c r="E1434">
        <v>1291.7747803</v>
      </c>
      <c r="F1434">
        <v>1272.6977539</v>
      </c>
      <c r="G1434">
        <v>80</v>
      </c>
      <c r="H1434">
        <v>79.946281432999996</v>
      </c>
      <c r="I1434">
        <v>50</v>
      </c>
      <c r="J1434">
        <v>49.513645171999997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1102.1885070000001</v>
      </c>
      <c r="B1435" s="1">
        <f>DATE(2013,5,7) + TIME(4,31,27)</f>
        <v>41401.188506944447</v>
      </c>
      <c r="C1435">
        <v>1383.7364502</v>
      </c>
      <c r="D1435">
        <v>1368.9880370999999</v>
      </c>
      <c r="E1435">
        <v>1291.7727050999999</v>
      </c>
      <c r="F1435">
        <v>1272.6943358999999</v>
      </c>
      <c r="G1435">
        <v>80</v>
      </c>
      <c r="H1435">
        <v>79.948524474999999</v>
      </c>
      <c r="I1435">
        <v>50</v>
      </c>
      <c r="J1435">
        <v>49.498302459999998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1102.427627</v>
      </c>
      <c r="B1436" s="1">
        <f>DATE(2013,5,7) + TIME(10,15,46)</f>
        <v>41401.427615740744</v>
      </c>
      <c r="C1436">
        <v>1383.6690673999999</v>
      </c>
      <c r="D1436">
        <v>1368.932251</v>
      </c>
      <c r="E1436">
        <v>1291.7706298999999</v>
      </c>
      <c r="F1436">
        <v>1272.690918</v>
      </c>
      <c r="G1436">
        <v>80</v>
      </c>
      <c r="H1436">
        <v>79.950279236</v>
      </c>
      <c r="I1436">
        <v>50</v>
      </c>
      <c r="J1436">
        <v>49.482776641999997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1102.6705239999999</v>
      </c>
      <c r="B1437" s="1">
        <f>DATE(2013,5,7) + TIME(16,5,33)</f>
        <v>41401.670520833337</v>
      </c>
      <c r="C1437">
        <v>1383.6030272999999</v>
      </c>
      <c r="D1437">
        <v>1368.8775635</v>
      </c>
      <c r="E1437">
        <v>1291.7685547000001</v>
      </c>
      <c r="F1437">
        <v>1272.6875</v>
      </c>
      <c r="G1437">
        <v>80</v>
      </c>
      <c r="H1437">
        <v>79.951652526999993</v>
      </c>
      <c r="I1437">
        <v>50</v>
      </c>
      <c r="J1437">
        <v>49.467037200999997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1102.917962</v>
      </c>
      <c r="B1438" s="1">
        <f>DATE(2013,5,7) + TIME(22,1,51)</f>
        <v>41401.917951388888</v>
      </c>
      <c r="C1438">
        <v>1383.5379639</v>
      </c>
      <c r="D1438">
        <v>1368.8238524999999</v>
      </c>
      <c r="E1438">
        <v>1291.7663574000001</v>
      </c>
      <c r="F1438">
        <v>1272.6839600000001</v>
      </c>
      <c r="G1438">
        <v>80</v>
      </c>
      <c r="H1438">
        <v>79.952743530000006</v>
      </c>
      <c r="I1438">
        <v>50</v>
      </c>
      <c r="J1438">
        <v>49.451061248999999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1103.170738</v>
      </c>
      <c r="B1439" s="1">
        <f>DATE(2013,5,8) + TIME(4,5,51)</f>
        <v>41402.170729166668</v>
      </c>
      <c r="C1439">
        <v>1383.4738769999999</v>
      </c>
      <c r="D1439">
        <v>1368.770874</v>
      </c>
      <c r="E1439">
        <v>1291.7641602000001</v>
      </c>
      <c r="F1439">
        <v>1272.6802978999999</v>
      </c>
      <c r="G1439">
        <v>80</v>
      </c>
      <c r="H1439">
        <v>79.953605651999993</v>
      </c>
      <c r="I1439">
        <v>50</v>
      </c>
      <c r="J1439">
        <v>49.434810638000002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1103.4296959999999</v>
      </c>
      <c r="B1440" s="1">
        <f>DATE(2013,5,8) + TIME(10,18,45)</f>
        <v>41402.4296875</v>
      </c>
      <c r="C1440">
        <v>1383.4102783000001</v>
      </c>
      <c r="D1440">
        <v>1368.7185059000001</v>
      </c>
      <c r="E1440">
        <v>1291.7619629000001</v>
      </c>
      <c r="F1440">
        <v>1272.6765137</v>
      </c>
      <c r="G1440">
        <v>80</v>
      </c>
      <c r="H1440">
        <v>79.954292296999995</v>
      </c>
      <c r="I1440">
        <v>50</v>
      </c>
      <c r="J1440">
        <v>49.418247223000002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1103.695751</v>
      </c>
      <c r="B1441" s="1">
        <f>DATE(2013,5,8) + TIME(16,41,52)</f>
        <v>41402.695740740739</v>
      </c>
      <c r="C1441">
        <v>1383.3470459</v>
      </c>
      <c r="D1441">
        <v>1368.6665039</v>
      </c>
      <c r="E1441">
        <v>1291.7596435999999</v>
      </c>
      <c r="F1441">
        <v>1272.6727295000001</v>
      </c>
      <c r="G1441">
        <v>80</v>
      </c>
      <c r="H1441">
        <v>79.954841614000003</v>
      </c>
      <c r="I1441">
        <v>50</v>
      </c>
      <c r="J1441">
        <v>49.401325225999997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1103.9699760000001</v>
      </c>
      <c r="B1442" s="1">
        <f>DATE(2013,5,8) + TIME(23,16,45)</f>
        <v>41402.969965277778</v>
      </c>
      <c r="C1442">
        <v>1383.2840576000001</v>
      </c>
      <c r="D1442">
        <v>1368.614624</v>
      </c>
      <c r="E1442">
        <v>1291.7573242000001</v>
      </c>
      <c r="F1442">
        <v>1272.6687012</v>
      </c>
      <c r="G1442">
        <v>80</v>
      </c>
      <c r="H1442">
        <v>79.955284118999998</v>
      </c>
      <c r="I1442">
        <v>50</v>
      </c>
      <c r="J1442">
        <v>49.383998871000003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1104.2507310000001</v>
      </c>
      <c r="B1443" s="1">
        <f>DATE(2013,5,9) + TIME(6,1,3)</f>
        <v>41403.25072916667</v>
      </c>
      <c r="C1443">
        <v>1383.2209473</v>
      </c>
      <c r="D1443">
        <v>1368.5627440999999</v>
      </c>
      <c r="E1443">
        <v>1291.7548827999999</v>
      </c>
      <c r="F1443">
        <v>1272.6646728999999</v>
      </c>
      <c r="G1443">
        <v>80</v>
      </c>
      <c r="H1443">
        <v>79.955642699999999</v>
      </c>
      <c r="I1443">
        <v>50</v>
      </c>
      <c r="J1443">
        <v>49.366336822999997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1104.5388889999999</v>
      </c>
      <c r="B1444" s="1">
        <f>DATE(2013,5,9) + TIME(12,55,59)</f>
        <v>41403.538877314815</v>
      </c>
      <c r="C1444">
        <v>1383.1582031</v>
      </c>
      <c r="D1444">
        <v>1368.5113524999999</v>
      </c>
      <c r="E1444">
        <v>1291.7523193</v>
      </c>
      <c r="F1444">
        <v>1272.6605225000001</v>
      </c>
      <c r="G1444">
        <v>80</v>
      </c>
      <c r="H1444">
        <v>79.955924988000007</v>
      </c>
      <c r="I1444">
        <v>50</v>
      </c>
      <c r="J1444">
        <v>49.348304749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1104.834102</v>
      </c>
      <c r="B1445" s="1">
        <f>DATE(2013,5,9) + TIME(20,1,6)</f>
        <v>41403.834097222221</v>
      </c>
      <c r="C1445">
        <v>1383.0957031</v>
      </c>
      <c r="D1445">
        <v>1368.4599608999999</v>
      </c>
      <c r="E1445">
        <v>1291.7497559000001</v>
      </c>
      <c r="F1445">
        <v>1272.65625</v>
      </c>
      <c r="G1445">
        <v>80</v>
      </c>
      <c r="H1445">
        <v>79.956161499000004</v>
      </c>
      <c r="I1445">
        <v>50</v>
      </c>
      <c r="J1445">
        <v>49.329917907999999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1105.134186</v>
      </c>
      <c r="B1446" s="1">
        <f>DATE(2013,5,10) + TIME(3,13,13)</f>
        <v>41404.13417824074</v>
      </c>
      <c r="C1446">
        <v>1383.0334473</v>
      </c>
      <c r="D1446">
        <v>1368.4090576000001</v>
      </c>
      <c r="E1446">
        <v>1291.7470702999999</v>
      </c>
      <c r="F1446">
        <v>1272.6518555</v>
      </c>
      <c r="G1446">
        <v>80</v>
      </c>
      <c r="H1446">
        <v>79.956344603999995</v>
      </c>
      <c r="I1446">
        <v>50</v>
      </c>
      <c r="J1446">
        <v>49.311279296999999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1105.439842</v>
      </c>
      <c r="B1447" s="1">
        <f>DATE(2013,5,10) + TIME(10,33,22)</f>
        <v>41404.439837962964</v>
      </c>
      <c r="C1447">
        <v>1382.9719238</v>
      </c>
      <c r="D1447">
        <v>1368.3586425999999</v>
      </c>
      <c r="E1447">
        <v>1291.7443848</v>
      </c>
      <c r="F1447">
        <v>1272.6473389</v>
      </c>
      <c r="G1447">
        <v>80</v>
      </c>
      <c r="H1447">
        <v>79.956497192</v>
      </c>
      <c r="I1447">
        <v>50</v>
      </c>
      <c r="J1447">
        <v>49.292366028000004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1105.7517700000001</v>
      </c>
      <c r="B1448" s="1">
        <f>DATE(2013,5,10) + TIME(18,2,32)</f>
        <v>41404.751759259256</v>
      </c>
      <c r="C1448">
        <v>1382.9108887</v>
      </c>
      <c r="D1448">
        <v>1368.3088379000001</v>
      </c>
      <c r="E1448">
        <v>1291.7415771000001</v>
      </c>
      <c r="F1448">
        <v>1272.6427002</v>
      </c>
      <c r="G1448">
        <v>80</v>
      </c>
      <c r="H1448">
        <v>79.956619262999993</v>
      </c>
      <c r="I1448">
        <v>50</v>
      </c>
      <c r="J1448">
        <v>49.273159026999998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1106.070811</v>
      </c>
      <c r="B1449" s="1">
        <f>DATE(2013,5,11) + TIME(1,41,58)</f>
        <v>41405.070810185185</v>
      </c>
      <c r="C1449">
        <v>1382.8503418</v>
      </c>
      <c r="D1449">
        <v>1368.2593993999999</v>
      </c>
      <c r="E1449">
        <v>1291.7386475000001</v>
      </c>
      <c r="F1449">
        <v>1272.6379394999999</v>
      </c>
      <c r="G1449">
        <v>80</v>
      </c>
      <c r="H1449">
        <v>79.956718445000007</v>
      </c>
      <c r="I1449">
        <v>50</v>
      </c>
      <c r="J1449">
        <v>49.253616332999997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1106.397792</v>
      </c>
      <c r="B1450" s="1">
        <f>DATE(2013,5,11) + TIME(9,32,49)</f>
        <v>41405.397789351853</v>
      </c>
      <c r="C1450">
        <v>1382.7900391000001</v>
      </c>
      <c r="D1450">
        <v>1368.2102050999999</v>
      </c>
      <c r="E1450">
        <v>1291.7358397999999</v>
      </c>
      <c r="F1450">
        <v>1272.6331786999999</v>
      </c>
      <c r="G1450">
        <v>80</v>
      </c>
      <c r="H1450">
        <v>79.956794739000003</v>
      </c>
      <c r="I1450">
        <v>50</v>
      </c>
      <c r="J1450">
        <v>49.233703613000003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1106.733604</v>
      </c>
      <c r="B1451" s="1">
        <f>DATE(2013,5,11) + TIME(17,36,23)</f>
        <v>41405.733599537038</v>
      </c>
      <c r="C1451">
        <v>1382.7297363</v>
      </c>
      <c r="D1451">
        <v>1368.1611327999999</v>
      </c>
      <c r="E1451">
        <v>1291.7327881000001</v>
      </c>
      <c r="F1451">
        <v>1272.6281738</v>
      </c>
      <c r="G1451">
        <v>80</v>
      </c>
      <c r="H1451">
        <v>79.956855774000005</v>
      </c>
      <c r="I1451">
        <v>50</v>
      </c>
      <c r="J1451">
        <v>49.213386536000002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1107.0792349999999</v>
      </c>
      <c r="B1452" s="1">
        <f>DATE(2013,5,12) + TIME(1,54,5)</f>
        <v>41406.079224537039</v>
      </c>
      <c r="C1452">
        <v>1382.6695557</v>
      </c>
      <c r="D1452">
        <v>1368.1121826000001</v>
      </c>
      <c r="E1452">
        <v>1291.7297363</v>
      </c>
      <c r="F1452">
        <v>1272.6230469</v>
      </c>
      <c r="G1452">
        <v>80</v>
      </c>
      <c r="H1452">
        <v>79.956909179999997</v>
      </c>
      <c r="I1452">
        <v>50</v>
      </c>
      <c r="J1452">
        <v>49.192607879999997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1107.435786</v>
      </c>
      <c r="B1453" s="1">
        <f>DATE(2013,5,12) + TIME(10,27,31)</f>
        <v>41406.43577546296</v>
      </c>
      <c r="C1453">
        <v>1382.6091309000001</v>
      </c>
      <c r="D1453">
        <v>1368.0631103999999</v>
      </c>
      <c r="E1453">
        <v>1291.7264404</v>
      </c>
      <c r="F1453">
        <v>1272.6177978999999</v>
      </c>
      <c r="G1453">
        <v>80</v>
      </c>
      <c r="H1453">
        <v>79.956947326999995</v>
      </c>
      <c r="I1453">
        <v>50</v>
      </c>
      <c r="J1453">
        <v>49.171325684000003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1107.8045729999999</v>
      </c>
      <c r="B1454" s="1">
        <f>DATE(2013,5,12) + TIME(19,18,35)</f>
        <v>41406.804571759261</v>
      </c>
      <c r="C1454">
        <v>1382.5484618999999</v>
      </c>
      <c r="D1454">
        <v>1368.0137939000001</v>
      </c>
      <c r="E1454">
        <v>1291.7231445</v>
      </c>
      <c r="F1454">
        <v>1272.6123047000001</v>
      </c>
      <c r="G1454">
        <v>80</v>
      </c>
      <c r="H1454">
        <v>79.956985474000007</v>
      </c>
      <c r="I1454">
        <v>50</v>
      </c>
      <c r="J1454">
        <v>49.149471282999997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1108.1775950000001</v>
      </c>
      <c r="B1455" s="1">
        <f>DATE(2013,5,13) + TIME(4,15,44)</f>
        <v>41407.17759259259</v>
      </c>
      <c r="C1455">
        <v>1382.4874268000001</v>
      </c>
      <c r="D1455">
        <v>1367.9642334</v>
      </c>
      <c r="E1455">
        <v>1291.7197266000001</v>
      </c>
      <c r="F1455">
        <v>1272.6066894999999</v>
      </c>
      <c r="G1455">
        <v>80</v>
      </c>
      <c r="H1455">
        <v>79.957000731999997</v>
      </c>
      <c r="I1455">
        <v>50</v>
      </c>
      <c r="J1455">
        <v>49.127365112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1108.555977</v>
      </c>
      <c r="B1456" s="1">
        <f>DATE(2013,5,13) + TIME(13,20,36)</f>
        <v>41407.555972222224</v>
      </c>
      <c r="C1456">
        <v>1382.427124</v>
      </c>
      <c r="D1456">
        <v>1367.9152832</v>
      </c>
      <c r="E1456">
        <v>1291.7161865</v>
      </c>
      <c r="F1456">
        <v>1272.6009521000001</v>
      </c>
      <c r="G1456">
        <v>80</v>
      </c>
      <c r="H1456">
        <v>79.957023621000005</v>
      </c>
      <c r="I1456">
        <v>50</v>
      </c>
      <c r="J1456">
        <v>49.104995727999999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1108.9408430000001</v>
      </c>
      <c r="B1457" s="1">
        <f>DATE(2013,5,13) + TIME(22,34,48)</f>
        <v>41407.940833333334</v>
      </c>
      <c r="C1457">
        <v>1382.3675536999999</v>
      </c>
      <c r="D1457">
        <v>1367.8670654</v>
      </c>
      <c r="E1457">
        <v>1291.7126464999999</v>
      </c>
      <c r="F1457">
        <v>1272.5950928</v>
      </c>
      <c r="G1457">
        <v>80</v>
      </c>
      <c r="H1457">
        <v>79.95703125</v>
      </c>
      <c r="I1457">
        <v>50</v>
      </c>
      <c r="J1457">
        <v>49.082340240000001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1109.333367</v>
      </c>
      <c r="B1458" s="1">
        <f>DATE(2013,5,14) + TIME(8,0,2)</f>
        <v>41408.333356481482</v>
      </c>
      <c r="C1458">
        <v>1382.3084716999999</v>
      </c>
      <c r="D1458">
        <v>1367.8192139</v>
      </c>
      <c r="E1458">
        <v>1291.7089844</v>
      </c>
      <c r="F1458">
        <v>1272.5892334</v>
      </c>
      <c r="G1458">
        <v>80</v>
      </c>
      <c r="H1458">
        <v>79.957038878999995</v>
      </c>
      <c r="I1458">
        <v>50</v>
      </c>
      <c r="J1458">
        <v>49.059356688999998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1109.7347990000001</v>
      </c>
      <c r="B1459" s="1">
        <f>DATE(2013,5,14) + TIME(17,38,6)</f>
        <v>41408.734791666669</v>
      </c>
      <c r="C1459">
        <v>1382.2496338000001</v>
      </c>
      <c r="D1459">
        <v>1367.7716064000001</v>
      </c>
      <c r="E1459">
        <v>1291.7053223</v>
      </c>
      <c r="F1459">
        <v>1272.5831298999999</v>
      </c>
      <c r="G1459">
        <v>80</v>
      </c>
      <c r="H1459">
        <v>79.957038878999995</v>
      </c>
      <c r="I1459">
        <v>50</v>
      </c>
      <c r="J1459">
        <v>49.035999298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1110.146489</v>
      </c>
      <c r="B1460" s="1">
        <f>DATE(2013,5,15) + TIME(3,30,56)</f>
        <v>41409.146481481483</v>
      </c>
      <c r="C1460">
        <v>1382.190918</v>
      </c>
      <c r="D1460">
        <v>1367.7242432</v>
      </c>
      <c r="E1460">
        <v>1291.7015381000001</v>
      </c>
      <c r="F1460">
        <v>1272.5769043</v>
      </c>
      <c r="G1460">
        <v>80</v>
      </c>
      <c r="H1460">
        <v>79.957038878999995</v>
      </c>
      <c r="I1460">
        <v>50</v>
      </c>
      <c r="J1460">
        <v>49.012207031000003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1110.569913</v>
      </c>
      <c r="B1461" s="1">
        <f>DATE(2013,5,15) + TIME(13,40,40)</f>
        <v>41409.569907407407</v>
      </c>
      <c r="C1461">
        <v>1382.1322021000001</v>
      </c>
      <c r="D1461">
        <v>1367.6767577999999</v>
      </c>
      <c r="E1461">
        <v>1291.6976318</v>
      </c>
      <c r="F1461">
        <v>1272.5704346</v>
      </c>
      <c r="G1461">
        <v>80</v>
      </c>
      <c r="H1461">
        <v>79.95703125</v>
      </c>
      <c r="I1461">
        <v>50</v>
      </c>
      <c r="J1461">
        <v>48.987922668000003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1111.006907</v>
      </c>
      <c r="B1462" s="1">
        <f>DATE(2013,5,16) + TIME(0,9,56)</f>
        <v>41410.006898148145</v>
      </c>
      <c r="C1462">
        <v>1382.0732422000001</v>
      </c>
      <c r="D1462">
        <v>1367.6291504000001</v>
      </c>
      <c r="E1462">
        <v>1291.6937256000001</v>
      </c>
      <c r="F1462">
        <v>1272.5638428</v>
      </c>
      <c r="G1462">
        <v>80</v>
      </c>
      <c r="H1462">
        <v>79.957023621000005</v>
      </c>
      <c r="I1462">
        <v>50</v>
      </c>
      <c r="J1462">
        <v>48.963058472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1111.454718</v>
      </c>
      <c r="B1463" s="1">
        <f>DATE(2013,5,16) + TIME(10,54,47)</f>
        <v>41410.454710648148</v>
      </c>
      <c r="C1463">
        <v>1382.0137939000001</v>
      </c>
      <c r="D1463">
        <v>1367.5811768000001</v>
      </c>
      <c r="E1463">
        <v>1291.6895752</v>
      </c>
      <c r="F1463">
        <v>1272.5570068</v>
      </c>
      <c r="G1463">
        <v>80</v>
      </c>
      <c r="H1463">
        <v>79.957015991000006</v>
      </c>
      <c r="I1463">
        <v>50</v>
      </c>
      <c r="J1463">
        <v>48.937702178999999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1111.9075680000001</v>
      </c>
      <c r="B1464" s="1">
        <f>DATE(2013,5,16) + TIME(21,46,53)</f>
        <v>41410.907557870371</v>
      </c>
      <c r="C1464">
        <v>1381.9543457</v>
      </c>
      <c r="D1464">
        <v>1367.5333252</v>
      </c>
      <c r="E1464">
        <v>1291.6851807</v>
      </c>
      <c r="F1464">
        <v>1272.5500488</v>
      </c>
      <c r="G1464">
        <v>80</v>
      </c>
      <c r="H1464">
        <v>79.957008361999996</v>
      </c>
      <c r="I1464">
        <v>50</v>
      </c>
      <c r="J1464">
        <v>48.912078856999997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1112.3665739999999</v>
      </c>
      <c r="B1465" s="1">
        <f>DATE(2013,5,17) + TIME(8,47,51)</f>
        <v>41411.366562499999</v>
      </c>
      <c r="C1465">
        <v>1381.8956298999999</v>
      </c>
      <c r="D1465">
        <v>1367.4859618999999</v>
      </c>
      <c r="E1465">
        <v>1291.6809082</v>
      </c>
      <c r="F1465">
        <v>1272.5429687999999</v>
      </c>
      <c r="G1465">
        <v>80</v>
      </c>
      <c r="H1465">
        <v>79.956993103000002</v>
      </c>
      <c r="I1465">
        <v>50</v>
      </c>
      <c r="J1465">
        <v>48.886184692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1112.832821</v>
      </c>
      <c r="B1466" s="1">
        <f>DATE(2013,5,17) + TIME(19,59,15)</f>
        <v>41411.832812499997</v>
      </c>
      <c r="C1466">
        <v>1381.8375243999999</v>
      </c>
      <c r="D1466">
        <v>1367.4390868999999</v>
      </c>
      <c r="E1466">
        <v>1291.6765137</v>
      </c>
      <c r="F1466">
        <v>1272.5357666</v>
      </c>
      <c r="G1466">
        <v>80</v>
      </c>
      <c r="H1466">
        <v>79.956985474000007</v>
      </c>
      <c r="I1466">
        <v>50</v>
      </c>
      <c r="J1466">
        <v>48.860008239999999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1113.307446</v>
      </c>
      <c r="B1467" s="1">
        <f>DATE(2013,5,18) + TIME(7,22,43)</f>
        <v>41412.307442129626</v>
      </c>
      <c r="C1467">
        <v>1381.7799072</v>
      </c>
      <c r="D1467">
        <v>1367.3927002</v>
      </c>
      <c r="E1467">
        <v>1291.6719971</v>
      </c>
      <c r="F1467">
        <v>1272.5283202999999</v>
      </c>
      <c r="G1467">
        <v>80</v>
      </c>
      <c r="H1467">
        <v>79.956970214999998</v>
      </c>
      <c r="I1467">
        <v>50</v>
      </c>
      <c r="J1467">
        <v>48.833515167000002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1113.791651</v>
      </c>
      <c r="B1468" s="1">
        <f>DATE(2013,5,18) + TIME(18,59,58)</f>
        <v>41412.791643518518</v>
      </c>
      <c r="C1468">
        <v>1381.7224120999999</v>
      </c>
      <c r="D1468">
        <v>1367.3464355000001</v>
      </c>
      <c r="E1468">
        <v>1291.6674805</v>
      </c>
      <c r="F1468">
        <v>1272.5207519999999</v>
      </c>
      <c r="G1468">
        <v>80</v>
      </c>
      <c r="H1468">
        <v>79.956954956000004</v>
      </c>
      <c r="I1468">
        <v>50</v>
      </c>
      <c r="J1468">
        <v>48.806667328000003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1114.2867269999999</v>
      </c>
      <c r="B1469" s="1">
        <f>DATE(2013,5,19) + TIME(6,52,53)</f>
        <v>41413.286724537036</v>
      </c>
      <c r="C1469">
        <v>1381.6651611</v>
      </c>
      <c r="D1469">
        <v>1367.3004149999999</v>
      </c>
      <c r="E1469">
        <v>1291.6628418</v>
      </c>
      <c r="F1469">
        <v>1272.5130615</v>
      </c>
      <c r="G1469">
        <v>80</v>
      </c>
      <c r="H1469">
        <v>79.956939696999996</v>
      </c>
      <c r="I1469">
        <v>50</v>
      </c>
      <c r="J1469">
        <v>48.779411316000001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1114.7940590000001</v>
      </c>
      <c r="B1470" s="1">
        <f>DATE(2013,5,19) + TIME(19,3,26)</f>
        <v>41413.794050925928</v>
      </c>
      <c r="C1470">
        <v>1381.6079102000001</v>
      </c>
      <c r="D1470">
        <v>1367.2542725000001</v>
      </c>
      <c r="E1470">
        <v>1291.6580810999999</v>
      </c>
      <c r="F1470">
        <v>1272.5051269999999</v>
      </c>
      <c r="G1470">
        <v>80</v>
      </c>
      <c r="H1470">
        <v>79.956924438000001</v>
      </c>
      <c r="I1470">
        <v>50</v>
      </c>
      <c r="J1470">
        <v>48.751689911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1115.3107010000001</v>
      </c>
      <c r="B1471" s="1">
        <f>DATE(2013,5,20) + TIME(7,27,24)</f>
        <v>41414.310694444444</v>
      </c>
      <c r="C1471">
        <v>1381.5505370999999</v>
      </c>
      <c r="D1471">
        <v>1367.2081298999999</v>
      </c>
      <c r="E1471">
        <v>1291.6530762</v>
      </c>
      <c r="F1471">
        <v>1272.4970702999999</v>
      </c>
      <c r="G1471">
        <v>80</v>
      </c>
      <c r="H1471">
        <v>79.956916809000006</v>
      </c>
      <c r="I1471">
        <v>50</v>
      </c>
      <c r="J1471">
        <v>48.723587035999998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1115.8376169999999</v>
      </c>
      <c r="B1472" s="1">
        <f>DATE(2013,5,20) + TIME(20,6,10)</f>
        <v>41414.83761574074</v>
      </c>
      <c r="C1472">
        <v>1381.4934082</v>
      </c>
      <c r="D1472">
        <v>1367.1622314000001</v>
      </c>
      <c r="E1472">
        <v>1291.6480713000001</v>
      </c>
      <c r="F1472">
        <v>1272.4886475000001</v>
      </c>
      <c r="G1472">
        <v>80</v>
      </c>
      <c r="H1472">
        <v>79.956901549999998</v>
      </c>
      <c r="I1472">
        <v>50</v>
      </c>
      <c r="J1472">
        <v>48.695087432999998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1116.3761219999999</v>
      </c>
      <c r="B1473" s="1">
        <f>DATE(2013,5,21) + TIME(9,1,36)</f>
        <v>41415.376111111109</v>
      </c>
      <c r="C1473">
        <v>1381.4362793</v>
      </c>
      <c r="D1473">
        <v>1367.1163329999999</v>
      </c>
      <c r="E1473">
        <v>1291.6429443</v>
      </c>
      <c r="F1473">
        <v>1272.4801024999999</v>
      </c>
      <c r="G1473">
        <v>80</v>
      </c>
      <c r="H1473">
        <v>79.956886291999993</v>
      </c>
      <c r="I1473">
        <v>50</v>
      </c>
      <c r="J1473">
        <v>48.666152953999998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1116.9276649999999</v>
      </c>
      <c r="B1474" s="1">
        <f>DATE(2013,5,21) + TIME(22,15,50)</f>
        <v>41415.927662037036</v>
      </c>
      <c r="C1474">
        <v>1381.3792725000001</v>
      </c>
      <c r="D1474">
        <v>1367.0704346</v>
      </c>
      <c r="E1474">
        <v>1291.6376952999999</v>
      </c>
      <c r="F1474">
        <v>1272.4714355000001</v>
      </c>
      <c r="G1474">
        <v>80</v>
      </c>
      <c r="H1474">
        <v>79.956871032999999</v>
      </c>
      <c r="I1474">
        <v>50</v>
      </c>
      <c r="J1474">
        <v>48.636734009000001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1117.493835</v>
      </c>
      <c r="B1475" s="1">
        <f>DATE(2013,5,22) + TIME(11,51,7)</f>
        <v>41416.493831018517</v>
      </c>
      <c r="C1475">
        <v>1381.3220214999999</v>
      </c>
      <c r="D1475">
        <v>1367.0244141000001</v>
      </c>
      <c r="E1475">
        <v>1291.6322021000001</v>
      </c>
      <c r="F1475">
        <v>1272.4624022999999</v>
      </c>
      <c r="G1475">
        <v>80</v>
      </c>
      <c r="H1475">
        <v>79.956855774000005</v>
      </c>
      <c r="I1475">
        <v>50</v>
      </c>
      <c r="J1475">
        <v>48.606761931999998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1118.0763830000001</v>
      </c>
      <c r="B1476" s="1">
        <f>DATE(2013,5,23) + TIME(1,49,59)</f>
        <v>41417.076377314814</v>
      </c>
      <c r="C1476">
        <v>1381.2645264</v>
      </c>
      <c r="D1476">
        <v>1366.9782714999999</v>
      </c>
      <c r="E1476">
        <v>1291.6267089999999</v>
      </c>
      <c r="F1476">
        <v>1272.453125</v>
      </c>
      <c r="G1476">
        <v>80</v>
      </c>
      <c r="H1476">
        <v>79.956840514999996</v>
      </c>
      <c r="I1476">
        <v>50</v>
      </c>
      <c r="J1476">
        <v>48.576171875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1118.6772820000001</v>
      </c>
      <c r="B1477" s="1">
        <f>DATE(2013,5,23) + TIME(16,15,17)</f>
        <v>41417.67728009259</v>
      </c>
      <c r="C1477">
        <v>1381.2066649999999</v>
      </c>
      <c r="D1477">
        <v>1366.9317627</v>
      </c>
      <c r="E1477">
        <v>1291.6209716999999</v>
      </c>
      <c r="F1477">
        <v>1272.4434814000001</v>
      </c>
      <c r="G1477">
        <v>80</v>
      </c>
      <c r="H1477">
        <v>79.956825256000002</v>
      </c>
      <c r="I1477">
        <v>50</v>
      </c>
      <c r="J1477">
        <v>48.544883728000002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1119.299123</v>
      </c>
      <c r="B1478" s="1">
        <f>DATE(2013,5,24) + TIME(7,10,44)</f>
        <v>41418.299120370371</v>
      </c>
      <c r="C1478">
        <v>1381.1481934000001</v>
      </c>
      <c r="D1478">
        <v>1366.8847656</v>
      </c>
      <c r="E1478">
        <v>1291.6149902</v>
      </c>
      <c r="F1478">
        <v>1272.4334716999999</v>
      </c>
      <c r="G1478">
        <v>80</v>
      </c>
      <c r="H1478">
        <v>79.956817627000007</v>
      </c>
      <c r="I1478">
        <v>50</v>
      </c>
      <c r="J1478">
        <v>48.512790680000002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1119.9301009999999</v>
      </c>
      <c r="B1479" s="1">
        <f>DATE(2013,5,24) + TIME(22,19,20)</f>
        <v>41418.930092592593</v>
      </c>
      <c r="C1479">
        <v>1381.0888672000001</v>
      </c>
      <c r="D1479">
        <v>1366.8371582</v>
      </c>
      <c r="E1479">
        <v>1291.6087646000001</v>
      </c>
      <c r="F1479">
        <v>1272.4230957</v>
      </c>
      <c r="G1479">
        <v>80</v>
      </c>
      <c r="H1479">
        <v>79.956802367999998</v>
      </c>
      <c r="I1479">
        <v>50</v>
      </c>
      <c r="J1479">
        <v>48.480216980000002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1120.5640289999999</v>
      </c>
      <c r="B1480" s="1">
        <f>DATE(2013,5,25) + TIME(13,32,12)</f>
        <v>41419.564027777778</v>
      </c>
      <c r="C1480">
        <v>1381.0300293</v>
      </c>
      <c r="D1480">
        <v>1366.7897949000001</v>
      </c>
      <c r="E1480">
        <v>1291.6022949000001</v>
      </c>
      <c r="F1480">
        <v>1272.4124756000001</v>
      </c>
      <c r="G1480">
        <v>80</v>
      </c>
      <c r="H1480">
        <v>79.956787109000004</v>
      </c>
      <c r="I1480">
        <v>50</v>
      </c>
      <c r="J1480">
        <v>48.447429657000001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1121.202567</v>
      </c>
      <c r="B1481" s="1">
        <f>DATE(2013,5,26) + TIME(4,51,41)</f>
        <v>41420.202557870369</v>
      </c>
      <c r="C1481">
        <v>1380.972168</v>
      </c>
      <c r="D1481">
        <v>1366.7432861</v>
      </c>
      <c r="E1481">
        <v>1291.5959473</v>
      </c>
      <c r="F1481">
        <v>1272.4017334</v>
      </c>
      <c r="G1481">
        <v>80</v>
      </c>
      <c r="H1481">
        <v>79.956771850999999</v>
      </c>
      <c r="I1481">
        <v>50</v>
      </c>
      <c r="J1481">
        <v>48.414497375000003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1121.847045</v>
      </c>
      <c r="B1482" s="1">
        <f>DATE(2013,5,26) + TIME(20,19,44)</f>
        <v>41420.847037037034</v>
      </c>
      <c r="C1482">
        <v>1380.9150391000001</v>
      </c>
      <c r="D1482">
        <v>1366.6973877</v>
      </c>
      <c r="E1482">
        <v>1291.5893555</v>
      </c>
      <c r="F1482">
        <v>1272.3907471</v>
      </c>
      <c r="G1482">
        <v>80</v>
      </c>
      <c r="H1482">
        <v>79.956764221</v>
      </c>
      <c r="I1482">
        <v>50</v>
      </c>
      <c r="J1482">
        <v>48.381431579999997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1122.4989929999999</v>
      </c>
      <c r="B1483" s="1">
        <f>DATE(2013,5,27) + TIME(11,58,32)</f>
        <v>41421.498981481483</v>
      </c>
      <c r="C1483">
        <v>1380.8585204999999</v>
      </c>
      <c r="D1483">
        <v>1366.6519774999999</v>
      </c>
      <c r="E1483">
        <v>1291.5827637</v>
      </c>
      <c r="F1483">
        <v>1272.3796387</v>
      </c>
      <c r="G1483">
        <v>80</v>
      </c>
      <c r="H1483">
        <v>79.956748962000006</v>
      </c>
      <c r="I1483">
        <v>50</v>
      </c>
      <c r="J1483">
        <v>48.348197937000002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1123.1599779999999</v>
      </c>
      <c r="B1484" s="1">
        <f>DATE(2013,5,28) + TIME(3,50,22)</f>
        <v>41422.15997685185</v>
      </c>
      <c r="C1484">
        <v>1380.8024902</v>
      </c>
      <c r="D1484">
        <v>1366.6068115</v>
      </c>
      <c r="E1484">
        <v>1291.5760498</v>
      </c>
      <c r="F1484">
        <v>1272.3682861</v>
      </c>
      <c r="G1484">
        <v>80</v>
      </c>
      <c r="H1484">
        <v>79.956741332999997</v>
      </c>
      <c r="I1484">
        <v>50</v>
      </c>
      <c r="J1484">
        <v>48.314754485999998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1123.831621</v>
      </c>
      <c r="B1485" s="1">
        <f>DATE(2013,5,28) + TIME(19,57,32)</f>
        <v>41422.831620370373</v>
      </c>
      <c r="C1485">
        <v>1380.7467041</v>
      </c>
      <c r="D1485">
        <v>1366.5620117000001</v>
      </c>
      <c r="E1485">
        <v>1291.5692139</v>
      </c>
      <c r="F1485">
        <v>1272.3566894999999</v>
      </c>
      <c r="G1485">
        <v>80</v>
      </c>
      <c r="H1485">
        <v>79.956726074000002</v>
      </c>
      <c r="I1485">
        <v>50</v>
      </c>
      <c r="J1485">
        <v>48.281036377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1124.515641</v>
      </c>
      <c r="B1486" s="1">
        <f>DATE(2013,5,29) + TIME(12,22,31)</f>
        <v>41423.515636574077</v>
      </c>
      <c r="C1486">
        <v>1380.6911620999999</v>
      </c>
      <c r="D1486">
        <v>1366.5173339999999</v>
      </c>
      <c r="E1486">
        <v>1291.5622559000001</v>
      </c>
      <c r="F1486">
        <v>1272.3448486</v>
      </c>
      <c r="G1486">
        <v>80</v>
      </c>
      <c r="H1486">
        <v>79.956718445000007</v>
      </c>
      <c r="I1486">
        <v>50</v>
      </c>
      <c r="J1486">
        <v>48.246982574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1125.2138829999999</v>
      </c>
      <c r="B1487" s="1">
        <f>DATE(2013,5,30) + TIME(5,7,59)</f>
        <v>41424.213877314818</v>
      </c>
      <c r="C1487">
        <v>1380.6357422000001</v>
      </c>
      <c r="D1487">
        <v>1366.4726562000001</v>
      </c>
      <c r="E1487">
        <v>1291.5550536999999</v>
      </c>
      <c r="F1487">
        <v>1272.3325195</v>
      </c>
      <c r="G1487">
        <v>80</v>
      </c>
      <c r="H1487">
        <v>79.956710814999994</v>
      </c>
      <c r="I1487">
        <v>50</v>
      </c>
      <c r="J1487">
        <v>48.212509154999999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1125.928343</v>
      </c>
      <c r="B1488" s="1">
        <f>DATE(2013,5,30) + TIME(22,16,48)</f>
        <v>41424.928333333337</v>
      </c>
      <c r="C1488">
        <v>1380.5800781</v>
      </c>
      <c r="D1488">
        <v>1366.4278564000001</v>
      </c>
      <c r="E1488">
        <v>1291.5477295000001</v>
      </c>
      <c r="F1488">
        <v>1272.3199463000001</v>
      </c>
      <c r="G1488">
        <v>80</v>
      </c>
      <c r="H1488">
        <v>79.956695557000003</v>
      </c>
      <c r="I1488">
        <v>50</v>
      </c>
      <c r="J1488">
        <v>48.177536011000001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1126.6612050000001</v>
      </c>
      <c r="B1489" s="1">
        <f>DATE(2013,5,31) + TIME(15,52,8)</f>
        <v>41425.661203703705</v>
      </c>
      <c r="C1489">
        <v>1380.5242920000001</v>
      </c>
      <c r="D1489">
        <v>1366.3828125</v>
      </c>
      <c r="E1489">
        <v>1291.5401611</v>
      </c>
      <c r="F1489">
        <v>1272.3068848</v>
      </c>
      <c r="G1489">
        <v>80</v>
      </c>
      <c r="H1489">
        <v>79.956687927000004</v>
      </c>
      <c r="I1489">
        <v>50</v>
      </c>
      <c r="J1489">
        <v>48.141971587999997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1127</v>
      </c>
      <c r="B1490" s="1">
        <f>DATE(2013,6,1) + TIME(0,0,0)</f>
        <v>41426</v>
      </c>
      <c r="C1490">
        <v>1380.4680175999999</v>
      </c>
      <c r="D1490">
        <v>1366.3375243999999</v>
      </c>
      <c r="E1490">
        <v>1291.5307617000001</v>
      </c>
      <c r="F1490">
        <v>1272.2949219</v>
      </c>
      <c r="G1490">
        <v>80</v>
      </c>
      <c r="H1490">
        <v>79.956680297999995</v>
      </c>
      <c r="I1490">
        <v>50</v>
      </c>
      <c r="J1490">
        <v>48.120040893999999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1127.753755</v>
      </c>
      <c r="B1491" s="1">
        <f>DATE(2013,6,1) + TIME(18,5,24)</f>
        <v>41426.753750000003</v>
      </c>
      <c r="C1491">
        <v>1380.4422606999999</v>
      </c>
      <c r="D1491">
        <v>1366.3167725000001</v>
      </c>
      <c r="E1491">
        <v>1291.5286865</v>
      </c>
      <c r="F1491">
        <v>1272.2866211</v>
      </c>
      <c r="G1491">
        <v>80</v>
      </c>
      <c r="H1491">
        <v>79.956672667999996</v>
      </c>
      <c r="I1491">
        <v>50</v>
      </c>
      <c r="J1491">
        <v>48.086330414000003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1128.529794</v>
      </c>
      <c r="B1492" s="1">
        <f>DATE(2013,6,2) + TIME(12,42,54)</f>
        <v>41427.529791666668</v>
      </c>
      <c r="C1492">
        <v>1380.3861084</v>
      </c>
      <c r="D1492">
        <v>1366.2714844</v>
      </c>
      <c r="E1492">
        <v>1291.5205077999999</v>
      </c>
      <c r="F1492">
        <v>1272.2727050999999</v>
      </c>
      <c r="G1492">
        <v>80</v>
      </c>
      <c r="H1492">
        <v>79.956665039000001</v>
      </c>
      <c r="I1492">
        <v>50</v>
      </c>
      <c r="J1492">
        <v>48.050739288000003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1129.322173</v>
      </c>
      <c r="B1493" s="1">
        <f>DATE(2013,6,3) + TIME(7,43,55)</f>
        <v>41428.322164351855</v>
      </c>
      <c r="C1493">
        <v>1380.3293457</v>
      </c>
      <c r="D1493">
        <v>1366.2255858999999</v>
      </c>
      <c r="E1493">
        <v>1291.5119629000001</v>
      </c>
      <c r="F1493">
        <v>1272.2581786999999</v>
      </c>
      <c r="G1493">
        <v>80</v>
      </c>
      <c r="H1493">
        <v>79.956665039000001</v>
      </c>
      <c r="I1493">
        <v>50</v>
      </c>
      <c r="J1493">
        <v>48.013893127000003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1130.1332420000001</v>
      </c>
      <c r="B1494" s="1">
        <f>DATE(2013,6,4) + TIME(3,11,52)</f>
        <v>41429.133240740739</v>
      </c>
      <c r="C1494">
        <v>1380.2722168</v>
      </c>
      <c r="D1494">
        <v>1366.1795654</v>
      </c>
      <c r="E1494">
        <v>1291.5031738</v>
      </c>
      <c r="F1494">
        <v>1272.2430420000001</v>
      </c>
      <c r="G1494">
        <v>80</v>
      </c>
      <c r="H1494">
        <v>79.956657410000005</v>
      </c>
      <c r="I1494">
        <v>50</v>
      </c>
      <c r="J1494">
        <v>47.976062775000003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1130.9573720000001</v>
      </c>
      <c r="B1495" s="1">
        <f>DATE(2013,6,4) + TIME(22,58,36)</f>
        <v>41429.957361111112</v>
      </c>
      <c r="C1495">
        <v>1380.2149658000001</v>
      </c>
      <c r="D1495">
        <v>1366.1333007999999</v>
      </c>
      <c r="E1495">
        <v>1291.4940185999999</v>
      </c>
      <c r="F1495">
        <v>1272.2272949000001</v>
      </c>
      <c r="G1495">
        <v>80</v>
      </c>
      <c r="H1495">
        <v>79.956649780000006</v>
      </c>
      <c r="I1495">
        <v>50</v>
      </c>
      <c r="J1495">
        <v>47.937553405999999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1131.797161</v>
      </c>
      <c r="B1496" s="1">
        <f>DATE(2013,6,5) + TIME(19,7,54)</f>
        <v>41430.797152777777</v>
      </c>
      <c r="C1496">
        <v>1380.1578368999999</v>
      </c>
      <c r="D1496">
        <v>1366.0870361</v>
      </c>
      <c r="E1496">
        <v>1291.4847411999999</v>
      </c>
      <c r="F1496">
        <v>1272.2110596</v>
      </c>
      <c r="G1496">
        <v>80</v>
      </c>
      <c r="H1496">
        <v>79.956642150999997</v>
      </c>
      <c r="I1496">
        <v>50</v>
      </c>
      <c r="J1496">
        <v>47.898452759000001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1132.656305</v>
      </c>
      <c r="B1497" s="1">
        <f>DATE(2013,6,6) + TIME(15,45,4)</f>
        <v>41431.6562962963</v>
      </c>
      <c r="C1497">
        <v>1380.1005858999999</v>
      </c>
      <c r="D1497">
        <v>1366.0407714999999</v>
      </c>
      <c r="E1497">
        <v>1291.4750977000001</v>
      </c>
      <c r="F1497">
        <v>1272.1943358999999</v>
      </c>
      <c r="G1497">
        <v>80</v>
      </c>
      <c r="H1497">
        <v>79.956642150999997</v>
      </c>
      <c r="I1497">
        <v>50</v>
      </c>
      <c r="J1497">
        <v>47.858734130999999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1133.523434</v>
      </c>
      <c r="B1498" s="1">
        <f>DATE(2013,6,7) + TIME(12,33,44)</f>
        <v>41432.523425925923</v>
      </c>
      <c r="C1498">
        <v>1380.0430908000001</v>
      </c>
      <c r="D1498">
        <v>1365.9941406</v>
      </c>
      <c r="E1498">
        <v>1291.4652100000001</v>
      </c>
      <c r="F1498">
        <v>1272.1768798999999</v>
      </c>
      <c r="G1498">
        <v>80</v>
      </c>
      <c r="H1498">
        <v>79.956634520999998</v>
      </c>
      <c r="I1498">
        <v>50</v>
      </c>
      <c r="J1498">
        <v>47.818653107000003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1134.395274</v>
      </c>
      <c r="B1499" s="1">
        <f>DATE(2013,6,8) + TIME(9,29,11)</f>
        <v>41433.395266203705</v>
      </c>
      <c r="C1499">
        <v>1379.9860839999999</v>
      </c>
      <c r="D1499">
        <v>1365.9479980000001</v>
      </c>
      <c r="E1499">
        <v>1291.4549560999999</v>
      </c>
      <c r="F1499">
        <v>1272.1591797000001</v>
      </c>
      <c r="G1499">
        <v>80</v>
      </c>
      <c r="H1499">
        <v>79.956626892000003</v>
      </c>
      <c r="I1499">
        <v>50</v>
      </c>
      <c r="J1499">
        <v>47.778408051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1135.2741390000001</v>
      </c>
      <c r="B1500" s="1">
        <f>DATE(2013,6,9) + TIME(6,34,45)</f>
        <v>41434.274131944447</v>
      </c>
      <c r="C1500">
        <v>1379.9296875</v>
      </c>
      <c r="D1500">
        <v>1365.9023437999999</v>
      </c>
      <c r="E1500">
        <v>1291.4447021000001</v>
      </c>
      <c r="F1500">
        <v>1272.1409911999999</v>
      </c>
      <c r="G1500">
        <v>80</v>
      </c>
      <c r="H1500">
        <v>79.956626892000003</v>
      </c>
      <c r="I1500">
        <v>50</v>
      </c>
      <c r="J1500">
        <v>47.738056182999998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1136.1617369999999</v>
      </c>
      <c r="B1501" s="1">
        <f>DATE(2013,6,10) + TIME(3,52,54)</f>
        <v>41435.161736111113</v>
      </c>
      <c r="C1501">
        <v>1379.8739014</v>
      </c>
      <c r="D1501">
        <v>1365.8570557</v>
      </c>
      <c r="E1501">
        <v>1291.4342041</v>
      </c>
      <c r="F1501">
        <v>1272.1223144999999</v>
      </c>
      <c r="G1501">
        <v>80</v>
      </c>
      <c r="H1501">
        <v>79.956619262999993</v>
      </c>
      <c r="I1501">
        <v>50</v>
      </c>
      <c r="J1501">
        <v>47.697582245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1137.0601260000001</v>
      </c>
      <c r="B1502" s="1">
        <f>DATE(2013,6,11) + TIME(1,26,34)</f>
        <v>41436.060115740744</v>
      </c>
      <c r="C1502">
        <v>1379.8184814000001</v>
      </c>
      <c r="D1502">
        <v>1365.8120117000001</v>
      </c>
      <c r="E1502">
        <v>1291.4234618999999</v>
      </c>
      <c r="F1502">
        <v>1272.1032714999999</v>
      </c>
      <c r="G1502">
        <v>80</v>
      </c>
      <c r="H1502">
        <v>79.956619262999993</v>
      </c>
      <c r="I1502">
        <v>50</v>
      </c>
      <c r="J1502">
        <v>47.656936645999998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1137.9714389999999</v>
      </c>
      <c r="B1503" s="1">
        <f>DATE(2013,6,11) + TIME(23,18,52)</f>
        <v>41436.971435185187</v>
      </c>
      <c r="C1503">
        <v>1379.7633057</v>
      </c>
      <c r="D1503">
        <v>1365.7670897999999</v>
      </c>
      <c r="E1503">
        <v>1291.4125977000001</v>
      </c>
      <c r="F1503">
        <v>1272.0836182</v>
      </c>
      <c r="G1503">
        <v>80</v>
      </c>
      <c r="H1503">
        <v>79.956619262999993</v>
      </c>
      <c r="I1503">
        <v>50</v>
      </c>
      <c r="J1503">
        <v>47.616046906000001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1138.897901</v>
      </c>
      <c r="B1504" s="1">
        <f>DATE(2013,6,12) + TIME(21,32,58)</f>
        <v>41437.897893518515</v>
      </c>
      <c r="C1504">
        <v>1379.7082519999999</v>
      </c>
      <c r="D1504">
        <v>1365.7222899999999</v>
      </c>
      <c r="E1504">
        <v>1291.4013672000001</v>
      </c>
      <c r="F1504">
        <v>1272.0633545000001</v>
      </c>
      <c r="G1504">
        <v>80</v>
      </c>
      <c r="H1504">
        <v>79.956619262999993</v>
      </c>
      <c r="I1504">
        <v>50</v>
      </c>
      <c r="J1504">
        <v>47.574832915999998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1139.841887</v>
      </c>
      <c r="B1505" s="1">
        <f>DATE(2013,6,13) + TIME(20,12,19)</f>
        <v>41438.841886574075</v>
      </c>
      <c r="C1505">
        <v>1379.6531981999999</v>
      </c>
      <c r="D1505">
        <v>1365.6774902</v>
      </c>
      <c r="E1505">
        <v>1291.3897704999999</v>
      </c>
      <c r="F1505">
        <v>1272.0426024999999</v>
      </c>
      <c r="G1505">
        <v>80</v>
      </c>
      <c r="H1505">
        <v>79.956619262999993</v>
      </c>
      <c r="I1505">
        <v>50</v>
      </c>
      <c r="J1505">
        <v>47.533206939999999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1140.805957</v>
      </c>
      <c r="B1506" s="1">
        <f>DATE(2013,6,14) + TIME(19,20,34)</f>
        <v>41439.805949074071</v>
      </c>
      <c r="C1506">
        <v>1379.5980225000001</v>
      </c>
      <c r="D1506">
        <v>1365.6324463000001</v>
      </c>
      <c r="E1506">
        <v>1291.3779297000001</v>
      </c>
      <c r="F1506">
        <v>1272.0209961</v>
      </c>
      <c r="G1506">
        <v>80</v>
      </c>
      <c r="H1506">
        <v>79.956619262999993</v>
      </c>
      <c r="I1506">
        <v>50</v>
      </c>
      <c r="J1506">
        <v>47.491073608000001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1141.792884</v>
      </c>
      <c r="B1507" s="1">
        <f>DATE(2013,6,15) + TIME(19,1,45)</f>
        <v>41440.792881944442</v>
      </c>
      <c r="C1507">
        <v>1379.5424805</v>
      </c>
      <c r="D1507">
        <v>1365.5871582</v>
      </c>
      <c r="E1507">
        <v>1291.3656006000001</v>
      </c>
      <c r="F1507">
        <v>1271.9986572</v>
      </c>
      <c r="G1507">
        <v>80</v>
      </c>
      <c r="H1507">
        <v>79.956619262999993</v>
      </c>
      <c r="I1507">
        <v>50</v>
      </c>
      <c r="J1507">
        <v>47.448333740000002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1142.8057180000001</v>
      </c>
      <c r="B1508" s="1">
        <f>DATE(2013,6,16) + TIME(19,20,13)</f>
        <v>41441.805706018517</v>
      </c>
      <c r="C1508">
        <v>1379.4865723</v>
      </c>
      <c r="D1508">
        <v>1365.5415039</v>
      </c>
      <c r="E1508">
        <v>1291.3529053</v>
      </c>
      <c r="F1508">
        <v>1271.9753418</v>
      </c>
      <c r="G1508">
        <v>80</v>
      </c>
      <c r="H1508">
        <v>79.956619262999993</v>
      </c>
      <c r="I1508">
        <v>50</v>
      </c>
      <c r="J1508">
        <v>47.404884338000002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1143.8451889999999</v>
      </c>
      <c r="B1509" s="1">
        <f>DATE(2013,6,17) + TIME(20,17,4)</f>
        <v>41442.845185185186</v>
      </c>
      <c r="C1509">
        <v>1379.4301757999999</v>
      </c>
      <c r="D1509">
        <v>1365.4953613</v>
      </c>
      <c r="E1509">
        <v>1291.3397216999999</v>
      </c>
      <c r="F1509">
        <v>1271.9510498</v>
      </c>
      <c r="G1509">
        <v>80</v>
      </c>
      <c r="H1509">
        <v>79.956619262999993</v>
      </c>
      <c r="I1509">
        <v>50</v>
      </c>
      <c r="J1509">
        <v>47.360660553000002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1144.9033360000001</v>
      </c>
      <c r="B1510" s="1">
        <f>DATE(2013,6,18) + TIME(21,40,48)</f>
        <v>41443.903333333335</v>
      </c>
      <c r="C1510">
        <v>1379.3730469</v>
      </c>
      <c r="D1510">
        <v>1365.4486084</v>
      </c>
      <c r="E1510">
        <v>1291.3260498</v>
      </c>
      <c r="F1510">
        <v>1271.9259033000001</v>
      </c>
      <c r="G1510">
        <v>80</v>
      </c>
      <c r="H1510">
        <v>79.956626892000003</v>
      </c>
      <c r="I1510">
        <v>50</v>
      </c>
      <c r="J1510">
        <v>47.315795897999998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1145.983941</v>
      </c>
      <c r="B1511" s="1">
        <f>DATE(2013,6,19) + TIME(23,36,52)</f>
        <v>41444.983935185184</v>
      </c>
      <c r="C1511">
        <v>1379.315918</v>
      </c>
      <c r="D1511">
        <v>1365.4017334</v>
      </c>
      <c r="E1511">
        <v>1291.3120117000001</v>
      </c>
      <c r="F1511">
        <v>1271.8996582</v>
      </c>
      <c r="G1511">
        <v>80</v>
      </c>
      <c r="H1511">
        <v>79.956626892000003</v>
      </c>
      <c r="I1511">
        <v>50</v>
      </c>
      <c r="J1511">
        <v>47.270324707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1147.0909260000001</v>
      </c>
      <c r="B1512" s="1">
        <f>DATE(2013,6,21) + TIME(2,10,56)</f>
        <v>41446.090925925928</v>
      </c>
      <c r="C1512">
        <v>1379.2585449000001</v>
      </c>
      <c r="D1512">
        <v>1365.3546143000001</v>
      </c>
      <c r="E1512">
        <v>1291.2974853999999</v>
      </c>
      <c r="F1512">
        <v>1271.8725586</v>
      </c>
      <c r="G1512">
        <v>80</v>
      </c>
      <c r="H1512">
        <v>79.956626892000003</v>
      </c>
      <c r="I1512">
        <v>50</v>
      </c>
      <c r="J1512">
        <v>47.224182128999999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1148.226208</v>
      </c>
      <c r="B1513" s="1">
        <f>DATE(2013,6,22) + TIME(5,25,44)</f>
        <v>41447.226203703707</v>
      </c>
      <c r="C1513">
        <v>1379.2005615</v>
      </c>
      <c r="D1513">
        <v>1365.3070068</v>
      </c>
      <c r="E1513">
        <v>1291.2825928</v>
      </c>
      <c r="F1513">
        <v>1271.8442382999999</v>
      </c>
      <c r="G1513">
        <v>80</v>
      </c>
      <c r="H1513">
        <v>79.956634520999998</v>
      </c>
      <c r="I1513">
        <v>50</v>
      </c>
      <c r="J1513">
        <v>47.177310943999998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1149.3633520000001</v>
      </c>
      <c r="B1514" s="1">
        <f>DATE(2013,6,23) + TIME(8,43,13)</f>
        <v>41448.363344907404</v>
      </c>
      <c r="C1514">
        <v>1379.1420897999999</v>
      </c>
      <c r="D1514">
        <v>1365.2589111</v>
      </c>
      <c r="E1514">
        <v>1291.2669678</v>
      </c>
      <c r="F1514">
        <v>1271.8149414</v>
      </c>
      <c r="G1514">
        <v>80</v>
      </c>
      <c r="H1514">
        <v>79.956642150999997</v>
      </c>
      <c r="I1514">
        <v>50</v>
      </c>
      <c r="J1514">
        <v>47.130161285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1150.5054970000001</v>
      </c>
      <c r="B1515" s="1">
        <f>DATE(2013,6,24) + TIME(12,7,54)</f>
        <v>41449.505486111113</v>
      </c>
      <c r="C1515">
        <v>1379.0844727000001</v>
      </c>
      <c r="D1515">
        <v>1365.2114257999999</v>
      </c>
      <c r="E1515">
        <v>1291.2513428</v>
      </c>
      <c r="F1515">
        <v>1271.7850341999999</v>
      </c>
      <c r="G1515">
        <v>80</v>
      </c>
      <c r="H1515">
        <v>79.956642150999997</v>
      </c>
      <c r="I1515">
        <v>50</v>
      </c>
      <c r="J1515">
        <v>47.083034515000001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1151.6561220000001</v>
      </c>
      <c r="B1516" s="1">
        <f>DATE(2013,6,25) + TIME(15,44,48)</f>
        <v>41450.656111111108</v>
      </c>
      <c r="C1516">
        <v>1379.0273437999999</v>
      </c>
      <c r="D1516">
        <v>1365.1643065999999</v>
      </c>
      <c r="E1516">
        <v>1291.2354736</v>
      </c>
      <c r="F1516">
        <v>1271.7545166</v>
      </c>
      <c r="G1516">
        <v>80</v>
      </c>
      <c r="H1516">
        <v>79.956649780000006</v>
      </c>
      <c r="I1516">
        <v>50</v>
      </c>
      <c r="J1516">
        <v>47.035991668999998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1152.817712</v>
      </c>
      <c r="B1517" s="1">
        <f>DATE(2013,6,26) + TIME(19,37,30)</f>
        <v>41451.817708333336</v>
      </c>
      <c r="C1517">
        <v>1378.9707031</v>
      </c>
      <c r="D1517">
        <v>1365.1175536999999</v>
      </c>
      <c r="E1517">
        <v>1291.2192382999999</v>
      </c>
      <c r="F1517">
        <v>1271.7232666</v>
      </c>
      <c r="G1517">
        <v>80</v>
      </c>
      <c r="H1517">
        <v>79.956657410000005</v>
      </c>
      <c r="I1517">
        <v>50</v>
      </c>
      <c r="J1517">
        <v>46.989009856999999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1153.9928420000001</v>
      </c>
      <c r="B1518" s="1">
        <f>DATE(2013,6,27) + TIME(23,49,41)</f>
        <v>41452.992835648147</v>
      </c>
      <c r="C1518">
        <v>1378.9144286999999</v>
      </c>
      <c r="D1518">
        <v>1365.0709228999999</v>
      </c>
      <c r="E1518">
        <v>1291.2028809000001</v>
      </c>
      <c r="F1518">
        <v>1271.6912841999999</v>
      </c>
      <c r="G1518">
        <v>80</v>
      </c>
      <c r="H1518">
        <v>79.956665039000001</v>
      </c>
      <c r="I1518">
        <v>50</v>
      </c>
      <c r="J1518">
        <v>46.942050934000001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1155.1843759999999</v>
      </c>
      <c r="B1519" s="1">
        <f>DATE(2013,6,29) + TIME(4,25,30)</f>
        <v>41454.184374999997</v>
      </c>
      <c r="C1519">
        <v>1378.8581543</v>
      </c>
      <c r="D1519">
        <v>1365.0242920000001</v>
      </c>
      <c r="E1519">
        <v>1291.1862793</v>
      </c>
      <c r="F1519">
        <v>1271.6585693</v>
      </c>
      <c r="G1519">
        <v>80</v>
      </c>
      <c r="H1519">
        <v>79.956672667999996</v>
      </c>
      <c r="I1519">
        <v>50</v>
      </c>
      <c r="J1519">
        <v>46.895046233999999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1156.3952839999999</v>
      </c>
      <c r="B1520" s="1">
        <f>DATE(2013,6,30) + TIME(9,29,12)</f>
        <v>41455.395277777781</v>
      </c>
      <c r="C1520">
        <v>1378.8020019999999</v>
      </c>
      <c r="D1520">
        <v>1364.9776611</v>
      </c>
      <c r="E1520">
        <v>1291.1694336</v>
      </c>
      <c r="F1520">
        <v>1271.6248779</v>
      </c>
      <c r="G1520">
        <v>80</v>
      </c>
      <c r="H1520">
        <v>79.956680297999995</v>
      </c>
      <c r="I1520">
        <v>50</v>
      </c>
      <c r="J1520">
        <v>46.847942351999997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1157</v>
      </c>
      <c r="B1521" s="1">
        <f>DATE(2013,7,1) + TIME(0,0,0)</f>
        <v>41456</v>
      </c>
      <c r="C1521">
        <v>1378.7457274999999</v>
      </c>
      <c r="D1521">
        <v>1364.9309082</v>
      </c>
      <c r="E1521">
        <v>1291.1519774999999</v>
      </c>
      <c r="F1521">
        <v>1271.5942382999999</v>
      </c>
      <c r="G1521">
        <v>80</v>
      </c>
      <c r="H1521">
        <v>79.956680297999995</v>
      </c>
      <c r="I1521">
        <v>50</v>
      </c>
      <c r="J1521">
        <v>46.814876556000002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1158.2334289999999</v>
      </c>
      <c r="B1522" s="1">
        <f>DATE(2013,7,2) + TIME(5,36,8)</f>
        <v>41457.233425925922</v>
      </c>
      <c r="C1522">
        <v>1378.7177733999999</v>
      </c>
      <c r="D1522">
        <v>1364.9075928</v>
      </c>
      <c r="E1522">
        <v>1291.1431885</v>
      </c>
      <c r="F1522">
        <v>1271.5711670000001</v>
      </c>
      <c r="G1522">
        <v>80</v>
      </c>
      <c r="H1522">
        <v>79.956695557000003</v>
      </c>
      <c r="I1522">
        <v>50</v>
      </c>
      <c r="J1522">
        <v>46.773494720000002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1159.5070479999999</v>
      </c>
      <c r="B1523" s="1">
        <f>DATE(2013,7,3) + TIME(12,10,8)</f>
        <v>41458.507037037038</v>
      </c>
      <c r="C1523">
        <v>1378.6617432</v>
      </c>
      <c r="D1523">
        <v>1364.8609618999999</v>
      </c>
      <c r="E1523">
        <v>1291.1258545000001</v>
      </c>
      <c r="F1523">
        <v>1271.536499</v>
      </c>
      <c r="G1523">
        <v>80</v>
      </c>
      <c r="H1523">
        <v>79.956710814999994</v>
      </c>
      <c r="I1523">
        <v>50</v>
      </c>
      <c r="J1523">
        <v>46.728473663000003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1160.8118730000001</v>
      </c>
      <c r="B1524" s="1">
        <f>DATE(2013,7,4) + TIME(19,29,5)</f>
        <v>41459.811863425923</v>
      </c>
      <c r="C1524">
        <v>1378.6044922000001</v>
      </c>
      <c r="D1524">
        <v>1364.8132324000001</v>
      </c>
      <c r="E1524">
        <v>1291.1079102000001</v>
      </c>
      <c r="F1524">
        <v>1271.4997559000001</v>
      </c>
      <c r="G1524">
        <v>80</v>
      </c>
      <c r="H1524">
        <v>79.956718445000007</v>
      </c>
      <c r="I1524">
        <v>50</v>
      </c>
      <c r="J1524">
        <v>46.681659697999997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1162.152231</v>
      </c>
      <c r="B1525" s="1">
        <f>DATE(2013,7,6) + TIME(3,39,12)</f>
        <v>41461.152222222219</v>
      </c>
      <c r="C1525">
        <v>1378.5466309000001</v>
      </c>
      <c r="D1525">
        <v>1364.7648925999999</v>
      </c>
      <c r="E1525">
        <v>1291.0894774999999</v>
      </c>
      <c r="F1525">
        <v>1271.4616699000001</v>
      </c>
      <c r="G1525">
        <v>80</v>
      </c>
      <c r="H1525">
        <v>79.956733704000001</v>
      </c>
      <c r="I1525">
        <v>50</v>
      </c>
      <c r="J1525">
        <v>46.633934021000002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1163.510802</v>
      </c>
      <c r="B1526" s="1">
        <f>DATE(2013,7,7) + TIME(12,15,33)</f>
        <v>41462.510798611111</v>
      </c>
      <c r="C1526">
        <v>1378.4880370999999</v>
      </c>
      <c r="D1526">
        <v>1364.7158202999999</v>
      </c>
      <c r="E1526">
        <v>1291.0706786999999</v>
      </c>
      <c r="F1526">
        <v>1271.4222411999999</v>
      </c>
      <c r="G1526">
        <v>80</v>
      </c>
      <c r="H1526">
        <v>79.956748962000006</v>
      </c>
      <c r="I1526">
        <v>50</v>
      </c>
      <c r="J1526">
        <v>46.585960387999997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1164.8866410000001</v>
      </c>
      <c r="B1527" s="1">
        <f>DATE(2013,7,8) + TIME(21,16,45)</f>
        <v>41463.886631944442</v>
      </c>
      <c r="C1527">
        <v>1378.4293213000001</v>
      </c>
      <c r="D1527">
        <v>1364.666626</v>
      </c>
      <c r="E1527">
        <v>1291.0517577999999</v>
      </c>
      <c r="F1527">
        <v>1271.3819579999999</v>
      </c>
      <c r="G1527">
        <v>80</v>
      </c>
      <c r="H1527">
        <v>79.956756592000005</v>
      </c>
      <c r="I1527">
        <v>50</v>
      </c>
      <c r="J1527">
        <v>46.538249968999999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1166.2847340000001</v>
      </c>
      <c r="B1528" s="1">
        <f>DATE(2013,7,10) + TIME(6,50,1)</f>
        <v>41465.284733796296</v>
      </c>
      <c r="C1528">
        <v>1378.3706055</v>
      </c>
      <c r="D1528">
        <v>1364.6174315999999</v>
      </c>
      <c r="E1528">
        <v>1291.0328368999999</v>
      </c>
      <c r="F1528">
        <v>1271.3410644999999</v>
      </c>
      <c r="G1528">
        <v>80</v>
      </c>
      <c r="H1528">
        <v>79.956771850999999</v>
      </c>
      <c r="I1528">
        <v>50</v>
      </c>
      <c r="J1528">
        <v>46.491054535000004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1167.710288</v>
      </c>
      <c r="B1529" s="1">
        <f>DATE(2013,7,11) + TIME(17,2,48)</f>
        <v>41466.710277777776</v>
      </c>
      <c r="C1529">
        <v>1378.3118896000001</v>
      </c>
      <c r="D1529">
        <v>1364.5678711</v>
      </c>
      <c r="E1529">
        <v>1291.0140381000001</v>
      </c>
      <c r="F1529">
        <v>1271.2994385</v>
      </c>
      <c r="G1529">
        <v>80</v>
      </c>
      <c r="H1529">
        <v>79.956787109000004</v>
      </c>
      <c r="I1529">
        <v>50</v>
      </c>
      <c r="J1529">
        <v>46.444492339999996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1169.1671610000001</v>
      </c>
      <c r="B1530" s="1">
        <f>DATE(2013,7,13) + TIME(4,0,42)</f>
        <v>41468.16715277778</v>
      </c>
      <c r="C1530">
        <v>1378.2525635</v>
      </c>
      <c r="D1530">
        <v>1364.5179443</v>
      </c>
      <c r="E1530">
        <v>1290.9951172000001</v>
      </c>
      <c r="F1530">
        <v>1271.2572021000001</v>
      </c>
      <c r="G1530">
        <v>80</v>
      </c>
      <c r="H1530">
        <v>79.956809997999997</v>
      </c>
      <c r="I1530">
        <v>50</v>
      </c>
      <c r="J1530">
        <v>46.398685454999999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1170.639473</v>
      </c>
      <c r="B1531" s="1">
        <f>DATE(2013,7,14) + TIME(15,20,50)</f>
        <v>41469.639467592591</v>
      </c>
      <c r="C1531">
        <v>1378.192749</v>
      </c>
      <c r="D1531">
        <v>1364.4675293</v>
      </c>
      <c r="E1531">
        <v>1290.9764404</v>
      </c>
      <c r="F1531">
        <v>1271.2144774999999</v>
      </c>
      <c r="G1531">
        <v>80</v>
      </c>
      <c r="H1531">
        <v>79.956825256000002</v>
      </c>
      <c r="I1531">
        <v>50</v>
      </c>
      <c r="J1531">
        <v>46.354022980000003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1172.128524</v>
      </c>
      <c r="B1532" s="1">
        <f>DATE(2013,7,16) + TIME(3,5,4)</f>
        <v>41471.128518518519</v>
      </c>
      <c r="C1532">
        <v>1378.1330565999999</v>
      </c>
      <c r="D1532">
        <v>1364.4169922000001</v>
      </c>
      <c r="E1532">
        <v>1290.9580077999999</v>
      </c>
      <c r="F1532">
        <v>1271.1716309000001</v>
      </c>
      <c r="G1532">
        <v>80</v>
      </c>
      <c r="H1532">
        <v>79.956840514999996</v>
      </c>
      <c r="I1532">
        <v>50</v>
      </c>
      <c r="J1532">
        <v>46.310943604000002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1173.6272059999999</v>
      </c>
      <c r="B1533" s="1">
        <f>DATE(2013,7,17) + TIME(15,3,10)</f>
        <v>41472.627199074072</v>
      </c>
      <c r="C1533">
        <v>1378.0734863</v>
      </c>
      <c r="D1533">
        <v>1364.3664550999999</v>
      </c>
      <c r="E1533">
        <v>1290.9401855000001</v>
      </c>
      <c r="F1533">
        <v>1271.1289062000001</v>
      </c>
      <c r="G1533">
        <v>80</v>
      </c>
      <c r="H1533">
        <v>79.956855774000005</v>
      </c>
      <c r="I1533">
        <v>50</v>
      </c>
      <c r="J1533">
        <v>46.269897460999999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1175.1402250000001</v>
      </c>
      <c r="B1534" s="1">
        <f>DATE(2013,7,19) + TIME(3,21,55)</f>
        <v>41474.140219907407</v>
      </c>
      <c r="C1534">
        <v>1378.0141602000001</v>
      </c>
      <c r="D1534">
        <v>1364.3161620999999</v>
      </c>
      <c r="E1534">
        <v>1290.9230957</v>
      </c>
      <c r="F1534">
        <v>1271.0867920000001</v>
      </c>
      <c r="G1534">
        <v>80</v>
      </c>
      <c r="H1534">
        <v>79.956878661999994</v>
      </c>
      <c r="I1534">
        <v>50</v>
      </c>
      <c r="J1534">
        <v>46.231281281000001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1176.6720640000001</v>
      </c>
      <c r="B1535" s="1">
        <f>DATE(2013,7,20) + TIME(16,7,46)</f>
        <v>41475.672060185185</v>
      </c>
      <c r="C1535">
        <v>1377.9548339999999</v>
      </c>
      <c r="D1535">
        <v>1364.2657471</v>
      </c>
      <c r="E1535">
        <v>1290.9068603999999</v>
      </c>
      <c r="F1535">
        <v>1271.0454102000001</v>
      </c>
      <c r="G1535">
        <v>80</v>
      </c>
      <c r="H1535">
        <v>79.956893921000002</v>
      </c>
      <c r="I1535">
        <v>50</v>
      </c>
      <c r="J1535">
        <v>46.195426941000001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1178.226443</v>
      </c>
      <c r="B1536" s="1">
        <f>DATE(2013,7,22) + TIME(5,26,4)</f>
        <v>41477.226435185185</v>
      </c>
      <c r="C1536">
        <v>1377.8956298999999</v>
      </c>
      <c r="D1536">
        <v>1364.2152100000001</v>
      </c>
      <c r="E1536">
        <v>1290.8914795000001</v>
      </c>
      <c r="F1536">
        <v>1271.0047606999999</v>
      </c>
      <c r="G1536">
        <v>80</v>
      </c>
      <c r="H1536">
        <v>79.956916809000006</v>
      </c>
      <c r="I1536">
        <v>50</v>
      </c>
      <c r="J1536">
        <v>46.162719727000002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1179.807313</v>
      </c>
      <c r="B1537" s="1">
        <f>DATE(2013,7,23) + TIME(19,22,31)</f>
        <v>41478.807303240741</v>
      </c>
      <c r="C1537">
        <v>1377.8360596</v>
      </c>
      <c r="D1537">
        <v>1364.1643065999999</v>
      </c>
      <c r="E1537">
        <v>1290.8771973</v>
      </c>
      <c r="F1537">
        <v>1270.9652100000001</v>
      </c>
      <c r="G1537">
        <v>80</v>
      </c>
      <c r="H1537">
        <v>79.956939696999996</v>
      </c>
      <c r="I1537">
        <v>50</v>
      </c>
      <c r="J1537">
        <v>46.133617401000002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1181.418946</v>
      </c>
      <c r="B1538" s="1">
        <f>DATE(2013,7,25) + TIME(10,3,16)</f>
        <v>41480.418935185182</v>
      </c>
      <c r="C1538">
        <v>1377.7761230000001</v>
      </c>
      <c r="D1538">
        <v>1364.1130370999999</v>
      </c>
      <c r="E1538">
        <v>1290.8641356999999</v>
      </c>
      <c r="F1538">
        <v>1270.927124</v>
      </c>
      <c r="G1538">
        <v>80</v>
      </c>
      <c r="H1538">
        <v>79.956962584999999</v>
      </c>
      <c r="I1538">
        <v>50</v>
      </c>
      <c r="J1538">
        <v>46.10867691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1183.065969</v>
      </c>
      <c r="B1539" s="1">
        <f>DATE(2013,7,27) + TIME(1,34,59)</f>
        <v>41482.065960648149</v>
      </c>
      <c r="C1539">
        <v>1377.7156981999999</v>
      </c>
      <c r="D1539">
        <v>1364.0612793</v>
      </c>
      <c r="E1539">
        <v>1290.8525391000001</v>
      </c>
      <c r="F1539">
        <v>1270.890625</v>
      </c>
      <c r="G1539">
        <v>80</v>
      </c>
      <c r="H1539">
        <v>79.956985474000007</v>
      </c>
      <c r="I1539">
        <v>50</v>
      </c>
      <c r="J1539">
        <v>46.088577270999998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1184.740955</v>
      </c>
      <c r="B1540" s="1">
        <f>DATE(2013,7,28) + TIME(17,46,58)</f>
        <v>41483.740949074076</v>
      </c>
      <c r="C1540">
        <v>1377.6545410000001</v>
      </c>
      <c r="D1540">
        <v>1364.0087891000001</v>
      </c>
      <c r="E1540">
        <v>1290.8426514</v>
      </c>
      <c r="F1540">
        <v>1270.8562012</v>
      </c>
      <c r="G1540">
        <v>80</v>
      </c>
      <c r="H1540">
        <v>79.957008361999996</v>
      </c>
      <c r="I1540">
        <v>50</v>
      </c>
      <c r="J1540">
        <v>46.074195862000003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1186.4411769999999</v>
      </c>
      <c r="B1541" s="1">
        <f>DATE(2013,7,30) + TIME(10,35,17)</f>
        <v>41485.441168981481</v>
      </c>
      <c r="C1541">
        <v>1377.5930175999999</v>
      </c>
      <c r="D1541">
        <v>1363.9558105000001</v>
      </c>
      <c r="E1541">
        <v>1290.8348389</v>
      </c>
      <c r="F1541">
        <v>1270.824707</v>
      </c>
      <c r="G1541">
        <v>80</v>
      </c>
      <c r="H1541">
        <v>79.95703125</v>
      </c>
      <c r="I1541">
        <v>50</v>
      </c>
      <c r="J1541">
        <v>46.066497802999997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1188</v>
      </c>
      <c r="B1542" s="1">
        <f>DATE(2013,8,1) + TIME(0,0,0)</f>
        <v>41487</v>
      </c>
      <c r="C1542">
        <v>1377.5311279</v>
      </c>
      <c r="D1542">
        <v>1363.9023437999999</v>
      </c>
      <c r="E1542">
        <v>1290.8294678</v>
      </c>
      <c r="F1542">
        <v>1270.7971190999999</v>
      </c>
      <c r="G1542">
        <v>80</v>
      </c>
      <c r="H1542">
        <v>79.957054138000004</v>
      </c>
      <c r="I1542">
        <v>50</v>
      </c>
      <c r="J1542">
        <v>46.066486359000002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1189.73127</v>
      </c>
      <c r="B1543" s="1">
        <f>DATE(2013,8,2) + TIME(17,33,1)</f>
        <v>41488.731261574074</v>
      </c>
      <c r="C1543">
        <v>1377.4749756000001</v>
      </c>
      <c r="D1543">
        <v>1363.8537598</v>
      </c>
      <c r="E1543">
        <v>1290.8261719</v>
      </c>
      <c r="F1543">
        <v>1270.7742920000001</v>
      </c>
      <c r="G1543">
        <v>80</v>
      </c>
      <c r="H1543">
        <v>79.957077025999993</v>
      </c>
      <c r="I1543">
        <v>50</v>
      </c>
      <c r="J1543">
        <v>46.074333191000001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1191.533651</v>
      </c>
      <c r="B1544" s="1">
        <f>DATE(2013,8,4) + TIME(12,48,27)</f>
        <v>41490.533645833333</v>
      </c>
      <c r="C1544">
        <v>1377.4132079999999</v>
      </c>
      <c r="D1544">
        <v>1363.800293</v>
      </c>
      <c r="E1544">
        <v>1290.8258057</v>
      </c>
      <c r="F1544">
        <v>1270.7547606999999</v>
      </c>
      <c r="G1544">
        <v>80</v>
      </c>
      <c r="H1544">
        <v>79.957107543999996</v>
      </c>
      <c r="I1544">
        <v>50</v>
      </c>
      <c r="J1544">
        <v>46.091926575000002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1193.3665040000001</v>
      </c>
      <c r="B1545" s="1">
        <f>DATE(2013,8,6) + TIME(8,47,45)</f>
        <v>41492.366493055553</v>
      </c>
      <c r="C1545">
        <v>1377.3494873</v>
      </c>
      <c r="D1545">
        <v>1363.7448730000001</v>
      </c>
      <c r="E1545">
        <v>1290.8286132999999</v>
      </c>
      <c r="F1545">
        <v>1270.7401123</v>
      </c>
      <c r="G1545">
        <v>80</v>
      </c>
      <c r="H1545">
        <v>79.957138061999999</v>
      </c>
      <c r="I1545">
        <v>50</v>
      </c>
      <c r="J1545">
        <v>46.120849608999997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1195.233727</v>
      </c>
      <c r="B1546" s="1">
        <f>DATE(2013,8,8) + TIME(5,36,34)</f>
        <v>41494.233726851853</v>
      </c>
      <c r="C1546">
        <v>1377.2852783000001</v>
      </c>
      <c r="D1546">
        <v>1363.6890868999999</v>
      </c>
      <c r="E1546">
        <v>1290.8349608999999</v>
      </c>
      <c r="F1546">
        <v>1270.7316894999999</v>
      </c>
      <c r="G1546">
        <v>80</v>
      </c>
      <c r="H1546">
        <v>79.957160950000002</v>
      </c>
      <c r="I1546">
        <v>50</v>
      </c>
      <c r="J1546">
        <v>46.162460326999998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1197.1149660000001</v>
      </c>
      <c r="B1547" s="1">
        <f>DATE(2013,8,10) + TIME(2,45,33)</f>
        <v>41496.114965277775</v>
      </c>
      <c r="C1547">
        <v>1377.2205810999999</v>
      </c>
      <c r="D1547">
        <v>1363.6326904</v>
      </c>
      <c r="E1547">
        <v>1290.8453368999999</v>
      </c>
      <c r="F1547">
        <v>1270.7302245999999</v>
      </c>
      <c r="G1547">
        <v>80</v>
      </c>
      <c r="H1547">
        <v>79.957191467000001</v>
      </c>
      <c r="I1547">
        <v>50</v>
      </c>
      <c r="J1547">
        <v>46.218040465999998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1199.016511</v>
      </c>
      <c r="B1548" s="1">
        <f>DATE(2013,8,12) + TIME(0,23,46)</f>
        <v>41498.016504629632</v>
      </c>
      <c r="C1548">
        <v>1377.1560059000001</v>
      </c>
      <c r="D1548">
        <v>1363.5761719</v>
      </c>
      <c r="E1548">
        <v>1290.8596190999999</v>
      </c>
      <c r="F1548">
        <v>1270.7365723</v>
      </c>
      <c r="G1548">
        <v>80</v>
      </c>
      <c r="H1548">
        <v>79.957221985000004</v>
      </c>
      <c r="I1548">
        <v>50</v>
      </c>
      <c r="J1548">
        <v>46.288623809999997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1200.9343120000001</v>
      </c>
      <c r="B1549" s="1">
        <f>DATE(2013,8,13) + TIME(22,25,24)</f>
        <v>41499.934305555558</v>
      </c>
      <c r="C1549">
        <v>1377.0914307</v>
      </c>
      <c r="D1549">
        <v>1363.5196533000001</v>
      </c>
      <c r="E1549">
        <v>1290.8782959</v>
      </c>
      <c r="F1549">
        <v>1270.7514647999999</v>
      </c>
      <c r="G1549">
        <v>80</v>
      </c>
      <c r="H1549">
        <v>79.957252502000003</v>
      </c>
      <c r="I1549">
        <v>50</v>
      </c>
      <c r="J1549">
        <v>46.375308990000001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1202.8689179999999</v>
      </c>
      <c r="B1550" s="1">
        <f>DATE(2013,8,15) + TIME(20,51,14)</f>
        <v>41501.86891203704</v>
      </c>
      <c r="C1550">
        <v>1377.0268555</v>
      </c>
      <c r="D1550">
        <v>1363.4631348</v>
      </c>
      <c r="E1550">
        <v>1290.9014893000001</v>
      </c>
      <c r="F1550">
        <v>1270.7753906</v>
      </c>
      <c r="G1550">
        <v>80</v>
      </c>
      <c r="H1550">
        <v>79.957283020000006</v>
      </c>
      <c r="I1550">
        <v>50</v>
      </c>
      <c r="J1550">
        <v>46.478992462000001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1204.8251660000001</v>
      </c>
      <c r="B1551" s="1">
        <f>DATE(2013,8,17) + TIME(19,48,14)</f>
        <v>41503.825162037036</v>
      </c>
      <c r="C1551">
        <v>1376.9625243999999</v>
      </c>
      <c r="D1551">
        <v>1363.4064940999999</v>
      </c>
      <c r="E1551">
        <v>1290.9291992000001</v>
      </c>
      <c r="F1551">
        <v>1270.8088379000001</v>
      </c>
      <c r="G1551">
        <v>80</v>
      </c>
      <c r="H1551">
        <v>79.957321167000003</v>
      </c>
      <c r="I1551">
        <v>50</v>
      </c>
      <c r="J1551">
        <v>46.600608825999998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1206.812248</v>
      </c>
      <c r="B1552" s="1">
        <f>DATE(2013,8,19) + TIME(19,29,38)</f>
        <v>41505.812245370369</v>
      </c>
      <c r="C1552">
        <v>1376.8981934000001</v>
      </c>
      <c r="D1552">
        <v>1363.3498535000001</v>
      </c>
      <c r="E1552">
        <v>1290.9616699000001</v>
      </c>
      <c r="F1552">
        <v>1270.8522949000001</v>
      </c>
      <c r="G1552">
        <v>80</v>
      </c>
      <c r="H1552">
        <v>79.957351685000006</v>
      </c>
      <c r="I1552">
        <v>50</v>
      </c>
      <c r="J1552">
        <v>46.741111754999999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1208.835838</v>
      </c>
      <c r="B1553" s="1">
        <f>DATE(2013,8,21) + TIME(20,3,36)</f>
        <v>41507.835833333331</v>
      </c>
      <c r="C1553">
        <v>1376.8336182</v>
      </c>
      <c r="D1553">
        <v>1363.2928466999999</v>
      </c>
      <c r="E1553">
        <v>1290.9989014</v>
      </c>
      <c r="F1553">
        <v>1270.9063721</v>
      </c>
      <c r="G1553">
        <v>80</v>
      </c>
      <c r="H1553">
        <v>79.957382202000005</v>
      </c>
      <c r="I1553">
        <v>50</v>
      </c>
      <c r="J1553">
        <v>46.901599883999999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1210.901842</v>
      </c>
      <c r="B1554" s="1">
        <f>DATE(2013,8,23) + TIME(21,38,39)</f>
        <v>41509.90184027778</v>
      </c>
      <c r="C1554">
        <v>1376.7686768000001</v>
      </c>
      <c r="D1554">
        <v>1363.2355957</v>
      </c>
      <c r="E1554">
        <v>1291.0412598</v>
      </c>
      <c r="F1554">
        <v>1270.9714355000001</v>
      </c>
      <c r="G1554">
        <v>80</v>
      </c>
      <c r="H1554">
        <v>79.957420349000003</v>
      </c>
      <c r="I1554">
        <v>50</v>
      </c>
      <c r="J1554">
        <v>47.083068848000003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1213.016699</v>
      </c>
      <c r="B1555" s="1">
        <f>DATE(2013,8,26) + TIME(0,24,2)</f>
        <v>41512.016689814816</v>
      </c>
      <c r="C1555">
        <v>1376.7032471</v>
      </c>
      <c r="D1555">
        <v>1363.1777344</v>
      </c>
      <c r="E1555">
        <v>1291.0886230000001</v>
      </c>
      <c r="F1555">
        <v>1271.0479736</v>
      </c>
      <c r="G1555">
        <v>80</v>
      </c>
      <c r="H1555">
        <v>79.957458496000001</v>
      </c>
      <c r="I1555">
        <v>50</v>
      </c>
      <c r="J1555">
        <v>47.286396027000002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1215.140709</v>
      </c>
      <c r="B1556" s="1">
        <f>DATE(2013,8,28) + TIME(3,22,37)</f>
        <v>41514.140706018516</v>
      </c>
      <c r="C1556">
        <v>1376.637207</v>
      </c>
      <c r="D1556">
        <v>1363.1192627</v>
      </c>
      <c r="E1556">
        <v>1291.1414795000001</v>
      </c>
      <c r="F1556">
        <v>1271.1361084</v>
      </c>
      <c r="G1556">
        <v>80</v>
      </c>
      <c r="H1556">
        <v>79.957496642999999</v>
      </c>
      <c r="I1556">
        <v>50</v>
      </c>
      <c r="J1556">
        <v>47.510944365999997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1217.2830590000001</v>
      </c>
      <c r="B1557" s="1">
        <f>DATE(2013,8,30) + TIME(6,47,36)</f>
        <v>41516.283055555556</v>
      </c>
      <c r="C1557">
        <v>1376.5720214999999</v>
      </c>
      <c r="D1557">
        <v>1363.0614014</v>
      </c>
      <c r="E1557">
        <v>1291.1982422000001</v>
      </c>
      <c r="F1557">
        <v>1271.234375</v>
      </c>
      <c r="G1557">
        <v>80</v>
      </c>
      <c r="H1557">
        <v>79.957534789999997</v>
      </c>
      <c r="I1557">
        <v>50</v>
      </c>
      <c r="J1557">
        <v>47.754215240000001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1219</v>
      </c>
      <c r="B1558" s="1">
        <f>DATE(2013,9,1) + TIME(0,0,0)</f>
        <v>41518</v>
      </c>
      <c r="C1558">
        <v>1376.5072021000001</v>
      </c>
      <c r="D1558">
        <v>1363.0039062000001</v>
      </c>
      <c r="E1558">
        <v>1291.2607422000001</v>
      </c>
      <c r="F1558">
        <v>1271.3397216999999</v>
      </c>
      <c r="G1558">
        <v>80</v>
      </c>
      <c r="H1558">
        <v>79.957557678000001</v>
      </c>
      <c r="I1558">
        <v>50</v>
      </c>
      <c r="J1558">
        <v>47.997383118000002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1221.171499</v>
      </c>
      <c r="B1559" s="1">
        <f>DATE(2013,9,3) + TIME(4,6,57)</f>
        <v>41520.171493055554</v>
      </c>
      <c r="C1559">
        <v>1376.4561768000001</v>
      </c>
      <c r="D1559">
        <v>1362.9584961</v>
      </c>
      <c r="E1559">
        <v>1291.3099365</v>
      </c>
      <c r="F1559">
        <v>1271.4388428</v>
      </c>
      <c r="G1559">
        <v>80</v>
      </c>
      <c r="H1559">
        <v>79.957595824999999</v>
      </c>
      <c r="I1559">
        <v>50</v>
      </c>
      <c r="J1559">
        <v>48.244373322000001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1223.454086</v>
      </c>
      <c r="B1560" s="1">
        <f>DATE(2013,9,5) + TIME(10,53,53)</f>
        <v>41522.454085648147</v>
      </c>
      <c r="C1560">
        <v>1376.3927002</v>
      </c>
      <c r="D1560">
        <v>1362.9022216999999</v>
      </c>
      <c r="E1560">
        <v>1291.3756103999999</v>
      </c>
      <c r="F1560">
        <v>1271.5588379000001</v>
      </c>
      <c r="G1560">
        <v>80</v>
      </c>
      <c r="H1560">
        <v>79.957641601999995</v>
      </c>
      <c r="I1560">
        <v>50</v>
      </c>
      <c r="J1560">
        <v>48.527378081999998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1225.7847859999999</v>
      </c>
      <c r="B1561" s="1">
        <f>DATE(2013,9,7) + TIME(18,50,5)</f>
        <v>41524.784780092596</v>
      </c>
      <c r="C1561">
        <v>1376.3273925999999</v>
      </c>
      <c r="D1561">
        <v>1362.8441161999999</v>
      </c>
      <c r="E1561">
        <v>1291.4468993999999</v>
      </c>
      <c r="F1561">
        <v>1271.6918945</v>
      </c>
      <c r="G1561">
        <v>80</v>
      </c>
      <c r="H1561">
        <v>79.957679748999993</v>
      </c>
      <c r="I1561">
        <v>50</v>
      </c>
      <c r="J1561">
        <v>48.836158752000003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1228.1720909999999</v>
      </c>
      <c r="B1562" s="1">
        <f>DATE(2013,9,10) + TIME(4,7,48)</f>
        <v>41527.172083333331</v>
      </c>
      <c r="C1562">
        <v>1376.2619629000001</v>
      </c>
      <c r="D1562">
        <v>1362.7858887</v>
      </c>
      <c r="E1562">
        <v>1291.5211182</v>
      </c>
      <c r="F1562">
        <v>1271.8336182</v>
      </c>
      <c r="G1562">
        <v>80</v>
      </c>
      <c r="H1562">
        <v>79.957725525000001</v>
      </c>
      <c r="I1562">
        <v>50</v>
      </c>
      <c r="J1562">
        <v>49.162464141999997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1230.5918919999999</v>
      </c>
      <c r="B1563" s="1">
        <f>DATE(2013,9,12) + TIME(14,12,19)</f>
        <v>41529.591886574075</v>
      </c>
      <c r="C1563">
        <v>1376.1966553</v>
      </c>
      <c r="D1563">
        <v>1362.7277832</v>
      </c>
      <c r="E1563">
        <v>1291.5981445</v>
      </c>
      <c r="F1563">
        <v>1271.9822998</v>
      </c>
      <c r="G1563">
        <v>80</v>
      </c>
      <c r="H1563">
        <v>79.957771300999994</v>
      </c>
      <c r="I1563">
        <v>50</v>
      </c>
      <c r="J1563">
        <v>49.502040862999998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1233.0460430000001</v>
      </c>
      <c r="B1564" s="1">
        <f>DATE(2013,9,15) + TIME(1,6,18)</f>
        <v>41532.046041666668</v>
      </c>
      <c r="C1564">
        <v>1376.1319579999999</v>
      </c>
      <c r="D1564">
        <v>1362.6702881000001</v>
      </c>
      <c r="E1564">
        <v>1291.6762695</v>
      </c>
      <c r="F1564">
        <v>1272.135376</v>
      </c>
      <c r="G1564">
        <v>80</v>
      </c>
      <c r="H1564">
        <v>79.957817078000005</v>
      </c>
      <c r="I1564">
        <v>50</v>
      </c>
      <c r="J1564">
        <v>49.850055695000002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1235.545423</v>
      </c>
      <c r="B1565" s="1">
        <f>DATE(2013,9,17) + TIME(13,5,24)</f>
        <v>41534.545416666668</v>
      </c>
      <c r="C1565">
        <v>1376.0679932</v>
      </c>
      <c r="D1565">
        <v>1362.6135254000001</v>
      </c>
      <c r="E1565">
        <v>1291.7550048999999</v>
      </c>
      <c r="F1565">
        <v>1272.2908935999999</v>
      </c>
      <c r="G1565">
        <v>80</v>
      </c>
      <c r="H1565">
        <v>79.957862853999998</v>
      </c>
      <c r="I1565">
        <v>50</v>
      </c>
      <c r="J1565">
        <v>50.203449249000002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1238.0909059999999</v>
      </c>
      <c r="B1566" s="1">
        <f>DATE(2013,9,20) + TIME(2,10,54)</f>
        <v>41537.090902777774</v>
      </c>
      <c r="C1566">
        <v>1376.0047606999999</v>
      </c>
      <c r="D1566">
        <v>1362.5571289</v>
      </c>
      <c r="E1566">
        <v>1291.8338623</v>
      </c>
      <c r="F1566">
        <v>1272.4481201000001</v>
      </c>
      <c r="G1566">
        <v>80</v>
      </c>
      <c r="H1566">
        <v>79.957908630000006</v>
      </c>
      <c r="I1566">
        <v>50</v>
      </c>
      <c r="J1566">
        <v>50.560420989999997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1240.667189</v>
      </c>
      <c r="B1567" s="1">
        <f>DATE(2013,9,22) + TIME(16,0,45)</f>
        <v>41539.667187500003</v>
      </c>
      <c r="C1567">
        <v>1375.9420166</v>
      </c>
      <c r="D1567">
        <v>1362.5014647999999</v>
      </c>
      <c r="E1567">
        <v>1291.9123535000001</v>
      </c>
      <c r="F1567">
        <v>1272.6054687999999</v>
      </c>
      <c r="G1567">
        <v>80</v>
      </c>
      <c r="H1567">
        <v>79.957954407000003</v>
      </c>
      <c r="I1567">
        <v>50</v>
      </c>
      <c r="J1567">
        <v>50.918315886999999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1243.273535</v>
      </c>
      <c r="B1568" s="1">
        <f>DATE(2013,9,25) + TIME(6,33,53)</f>
        <v>41542.273530092592</v>
      </c>
      <c r="C1568">
        <v>1375.8803711</v>
      </c>
      <c r="D1568">
        <v>1362.4466553</v>
      </c>
      <c r="E1568">
        <v>1291.9893798999999</v>
      </c>
      <c r="F1568">
        <v>1272.7609863</v>
      </c>
      <c r="G1568">
        <v>80</v>
      </c>
      <c r="H1568">
        <v>79.958000182999996</v>
      </c>
      <c r="I1568">
        <v>50</v>
      </c>
      <c r="J1568">
        <v>51.273681641000003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1245.895749</v>
      </c>
      <c r="B1569" s="1">
        <f>DATE(2013,9,27) + TIME(21,29,52)</f>
        <v>41544.895740740743</v>
      </c>
      <c r="C1569">
        <v>1375.8198242000001</v>
      </c>
      <c r="D1569">
        <v>1362.3929443</v>
      </c>
      <c r="E1569">
        <v>1292.0643310999999</v>
      </c>
      <c r="F1569">
        <v>1272.9130858999999</v>
      </c>
      <c r="G1569">
        <v>80</v>
      </c>
      <c r="H1569">
        <v>79.958053589000002</v>
      </c>
      <c r="I1569">
        <v>50</v>
      </c>
      <c r="J1569">
        <v>51.623367309999999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1248.54052</v>
      </c>
      <c r="B1570" s="1">
        <f>DATE(2013,9,30) + TIME(12,58,20)</f>
        <v>41547.540509259263</v>
      </c>
      <c r="C1570">
        <v>1375.7608643000001</v>
      </c>
      <c r="D1570">
        <v>1362.3405762</v>
      </c>
      <c r="E1570">
        <v>1292.1363524999999</v>
      </c>
      <c r="F1570">
        <v>1273.0603027</v>
      </c>
      <c r="G1570">
        <v>80</v>
      </c>
      <c r="H1570">
        <v>79.958099364999995</v>
      </c>
      <c r="I1570">
        <v>50</v>
      </c>
      <c r="J1570">
        <v>51.964878081999998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1249</v>
      </c>
      <c r="B1571" s="1">
        <f>DATE(2013,10,1) + TIME(0,0,0)</f>
        <v>41548</v>
      </c>
      <c r="C1571">
        <v>1375.7044678</v>
      </c>
      <c r="D1571">
        <v>1362.2907714999999</v>
      </c>
      <c r="E1571">
        <v>1292.2185059000001</v>
      </c>
      <c r="F1571">
        <v>1273.1699219</v>
      </c>
      <c r="G1571">
        <v>80</v>
      </c>
      <c r="H1571">
        <v>79.958099364999995</v>
      </c>
      <c r="I1571">
        <v>50</v>
      </c>
      <c r="J1571">
        <v>52.121662139999998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1251.6672819999999</v>
      </c>
      <c r="B1572" s="1">
        <f>DATE(2013,10,3) + TIME(16,0,53)</f>
        <v>41550.667280092595</v>
      </c>
      <c r="C1572">
        <v>1375.6929932</v>
      </c>
      <c r="D1572">
        <v>1362.2803954999999</v>
      </c>
      <c r="E1572">
        <v>1292.2196045000001</v>
      </c>
      <c r="F1572">
        <v>1273.237793</v>
      </c>
      <c r="G1572">
        <v>80</v>
      </c>
      <c r="H1572">
        <v>79.958152771000002</v>
      </c>
      <c r="I1572">
        <v>50</v>
      </c>
      <c r="J1572">
        <v>52.375774384000003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1254.3744469999999</v>
      </c>
      <c r="B1573" s="1">
        <f>DATE(2013,10,6) + TIME(8,59,12)</f>
        <v>41553.374444444446</v>
      </c>
      <c r="C1573">
        <v>1375.6370850000001</v>
      </c>
      <c r="D1573">
        <v>1362.2308350000001</v>
      </c>
      <c r="E1573">
        <v>1292.2823486</v>
      </c>
      <c r="F1573">
        <v>1273.3624268000001</v>
      </c>
      <c r="G1573">
        <v>80</v>
      </c>
      <c r="H1573">
        <v>79.958206176999994</v>
      </c>
      <c r="I1573">
        <v>50</v>
      </c>
      <c r="J1573">
        <v>52.678096771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1257.1291329999999</v>
      </c>
      <c r="B1574" s="1">
        <f>DATE(2013,10,9) + TIME(3,5,57)</f>
        <v>41556.129131944443</v>
      </c>
      <c r="C1574">
        <v>1375.5817870999999</v>
      </c>
      <c r="D1574">
        <v>1362.1818848</v>
      </c>
      <c r="E1574">
        <v>1292.3435059000001</v>
      </c>
      <c r="F1574">
        <v>1273.4886475000001</v>
      </c>
      <c r="G1574">
        <v>80</v>
      </c>
      <c r="H1574">
        <v>79.958259583</v>
      </c>
      <c r="I1574">
        <v>50</v>
      </c>
      <c r="J1574">
        <v>52.98469162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1259.939507</v>
      </c>
      <c r="B1575" s="1">
        <f>DATE(2013,10,11) + TIME(22,32,53)</f>
        <v>41558.939502314817</v>
      </c>
      <c r="C1575">
        <v>1375.5272216999999</v>
      </c>
      <c r="D1575">
        <v>1362.1336670000001</v>
      </c>
      <c r="E1575">
        <v>1292.4019774999999</v>
      </c>
      <c r="F1575">
        <v>1273.6104736</v>
      </c>
      <c r="G1575">
        <v>80</v>
      </c>
      <c r="H1575">
        <v>79.958312988000003</v>
      </c>
      <c r="I1575">
        <v>50</v>
      </c>
      <c r="J1575">
        <v>53.285373688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1262.814449</v>
      </c>
      <c r="B1576" s="1">
        <f>DATE(2013,10,14) + TIME(19,32,48)</f>
        <v>41561.814444444448</v>
      </c>
      <c r="C1576">
        <v>1375.4732666</v>
      </c>
      <c r="D1576">
        <v>1362.0859375</v>
      </c>
      <c r="E1576">
        <v>1292.4572754000001</v>
      </c>
      <c r="F1576">
        <v>1273.7268065999999</v>
      </c>
      <c r="G1576">
        <v>80</v>
      </c>
      <c r="H1576">
        <v>79.958366393999995</v>
      </c>
      <c r="I1576">
        <v>50</v>
      </c>
      <c r="J1576">
        <v>53.577953338999997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1265.7016530000001</v>
      </c>
      <c r="B1577" s="1">
        <f>DATE(2013,10,17) + TIME(16,50,22)</f>
        <v>41564.701643518521</v>
      </c>
      <c r="C1577">
        <v>1375.4196777</v>
      </c>
      <c r="D1577">
        <v>1362.0385742000001</v>
      </c>
      <c r="E1577">
        <v>1292.5096435999999</v>
      </c>
      <c r="F1577">
        <v>1273.8370361</v>
      </c>
      <c r="G1577">
        <v>80</v>
      </c>
      <c r="H1577">
        <v>79.958419800000001</v>
      </c>
      <c r="I1577">
        <v>50</v>
      </c>
      <c r="J1577">
        <v>53.860767365000001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1268.6200260000001</v>
      </c>
      <c r="B1578" s="1">
        <f>DATE(2013,10,20) + TIME(14,52,50)</f>
        <v>41567.620023148149</v>
      </c>
      <c r="C1578">
        <v>1375.3675536999999</v>
      </c>
      <c r="D1578">
        <v>1361.9925536999999</v>
      </c>
      <c r="E1578">
        <v>1292.5578613</v>
      </c>
      <c r="F1578">
        <v>1273.9399414</v>
      </c>
      <c r="G1578">
        <v>80</v>
      </c>
      <c r="H1578">
        <v>79.958473205999994</v>
      </c>
      <c r="I1578">
        <v>50</v>
      </c>
      <c r="J1578">
        <v>54.130817413000003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1271.591183</v>
      </c>
      <c r="B1579" s="1">
        <f>DATE(2013,10,23) + TIME(14,11,18)</f>
        <v>41570.591180555559</v>
      </c>
      <c r="C1579">
        <v>1375.3165283000001</v>
      </c>
      <c r="D1579">
        <v>1361.9475098</v>
      </c>
      <c r="E1579">
        <v>1292.6022949000001</v>
      </c>
      <c r="F1579">
        <v>1274.0357666</v>
      </c>
      <c r="G1579">
        <v>80</v>
      </c>
      <c r="H1579">
        <v>79.958526610999996</v>
      </c>
      <c r="I1579">
        <v>50</v>
      </c>
      <c r="J1579">
        <v>54.389156342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1274.63554</v>
      </c>
      <c r="B1580" s="1">
        <f>DATE(2013,10,26) + TIME(15,15,10)</f>
        <v>41573.63553240741</v>
      </c>
      <c r="C1580">
        <v>1375.2661132999999</v>
      </c>
      <c r="D1580">
        <v>1361.9029541</v>
      </c>
      <c r="E1580">
        <v>1292.6434326000001</v>
      </c>
      <c r="F1580">
        <v>1274.1251221</v>
      </c>
      <c r="G1580">
        <v>80</v>
      </c>
      <c r="H1580">
        <v>79.958587645999998</v>
      </c>
      <c r="I1580">
        <v>50</v>
      </c>
      <c r="J1580">
        <v>54.637447356999999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1277.7648469999999</v>
      </c>
      <c r="B1581" s="1">
        <f>DATE(2013,10,29) + TIME(18,21,22)</f>
        <v>41576.764837962961</v>
      </c>
      <c r="C1581">
        <v>1375.2159423999999</v>
      </c>
      <c r="D1581">
        <v>1361.8587646000001</v>
      </c>
      <c r="E1581">
        <v>1292.6815185999999</v>
      </c>
      <c r="F1581">
        <v>1274.2087402</v>
      </c>
      <c r="G1581">
        <v>80</v>
      </c>
      <c r="H1581">
        <v>79.958648682000003</v>
      </c>
      <c r="I1581">
        <v>50</v>
      </c>
      <c r="J1581">
        <v>54.877254485999998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1280</v>
      </c>
      <c r="B1582" s="1">
        <f>DATE(2013,11,1) + TIME(0,0,0)</f>
        <v>41579</v>
      </c>
      <c r="C1582">
        <v>1375.1658935999999</v>
      </c>
      <c r="D1582">
        <v>1361.8146973</v>
      </c>
      <c r="E1582">
        <v>1292.7178954999999</v>
      </c>
      <c r="F1582">
        <v>1274.2838135</v>
      </c>
      <c r="G1582">
        <v>80</v>
      </c>
      <c r="H1582">
        <v>79.958686829000001</v>
      </c>
      <c r="I1582">
        <v>50</v>
      </c>
      <c r="J1582">
        <v>55.090473175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1280.0000010000001</v>
      </c>
      <c r="B1583" s="1">
        <f>DATE(2013,11,1) + TIME(0,0,0)</f>
        <v>41579</v>
      </c>
      <c r="C1583">
        <v>1360.9428711</v>
      </c>
      <c r="D1583">
        <v>1348.9802245999999</v>
      </c>
      <c r="E1583">
        <v>1312.3146973</v>
      </c>
      <c r="F1583">
        <v>1293.6370850000001</v>
      </c>
      <c r="G1583">
        <v>80</v>
      </c>
      <c r="H1583">
        <v>79.958557128999999</v>
      </c>
      <c r="I1583">
        <v>50</v>
      </c>
      <c r="J1583">
        <v>55.090587616000001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1280.000004</v>
      </c>
      <c r="B1584" s="1">
        <f>DATE(2013,11,1) + TIME(0,0,0)</f>
        <v>41579</v>
      </c>
      <c r="C1584">
        <v>1358.7402344</v>
      </c>
      <c r="D1584">
        <v>1346.7770995999999</v>
      </c>
      <c r="E1584">
        <v>1314.6680908000001</v>
      </c>
      <c r="F1584">
        <v>1296.0726318</v>
      </c>
      <c r="G1584">
        <v>80</v>
      </c>
      <c r="H1584">
        <v>79.958244324000006</v>
      </c>
      <c r="I1584">
        <v>50</v>
      </c>
      <c r="J1584">
        <v>55.090881348000003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1280.0000130000001</v>
      </c>
      <c r="B1585" s="1">
        <f>DATE(2013,11,1) + TIME(0,0,1)</f>
        <v>41579.000011574077</v>
      </c>
      <c r="C1585">
        <v>1354.2940673999999</v>
      </c>
      <c r="D1585">
        <v>1342.3303223</v>
      </c>
      <c r="E1585">
        <v>1319.9371338000001</v>
      </c>
      <c r="F1585">
        <v>1301.4685059000001</v>
      </c>
      <c r="G1585">
        <v>80</v>
      </c>
      <c r="H1585">
        <v>79.957611084000007</v>
      </c>
      <c r="I1585">
        <v>50</v>
      </c>
      <c r="J1585">
        <v>55.091529846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1280.0000399999999</v>
      </c>
      <c r="B1586" s="1">
        <f>DATE(2013,11,1) + TIME(0,0,3)</f>
        <v>41579.000034722223</v>
      </c>
      <c r="C1586">
        <v>1347.7985839999999</v>
      </c>
      <c r="D1586">
        <v>1335.8367920000001</v>
      </c>
      <c r="E1586">
        <v>1328.6176757999999</v>
      </c>
      <c r="F1586">
        <v>1310.2043457</v>
      </c>
      <c r="G1586">
        <v>80</v>
      </c>
      <c r="H1586">
        <v>79.956687927000004</v>
      </c>
      <c r="I1586">
        <v>50</v>
      </c>
      <c r="J1586">
        <v>55.092483520999998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1280.000121</v>
      </c>
      <c r="B1587" s="1">
        <f>DATE(2013,11,1) + TIME(0,0,10)</f>
        <v>41579.000115740739</v>
      </c>
      <c r="C1587">
        <v>1340.5701904</v>
      </c>
      <c r="D1587">
        <v>1328.6131591999999</v>
      </c>
      <c r="E1587">
        <v>1339.2001952999999</v>
      </c>
      <c r="F1587">
        <v>1320.7763672000001</v>
      </c>
      <c r="G1587">
        <v>80</v>
      </c>
      <c r="H1587">
        <v>79.955650329999997</v>
      </c>
      <c r="I1587">
        <v>50</v>
      </c>
      <c r="J1587">
        <v>55.093326568999998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1280.000364</v>
      </c>
      <c r="B1588" s="1">
        <f>DATE(2013,11,1) + TIME(0,0,31)</f>
        <v>41579.000358796293</v>
      </c>
      <c r="C1588">
        <v>1333.3039550999999</v>
      </c>
      <c r="D1588">
        <v>1321.3510742000001</v>
      </c>
      <c r="E1588">
        <v>1350.2996826000001</v>
      </c>
      <c r="F1588">
        <v>1331.864624</v>
      </c>
      <c r="G1588">
        <v>80</v>
      </c>
      <c r="H1588">
        <v>79.954566955999994</v>
      </c>
      <c r="I1588">
        <v>50</v>
      </c>
      <c r="J1588">
        <v>55.093196869000003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1280.0010930000001</v>
      </c>
      <c r="B1589" s="1">
        <f>DATE(2013,11,1) + TIME(0,1,34)</f>
        <v>41579.001087962963</v>
      </c>
      <c r="C1589">
        <v>1326.0478516000001</v>
      </c>
      <c r="D1589">
        <v>1314.0587158000001</v>
      </c>
      <c r="E1589">
        <v>1361.6276855000001</v>
      </c>
      <c r="F1589">
        <v>1343.1658935999999</v>
      </c>
      <c r="G1589">
        <v>80</v>
      </c>
      <c r="H1589">
        <v>79.953399657999995</v>
      </c>
      <c r="I1589">
        <v>50</v>
      </c>
      <c r="J1589">
        <v>55.089969635000003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1280.0032799999999</v>
      </c>
      <c r="B1590" s="1">
        <f>DATE(2013,11,1) + TIME(0,4,43)</f>
        <v>41579.003275462965</v>
      </c>
      <c r="C1590">
        <v>1319.0153809000001</v>
      </c>
      <c r="D1590">
        <v>1306.8908690999999</v>
      </c>
      <c r="E1590">
        <v>1372.6427002</v>
      </c>
      <c r="F1590">
        <v>1354.1013184000001</v>
      </c>
      <c r="G1590">
        <v>80</v>
      </c>
      <c r="H1590">
        <v>79.951972960999996</v>
      </c>
      <c r="I1590">
        <v>50</v>
      </c>
      <c r="J1590">
        <v>55.077308655000003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1280.0098410000001</v>
      </c>
      <c r="B1591" s="1">
        <f>DATE(2013,11,1) + TIME(0,14,10)</f>
        <v>41579.009837962964</v>
      </c>
      <c r="C1591">
        <v>1312.9774170000001</v>
      </c>
      <c r="D1591">
        <v>1300.7137451000001</v>
      </c>
      <c r="E1591">
        <v>1381.699707</v>
      </c>
      <c r="F1591">
        <v>1363.0426024999999</v>
      </c>
      <c r="G1591">
        <v>80</v>
      </c>
      <c r="H1591">
        <v>79.949836731000005</v>
      </c>
      <c r="I1591">
        <v>50</v>
      </c>
      <c r="J1591">
        <v>55.036354064999998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1280.029524</v>
      </c>
      <c r="B1592" s="1">
        <f>DATE(2013,11,1) + TIME(0,42,30)</f>
        <v>41579.029513888891</v>
      </c>
      <c r="C1592">
        <v>1308.8162841999999</v>
      </c>
      <c r="D1592">
        <v>1296.5001221</v>
      </c>
      <c r="E1592">
        <v>1387.2518310999999</v>
      </c>
      <c r="F1592">
        <v>1368.4898682</v>
      </c>
      <c r="G1592">
        <v>80</v>
      </c>
      <c r="H1592">
        <v>79.945465088000006</v>
      </c>
      <c r="I1592">
        <v>50</v>
      </c>
      <c r="J1592">
        <v>54.913356780999997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1280.088573</v>
      </c>
      <c r="B1593" s="1">
        <f>DATE(2013,11,1) + TIME(2,7,32)</f>
        <v>41579.088564814818</v>
      </c>
      <c r="C1593">
        <v>1306.8669434000001</v>
      </c>
      <c r="D1593">
        <v>1294.5413818</v>
      </c>
      <c r="E1593">
        <v>1389.3648682</v>
      </c>
      <c r="F1593">
        <v>1370.4951172000001</v>
      </c>
      <c r="G1593">
        <v>80</v>
      </c>
      <c r="H1593">
        <v>79.934387207</v>
      </c>
      <c r="I1593">
        <v>50</v>
      </c>
      <c r="J1593">
        <v>54.568367004000002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1280.1817000000001</v>
      </c>
      <c r="B1594" s="1">
        <f>DATE(2013,11,1) + TIME(4,21,38)</f>
        <v>41579.181689814817</v>
      </c>
      <c r="C1594">
        <v>1306.4133300999999</v>
      </c>
      <c r="D1594">
        <v>1294.0865478999999</v>
      </c>
      <c r="E1594">
        <v>1389.7351074000001</v>
      </c>
      <c r="F1594">
        <v>1370.7581786999999</v>
      </c>
      <c r="G1594">
        <v>80</v>
      </c>
      <c r="H1594">
        <v>79.918205260999997</v>
      </c>
      <c r="I1594">
        <v>50</v>
      </c>
      <c r="J1594">
        <v>54.082653045999997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1280.287131</v>
      </c>
      <c r="B1595" s="1">
        <f>DATE(2013,11,1) + TIME(6,53,28)</f>
        <v>41579.287129629629</v>
      </c>
      <c r="C1595">
        <v>1306.3240966999999</v>
      </c>
      <c r="D1595">
        <v>1293.9969481999999</v>
      </c>
      <c r="E1595">
        <v>1389.8079834</v>
      </c>
      <c r="F1595">
        <v>1370.7353516000001</v>
      </c>
      <c r="G1595">
        <v>80</v>
      </c>
      <c r="H1595">
        <v>79.900604247999993</v>
      </c>
      <c r="I1595">
        <v>50</v>
      </c>
      <c r="J1595">
        <v>53.599010468000003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1280.405796</v>
      </c>
      <c r="B1596" s="1">
        <f>DATE(2013,11,1) + TIME(9,44,20)</f>
        <v>41579.405787037038</v>
      </c>
      <c r="C1596">
        <v>1306.3010254000001</v>
      </c>
      <c r="D1596">
        <v>1293.9737548999999</v>
      </c>
      <c r="E1596">
        <v>1389.8586425999999</v>
      </c>
      <c r="F1596">
        <v>1370.6934814000001</v>
      </c>
      <c r="G1596">
        <v>80</v>
      </c>
      <c r="H1596">
        <v>79.881546021000005</v>
      </c>
      <c r="I1596">
        <v>50</v>
      </c>
      <c r="J1596">
        <v>53.127090453999998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1280.53648</v>
      </c>
      <c r="B1597" s="1">
        <f>DATE(2013,11,1) + TIME(12,52,31)</f>
        <v>41579.536469907405</v>
      </c>
      <c r="C1597">
        <v>1306.2906493999999</v>
      </c>
      <c r="D1597">
        <v>1293.9631348</v>
      </c>
      <c r="E1597">
        <v>1389.9071045000001</v>
      </c>
      <c r="F1597">
        <v>1370.6556396000001</v>
      </c>
      <c r="G1597">
        <v>80</v>
      </c>
      <c r="H1597">
        <v>79.861305236999996</v>
      </c>
      <c r="I1597">
        <v>50</v>
      </c>
      <c r="J1597">
        <v>52.682186127000001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1280.676256</v>
      </c>
      <c r="B1598" s="1">
        <f>DATE(2013,11,1) + TIME(16,13,48)</f>
        <v>41579.676249999997</v>
      </c>
      <c r="C1598">
        <v>1306.2823486</v>
      </c>
      <c r="D1598">
        <v>1293.9545897999999</v>
      </c>
      <c r="E1598">
        <v>1389.9510498</v>
      </c>
      <c r="F1598">
        <v>1370.6224365</v>
      </c>
      <c r="G1598">
        <v>80</v>
      </c>
      <c r="H1598">
        <v>79.840324401999993</v>
      </c>
      <c r="I1598">
        <v>50</v>
      </c>
      <c r="J1598">
        <v>52.278564453000001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1280.8196720000001</v>
      </c>
      <c r="B1599" s="1">
        <f>DATE(2013,11,1) + TIME(19,40,19)</f>
        <v>41579.819664351853</v>
      </c>
      <c r="C1599">
        <v>1306.2742920000001</v>
      </c>
      <c r="D1599">
        <v>1293.9461670000001</v>
      </c>
      <c r="E1599">
        <v>1389.9884033000001</v>
      </c>
      <c r="F1599">
        <v>1370.5938721</v>
      </c>
      <c r="G1599">
        <v>80</v>
      </c>
      <c r="H1599">
        <v>79.819297790999997</v>
      </c>
      <c r="I1599">
        <v>50</v>
      </c>
      <c r="J1599">
        <v>51.928417205999999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1280.9682299999999</v>
      </c>
      <c r="B1600" s="1">
        <f>DATE(2013,11,1) + TIME(23,14,15)</f>
        <v>41579.968229166669</v>
      </c>
      <c r="C1600">
        <v>1306.2661132999999</v>
      </c>
      <c r="D1600">
        <v>1293.9376221</v>
      </c>
      <c r="E1600">
        <v>1390.0217285000001</v>
      </c>
      <c r="F1600">
        <v>1370.5700684000001</v>
      </c>
      <c r="G1600">
        <v>80</v>
      </c>
      <c r="H1600">
        <v>79.798034668</v>
      </c>
      <c r="I1600">
        <v>50</v>
      </c>
      <c r="J1600">
        <v>51.623226166000002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1281.122922</v>
      </c>
      <c r="B1601" s="1">
        <f>DATE(2013,11,2) + TIME(2,57,0)</f>
        <v>41580.122916666667</v>
      </c>
      <c r="C1601">
        <v>1306.2579346</v>
      </c>
      <c r="D1601">
        <v>1293.9289550999999</v>
      </c>
      <c r="E1601">
        <v>1390.0511475000001</v>
      </c>
      <c r="F1601">
        <v>1370.550293</v>
      </c>
      <c r="G1601">
        <v>80</v>
      </c>
      <c r="H1601">
        <v>79.776382446</v>
      </c>
      <c r="I1601">
        <v>50</v>
      </c>
      <c r="J1601">
        <v>51.357383728000002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1281.2849389999999</v>
      </c>
      <c r="B1602" s="1">
        <f>DATE(2013,11,2) + TIME(6,50,18)</f>
        <v>41580.284930555557</v>
      </c>
      <c r="C1602">
        <v>1306.2493896000001</v>
      </c>
      <c r="D1602">
        <v>1293.9199219</v>
      </c>
      <c r="E1602">
        <v>1390.0773925999999</v>
      </c>
      <c r="F1602">
        <v>1370.5343018000001</v>
      </c>
      <c r="G1602">
        <v>80</v>
      </c>
      <c r="H1602">
        <v>79.754211425999998</v>
      </c>
      <c r="I1602">
        <v>50</v>
      </c>
      <c r="J1602">
        <v>51.126110077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1281.4555640000001</v>
      </c>
      <c r="B1603" s="1">
        <f>DATE(2013,11,2) + TIME(10,56,0)</f>
        <v>41580.455555555556</v>
      </c>
      <c r="C1603">
        <v>1306.2407227000001</v>
      </c>
      <c r="D1603">
        <v>1293.9105225000001</v>
      </c>
      <c r="E1603">
        <v>1390.1007079999999</v>
      </c>
      <c r="F1603">
        <v>1370.5214844</v>
      </c>
      <c r="G1603">
        <v>80</v>
      </c>
      <c r="H1603">
        <v>79.731353760000005</v>
      </c>
      <c r="I1603">
        <v>50</v>
      </c>
      <c r="J1603">
        <v>50.925487517999997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1281.6362959999999</v>
      </c>
      <c r="B1604" s="1">
        <f>DATE(2013,11,2) + TIME(15,16,15)</f>
        <v>41580.636284722219</v>
      </c>
      <c r="C1604">
        <v>1306.2315673999999</v>
      </c>
      <c r="D1604">
        <v>1293.9007568</v>
      </c>
      <c r="E1604">
        <v>1390.121582</v>
      </c>
      <c r="F1604">
        <v>1370.5118408000001</v>
      </c>
      <c r="G1604">
        <v>80</v>
      </c>
      <c r="H1604">
        <v>79.707649231000005</v>
      </c>
      <c r="I1604">
        <v>50</v>
      </c>
      <c r="J1604">
        <v>50.752155303999999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1281.8289219999999</v>
      </c>
      <c r="B1605" s="1">
        <f>DATE(2013,11,2) + TIME(19,53,38)</f>
        <v>41580.828912037039</v>
      </c>
      <c r="C1605">
        <v>1306.222168</v>
      </c>
      <c r="D1605">
        <v>1293.8903809000001</v>
      </c>
      <c r="E1605">
        <v>1390.1403809000001</v>
      </c>
      <c r="F1605">
        <v>1370.5051269999999</v>
      </c>
      <c r="G1605">
        <v>80</v>
      </c>
      <c r="H1605">
        <v>79.682907103999995</v>
      </c>
      <c r="I1605">
        <v>50</v>
      </c>
      <c r="J1605">
        <v>50.603195190000001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1282.0356059999999</v>
      </c>
      <c r="B1606" s="1">
        <f>DATE(2013,11,3) + TIME(0,51,16)</f>
        <v>41581.035601851851</v>
      </c>
      <c r="C1606">
        <v>1306.2121582</v>
      </c>
      <c r="D1606">
        <v>1293.8795166</v>
      </c>
      <c r="E1606">
        <v>1390.1573486</v>
      </c>
      <c r="F1606">
        <v>1370.5010986</v>
      </c>
      <c r="G1606">
        <v>80</v>
      </c>
      <c r="H1606">
        <v>79.656906128000003</v>
      </c>
      <c r="I1606">
        <v>50</v>
      </c>
      <c r="J1606">
        <v>50.476051331000001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1282.2589519999999</v>
      </c>
      <c r="B1607" s="1">
        <f>DATE(2013,11,3) + TIME(6,12,53)</f>
        <v>41581.258946759262</v>
      </c>
      <c r="C1607">
        <v>1306.2015381000001</v>
      </c>
      <c r="D1607">
        <v>1293.8679199000001</v>
      </c>
      <c r="E1607">
        <v>1390.1728516000001</v>
      </c>
      <c r="F1607">
        <v>1370.4995117000001</v>
      </c>
      <c r="G1607">
        <v>80</v>
      </c>
      <c r="H1607">
        <v>79.629386901999993</v>
      </c>
      <c r="I1607">
        <v>50</v>
      </c>
      <c r="J1607">
        <v>50.368476868000002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1282.502311</v>
      </c>
      <c r="B1608" s="1">
        <f>DATE(2013,11,3) + TIME(12,3,19)</f>
        <v>41581.502303240741</v>
      </c>
      <c r="C1608">
        <v>1306.1901855000001</v>
      </c>
      <c r="D1608">
        <v>1293.8554687999999</v>
      </c>
      <c r="E1608">
        <v>1390.1872559000001</v>
      </c>
      <c r="F1608">
        <v>1370.5004882999999</v>
      </c>
      <c r="G1608">
        <v>80</v>
      </c>
      <c r="H1608">
        <v>79.600036621000001</v>
      </c>
      <c r="I1608">
        <v>50</v>
      </c>
      <c r="J1608">
        <v>50.278400421000001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1282.770111</v>
      </c>
      <c r="B1609" s="1">
        <f>DATE(2013,11,3) + TIME(18,28,57)</f>
        <v>41581.770104166666</v>
      </c>
      <c r="C1609">
        <v>1306.1779785000001</v>
      </c>
      <c r="D1609">
        <v>1293.8420410000001</v>
      </c>
      <c r="E1609">
        <v>1390.2008057</v>
      </c>
      <c r="F1609">
        <v>1370.5036620999999</v>
      </c>
      <c r="G1609">
        <v>80</v>
      </c>
      <c r="H1609">
        <v>79.568435668999996</v>
      </c>
      <c r="I1609">
        <v>50</v>
      </c>
      <c r="J1609">
        <v>50.203922272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1283.0681219999999</v>
      </c>
      <c r="B1610" s="1">
        <f>DATE(2013,11,4) + TIME(1,38,5)</f>
        <v>41582.068113425928</v>
      </c>
      <c r="C1610">
        <v>1306.1646728999999</v>
      </c>
      <c r="D1610">
        <v>1293.8272704999999</v>
      </c>
      <c r="E1610">
        <v>1390.2136230000001</v>
      </c>
      <c r="F1610">
        <v>1370.5092772999999</v>
      </c>
      <c r="G1610">
        <v>80</v>
      </c>
      <c r="H1610">
        <v>79.534080505000006</v>
      </c>
      <c r="I1610">
        <v>50</v>
      </c>
      <c r="J1610">
        <v>50.143314361999998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1283.373593</v>
      </c>
      <c r="B1611" s="1">
        <f>DATE(2013,11,4) + TIME(8,57,58)</f>
        <v>41582.37358796296</v>
      </c>
      <c r="C1611">
        <v>1306.1499022999999</v>
      </c>
      <c r="D1611">
        <v>1293.8111572</v>
      </c>
      <c r="E1611">
        <v>1390.2257079999999</v>
      </c>
      <c r="F1611">
        <v>1370.5172118999999</v>
      </c>
      <c r="G1611">
        <v>80</v>
      </c>
      <c r="H1611">
        <v>79.498809813999998</v>
      </c>
      <c r="I1611">
        <v>50</v>
      </c>
      <c r="J1611">
        <v>50.098159789999997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1283.6840500000001</v>
      </c>
      <c r="B1612" s="1">
        <f>DATE(2013,11,4) + TIME(16,25,1)</f>
        <v>41582.684039351851</v>
      </c>
      <c r="C1612">
        <v>1306.1348877</v>
      </c>
      <c r="D1612">
        <v>1293.7947998</v>
      </c>
      <c r="E1612">
        <v>1390.2368164</v>
      </c>
      <c r="F1612">
        <v>1370.5262451000001</v>
      </c>
      <c r="G1612">
        <v>80</v>
      </c>
      <c r="H1612">
        <v>79.462921143000003</v>
      </c>
      <c r="I1612">
        <v>50</v>
      </c>
      <c r="J1612">
        <v>50.064937592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1284.0016880000001</v>
      </c>
      <c r="B1613" s="1">
        <f>DATE(2013,11,5) + TIME(0,2,25)</f>
        <v>41583.00167824074</v>
      </c>
      <c r="C1613">
        <v>1306.1198730000001</v>
      </c>
      <c r="D1613">
        <v>1293.7781981999999</v>
      </c>
      <c r="E1613">
        <v>1390.2470702999999</v>
      </c>
      <c r="F1613">
        <v>1370.5358887</v>
      </c>
      <c r="G1613">
        <v>80</v>
      </c>
      <c r="H1613">
        <v>79.426345824999999</v>
      </c>
      <c r="I1613">
        <v>50</v>
      </c>
      <c r="J1613">
        <v>50.040470122999999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1284.3292819999999</v>
      </c>
      <c r="B1614" s="1">
        <f>DATE(2013,11,5) + TIME(7,54,9)</f>
        <v>41583.329270833332</v>
      </c>
      <c r="C1614">
        <v>1306.1046143000001</v>
      </c>
      <c r="D1614">
        <v>1293.7613524999999</v>
      </c>
      <c r="E1614">
        <v>1390.2565918</v>
      </c>
      <c r="F1614">
        <v>1370.5458983999999</v>
      </c>
      <c r="G1614">
        <v>80</v>
      </c>
      <c r="H1614">
        <v>79.388885497999993</v>
      </c>
      <c r="I1614">
        <v>50</v>
      </c>
      <c r="J1614">
        <v>50.022457123000002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1284.6695870000001</v>
      </c>
      <c r="B1615" s="1">
        <f>DATE(2013,11,5) + TIME(16,4,12)</f>
        <v>41583.669583333336</v>
      </c>
      <c r="C1615">
        <v>1306.0889893000001</v>
      </c>
      <c r="D1615">
        <v>1293.7440185999999</v>
      </c>
      <c r="E1615">
        <v>1390.2657471</v>
      </c>
      <c r="F1615">
        <v>1370.5561522999999</v>
      </c>
      <c r="G1615">
        <v>80</v>
      </c>
      <c r="H1615">
        <v>79.350357056000007</v>
      </c>
      <c r="I1615">
        <v>50</v>
      </c>
      <c r="J1615">
        <v>50.009231567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1285.02556</v>
      </c>
      <c r="B1616" s="1">
        <f>DATE(2013,11,6) + TIME(0,36,48)</f>
        <v>41584.025555555556</v>
      </c>
      <c r="C1616">
        <v>1306.072876</v>
      </c>
      <c r="D1616">
        <v>1293.7261963000001</v>
      </c>
      <c r="E1616">
        <v>1390.2744141000001</v>
      </c>
      <c r="F1616">
        <v>1370.5666504000001</v>
      </c>
      <c r="G1616">
        <v>80</v>
      </c>
      <c r="H1616">
        <v>79.310516356999997</v>
      </c>
      <c r="I1616">
        <v>50</v>
      </c>
      <c r="J1616">
        <v>49.999584198000001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1285.400564</v>
      </c>
      <c r="B1617" s="1">
        <f>DATE(2013,11,6) + TIME(9,36,48)</f>
        <v>41584.400555555556</v>
      </c>
      <c r="C1617">
        <v>1306.0562743999999</v>
      </c>
      <c r="D1617">
        <v>1293.7076416</v>
      </c>
      <c r="E1617">
        <v>1390.2828368999999</v>
      </c>
      <c r="F1617">
        <v>1370.5772704999999</v>
      </c>
      <c r="G1617">
        <v>80</v>
      </c>
      <c r="H1617">
        <v>79.269104003999999</v>
      </c>
      <c r="I1617">
        <v>50</v>
      </c>
      <c r="J1617">
        <v>49.992595672999997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1285.7985349999999</v>
      </c>
      <c r="B1618" s="1">
        <f>DATE(2013,11,6) + TIME(19,9,53)</f>
        <v>41584.798530092594</v>
      </c>
      <c r="C1618">
        <v>1306.0388184000001</v>
      </c>
      <c r="D1618">
        <v>1293.6882324000001</v>
      </c>
      <c r="E1618">
        <v>1390.2911377</v>
      </c>
      <c r="F1618">
        <v>1370.5878906</v>
      </c>
      <c r="G1618">
        <v>80</v>
      </c>
      <c r="H1618">
        <v>79.225791931000003</v>
      </c>
      <c r="I1618">
        <v>50</v>
      </c>
      <c r="J1618">
        <v>49.987586974999999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1286.224119</v>
      </c>
      <c r="B1619" s="1">
        <f>DATE(2013,11,7) + TIME(5,22,43)</f>
        <v>41585.224108796298</v>
      </c>
      <c r="C1619">
        <v>1306.0203856999999</v>
      </c>
      <c r="D1619">
        <v>1293.6677245999999</v>
      </c>
      <c r="E1619">
        <v>1390.2991943</v>
      </c>
      <c r="F1619">
        <v>1370.5987548999999</v>
      </c>
      <c r="G1619">
        <v>80</v>
      </c>
      <c r="H1619">
        <v>79.180191039999997</v>
      </c>
      <c r="I1619">
        <v>50</v>
      </c>
      <c r="J1619">
        <v>49.984046935999999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1286.6831239999999</v>
      </c>
      <c r="B1620" s="1">
        <f>DATE(2013,11,7) + TIME(16,23,41)</f>
        <v>41585.683113425926</v>
      </c>
      <c r="C1620">
        <v>1306.0009766000001</v>
      </c>
      <c r="D1620">
        <v>1293.645874</v>
      </c>
      <c r="E1620">
        <v>1390.307251</v>
      </c>
      <c r="F1620">
        <v>1370.6097411999999</v>
      </c>
      <c r="G1620">
        <v>80</v>
      </c>
      <c r="H1620">
        <v>79.131851196</v>
      </c>
      <c r="I1620">
        <v>50</v>
      </c>
      <c r="J1620">
        <v>49.981586456000002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1287.17118</v>
      </c>
      <c r="B1621" s="1">
        <f>DATE(2013,11,8) + TIME(4,6,29)</f>
        <v>41586.171168981484</v>
      </c>
      <c r="C1621">
        <v>1305.9799805</v>
      </c>
      <c r="D1621">
        <v>1293.6225586</v>
      </c>
      <c r="E1621">
        <v>1390.3153076000001</v>
      </c>
      <c r="F1621">
        <v>1370.6209716999999</v>
      </c>
      <c r="G1621">
        <v>80</v>
      </c>
      <c r="H1621">
        <v>79.080940247000001</v>
      </c>
      <c r="I1621">
        <v>50</v>
      </c>
      <c r="J1621">
        <v>49.979930877999998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1287.6640420000001</v>
      </c>
      <c r="B1622" s="1">
        <f>DATE(2013,11,8) + TIME(15,56,13)</f>
        <v>41586.664039351854</v>
      </c>
      <c r="C1622">
        <v>1305.9577637</v>
      </c>
      <c r="D1622">
        <v>1293.5979004000001</v>
      </c>
      <c r="E1622">
        <v>1390.3232422000001</v>
      </c>
      <c r="F1622">
        <v>1370.6319579999999</v>
      </c>
      <c r="G1622">
        <v>80</v>
      </c>
      <c r="H1622">
        <v>79.029045104999994</v>
      </c>
      <c r="I1622">
        <v>50</v>
      </c>
      <c r="J1622">
        <v>49.978878021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1288.1658669999999</v>
      </c>
      <c r="B1623" s="1">
        <f>DATE(2013,11,9) + TIME(3,58,50)</f>
        <v>41587.165856481479</v>
      </c>
      <c r="C1623">
        <v>1305.9354248</v>
      </c>
      <c r="D1623">
        <v>1293.5729980000001</v>
      </c>
      <c r="E1623">
        <v>1390.3305664</v>
      </c>
      <c r="F1623">
        <v>1370.6424560999999</v>
      </c>
      <c r="G1623">
        <v>80</v>
      </c>
      <c r="H1623">
        <v>78.976234435999999</v>
      </c>
      <c r="I1623">
        <v>50</v>
      </c>
      <c r="J1623">
        <v>49.978206634999999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1288.6806529999999</v>
      </c>
      <c r="B1624" s="1">
        <f>DATE(2013,11,9) + TIME(16,20,8)</f>
        <v>41587.680648148147</v>
      </c>
      <c r="C1624">
        <v>1305.9127197</v>
      </c>
      <c r="D1624">
        <v>1293.5477295000001</v>
      </c>
      <c r="E1624">
        <v>1390.3375243999999</v>
      </c>
      <c r="F1624">
        <v>1370.6523437999999</v>
      </c>
      <c r="G1624">
        <v>80</v>
      </c>
      <c r="H1624">
        <v>78.922431946000003</v>
      </c>
      <c r="I1624">
        <v>50</v>
      </c>
      <c r="J1624">
        <v>49.977779388000002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1289.2124679999999</v>
      </c>
      <c r="B1625" s="1">
        <f>DATE(2013,11,10) + TIME(5,5,57)</f>
        <v>41588.212465277778</v>
      </c>
      <c r="C1625">
        <v>1305.8896483999999</v>
      </c>
      <c r="D1625">
        <v>1293.5218506000001</v>
      </c>
      <c r="E1625">
        <v>1390.3442382999999</v>
      </c>
      <c r="F1625">
        <v>1370.6618652</v>
      </c>
      <c r="G1625">
        <v>80</v>
      </c>
      <c r="H1625">
        <v>78.867416382000002</v>
      </c>
      <c r="I1625">
        <v>50</v>
      </c>
      <c r="J1625">
        <v>49.977508544999999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1289.764686</v>
      </c>
      <c r="B1626" s="1">
        <f>DATE(2013,11,10) + TIME(18,21,8)</f>
        <v>41588.764675925922</v>
      </c>
      <c r="C1626">
        <v>1305.8659668</v>
      </c>
      <c r="D1626">
        <v>1293.4951172000001</v>
      </c>
      <c r="E1626">
        <v>1390.3505858999999</v>
      </c>
      <c r="F1626">
        <v>1370.6711425999999</v>
      </c>
      <c r="G1626">
        <v>80</v>
      </c>
      <c r="H1626">
        <v>78.810981749999996</v>
      </c>
      <c r="I1626">
        <v>50</v>
      </c>
      <c r="J1626">
        <v>49.977336884000003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1290.3413290000001</v>
      </c>
      <c r="B1627" s="1">
        <f>DATE(2013,11,11) + TIME(8,11,30)</f>
        <v>41589.341319444444</v>
      </c>
      <c r="C1627">
        <v>1305.8414307</v>
      </c>
      <c r="D1627">
        <v>1293.4675293</v>
      </c>
      <c r="E1627">
        <v>1390.3568115</v>
      </c>
      <c r="F1627">
        <v>1370.6801757999999</v>
      </c>
      <c r="G1627">
        <v>80</v>
      </c>
      <c r="H1627">
        <v>78.752838135000005</v>
      </c>
      <c r="I1627">
        <v>50</v>
      </c>
      <c r="J1627">
        <v>49.977233886999997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1290.9477959999999</v>
      </c>
      <c r="B1628" s="1">
        <f>DATE(2013,11,11) + TIME(22,44,49)</f>
        <v>41589.947789351849</v>
      </c>
      <c r="C1628">
        <v>1305.8157959</v>
      </c>
      <c r="D1628">
        <v>1293.4387207</v>
      </c>
      <c r="E1628">
        <v>1390.3630370999999</v>
      </c>
      <c r="F1628">
        <v>1370.6890868999999</v>
      </c>
      <c r="G1628">
        <v>80</v>
      </c>
      <c r="H1628">
        <v>78.692596436000002</v>
      </c>
      <c r="I1628">
        <v>50</v>
      </c>
      <c r="J1628">
        <v>49.977172852000002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1291.5904410000001</v>
      </c>
      <c r="B1629" s="1">
        <f>DATE(2013,11,12) + TIME(14,10,14)</f>
        <v>41590.590439814812</v>
      </c>
      <c r="C1629">
        <v>1305.7889404</v>
      </c>
      <c r="D1629">
        <v>1293.4083252</v>
      </c>
      <c r="E1629">
        <v>1390.3690185999999</v>
      </c>
      <c r="F1629">
        <v>1370.6979980000001</v>
      </c>
      <c r="G1629">
        <v>80</v>
      </c>
      <c r="H1629">
        <v>78.629783630000006</v>
      </c>
      <c r="I1629">
        <v>50</v>
      </c>
      <c r="J1629">
        <v>49.977138519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1292.2766429999999</v>
      </c>
      <c r="B1630" s="1">
        <f>DATE(2013,11,13) + TIME(6,38,21)</f>
        <v>41591.276631944442</v>
      </c>
      <c r="C1630">
        <v>1305.7606201000001</v>
      </c>
      <c r="D1630">
        <v>1293.3762207</v>
      </c>
      <c r="E1630">
        <v>1390.375</v>
      </c>
      <c r="F1630">
        <v>1370.7067870999999</v>
      </c>
      <c r="G1630">
        <v>80</v>
      </c>
      <c r="H1630">
        <v>78.563865661999998</v>
      </c>
      <c r="I1630">
        <v>50</v>
      </c>
      <c r="J1630">
        <v>49.977119446000003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1292.975919</v>
      </c>
      <c r="B1631" s="1">
        <f>DATE(2013,11,13) + TIME(23,25,19)</f>
        <v>41591.975914351853</v>
      </c>
      <c r="C1631">
        <v>1305.7302245999999</v>
      </c>
      <c r="D1631">
        <v>1293.3420410000001</v>
      </c>
      <c r="E1631">
        <v>1390.3811035000001</v>
      </c>
      <c r="F1631">
        <v>1370.7155762</v>
      </c>
      <c r="G1631">
        <v>80</v>
      </c>
      <c r="H1631">
        <v>78.496223450000002</v>
      </c>
      <c r="I1631">
        <v>50</v>
      </c>
      <c r="J1631">
        <v>49.977111815999997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1293.684334</v>
      </c>
      <c r="B1632" s="1">
        <f>DATE(2013,11,14) + TIME(16,25,26)</f>
        <v>41592.684328703705</v>
      </c>
      <c r="C1632">
        <v>1305.6992187999999</v>
      </c>
      <c r="D1632">
        <v>1293.3070068</v>
      </c>
      <c r="E1632">
        <v>1390.3868408000001</v>
      </c>
      <c r="F1632">
        <v>1370.723999</v>
      </c>
      <c r="G1632">
        <v>80</v>
      </c>
      <c r="H1632">
        <v>78.427574157999999</v>
      </c>
      <c r="I1632">
        <v>50</v>
      </c>
      <c r="J1632">
        <v>49.977111815999997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1294.4072679999999</v>
      </c>
      <c r="B1633" s="1">
        <f>DATE(2013,11,15) + TIME(9,46,27)</f>
        <v>41593.407256944447</v>
      </c>
      <c r="C1633">
        <v>1305.6678466999999</v>
      </c>
      <c r="D1633">
        <v>1293.2714844</v>
      </c>
      <c r="E1633">
        <v>1390.3922118999999</v>
      </c>
      <c r="F1633">
        <v>1370.7320557</v>
      </c>
      <c r="G1633">
        <v>80</v>
      </c>
      <c r="H1633">
        <v>78.358001709000007</v>
      </c>
      <c r="I1633">
        <v>50</v>
      </c>
      <c r="J1633">
        <v>49.977115630999997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1295.150208</v>
      </c>
      <c r="B1634" s="1">
        <f>DATE(2013,11,16) + TIME(3,36,17)</f>
        <v>41594.150196759256</v>
      </c>
      <c r="C1634">
        <v>1305.6358643000001</v>
      </c>
      <c r="D1634">
        <v>1293.2351074000001</v>
      </c>
      <c r="E1634">
        <v>1390.3974608999999</v>
      </c>
      <c r="F1634">
        <v>1370.7398682</v>
      </c>
      <c r="G1634">
        <v>80</v>
      </c>
      <c r="H1634">
        <v>78.287330627000003</v>
      </c>
      <c r="I1634">
        <v>50</v>
      </c>
      <c r="J1634">
        <v>49.977119446000003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1295.9186689999999</v>
      </c>
      <c r="B1635" s="1">
        <f>DATE(2013,11,16) + TIME(22,2,53)</f>
        <v>41594.918668981481</v>
      </c>
      <c r="C1635">
        <v>1305.6030272999999</v>
      </c>
      <c r="D1635">
        <v>1293.1975098</v>
      </c>
      <c r="E1635">
        <v>1390.4024658000001</v>
      </c>
      <c r="F1635">
        <v>1370.7474365</v>
      </c>
      <c r="G1635">
        <v>80</v>
      </c>
      <c r="H1635">
        <v>78.215255737000007</v>
      </c>
      <c r="I1635">
        <v>50</v>
      </c>
      <c r="J1635">
        <v>49.977127074999999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1296.718826</v>
      </c>
      <c r="B1636" s="1">
        <f>DATE(2013,11,17) + TIME(17,15,6)</f>
        <v>41595.718819444446</v>
      </c>
      <c r="C1636">
        <v>1305.5688477000001</v>
      </c>
      <c r="D1636">
        <v>1293.1584473</v>
      </c>
      <c r="E1636">
        <v>1390.4074707</v>
      </c>
      <c r="F1636">
        <v>1370.7548827999999</v>
      </c>
      <c r="G1636">
        <v>80</v>
      </c>
      <c r="H1636">
        <v>78.141372681000007</v>
      </c>
      <c r="I1636">
        <v>50</v>
      </c>
      <c r="J1636">
        <v>49.977130889999998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1297.555388</v>
      </c>
      <c r="B1637" s="1">
        <f>DATE(2013,11,18) + TIME(13,19,45)</f>
        <v>41596.555381944447</v>
      </c>
      <c r="C1637">
        <v>1305.5332031</v>
      </c>
      <c r="D1637">
        <v>1293.1175536999999</v>
      </c>
      <c r="E1637">
        <v>1390.4122314000001</v>
      </c>
      <c r="F1637">
        <v>1370.762207</v>
      </c>
      <c r="G1637">
        <v>80</v>
      </c>
      <c r="H1637">
        <v>78.065292357999994</v>
      </c>
      <c r="I1637">
        <v>50</v>
      </c>
      <c r="J1637">
        <v>49.977138519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1298.435827</v>
      </c>
      <c r="B1638" s="1">
        <f>DATE(2013,11,19) + TIME(10,27,35)</f>
        <v>41597.43582175926</v>
      </c>
      <c r="C1638">
        <v>1305.4958495999999</v>
      </c>
      <c r="D1638">
        <v>1293.0745850000001</v>
      </c>
      <c r="E1638">
        <v>1390.4171143000001</v>
      </c>
      <c r="F1638">
        <v>1370.7694091999999</v>
      </c>
      <c r="G1638">
        <v>80</v>
      </c>
      <c r="H1638">
        <v>77.986534118999998</v>
      </c>
      <c r="I1638">
        <v>50</v>
      </c>
      <c r="J1638">
        <v>49.977146148999999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1299.3564019999999</v>
      </c>
      <c r="B1639" s="1">
        <f>DATE(2013,11,20) + TIME(8,33,13)</f>
        <v>41598.356400462966</v>
      </c>
      <c r="C1639">
        <v>1305.4564209</v>
      </c>
      <c r="D1639">
        <v>1293.0291748</v>
      </c>
      <c r="E1639">
        <v>1390.4217529</v>
      </c>
      <c r="F1639">
        <v>1370.7766113</v>
      </c>
      <c r="G1639">
        <v>80</v>
      </c>
      <c r="H1639">
        <v>77.905044556000007</v>
      </c>
      <c r="I1639">
        <v>50</v>
      </c>
      <c r="J1639">
        <v>49.977153778000002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1300.285355</v>
      </c>
      <c r="B1640" s="1">
        <f>DATE(2013,11,21) + TIME(6,50,54)</f>
        <v>41599.28534722222</v>
      </c>
      <c r="C1640">
        <v>1305.4147949000001</v>
      </c>
      <c r="D1640">
        <v>1292.9813231999999</v>
      </c>
      <c r="E1640">
        <v>1390.4263916</v>
      </c>
      <c r="F1640">
        <v>1370.7838135</v>
      </c>
      <c r="G1640">
        <v>80</v>
      </c>
      <c r="H1640">
        <v>77.822166443</v>
      </c>
      <c r="I1640">
        <v>50</v>
      </c>
      <c r="J1640">
        <v>49.977161406999997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1301.2285340000001</v>
      </c>
      <c r="B1641" s="1">
        <f>DATE(2013,11,22) + TIME(5,29,5)</f>
        <v>41600.228530092594</v>
      </c>
      <c r="C1641">
        <v>1305.3725586</v>
      </c>
      <c r="D1641">
        <v>1292.9323730000001</v>
      </c>
      <c r="E1641">
        <v>1390.4307861</v>
      </c>
      <c r="F1641">
        <v>1370.7905272999999</v>
      </c>
      <c r="G1641">
        <v>80</v>
      </c>
      <c r="H1641">
        <v>77.738479613999999</v>
      </c>
      <c r="I1641">
        <v>50</v>
      </c>
      <c r="J1641">
        <v>49.977169037000003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1302.1927840000001</v>
      </c>
      <c r="B1642" s="1">
        <f>DATE(2013,11,23) + TIME(4,37,36)</f>
        <v>41601.192777777775</v>
      </c>
      <c r="C1642">
        <v>1305.3294678</v>
      </c>
      <c r="D1642">
        <v>1292.8823242000001</v>
      </c>
      <c r="E1642">
        <v>1390.4349365</v>
      </c>
      <c r="F1642">
        <v>1370.7971190999999</v>
      </c>
      <c r="G1642">
        <v>80</v>
      </c>
      <c r="H1642">
        <v>77.653930664000001</v>
      </c>
      <c r="I1642">
        <v>50</v>
      </c>
      <c r="J1642">
        <v>49.977180480999998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1303.1851220000001</v>
      </c>
      <c r="B1643" s="1">
        <f>DATE(2013,11,24) + TIME(4,26,34)</f>
        <v>41602.185115740744</v>
      </c>
      <c r="C1643">
        <v>1305.2851562000001</v>
      </c>
      <c r="D1643">
        <v>1292.8305664</v>
      </c>
      <c r="E1643">
        <v>1390.4389647999999</v>
      </c>
      <c r="F1643">
        <v>1370.8033447</v>
      </c>
      <c r="G1643">
        <v>80</v>
      </c>
      <c r="H1643">
        <v>77.568222046000002</v>
      </c>
      <c r="I1643">
        <v>50</v>
      </c>
      <c r="J1643">
        <v>49.97718811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1304.2129219999999</v>
      </c>
      <c r="B1644" s="1">
        <f>DATE(2013,11,25) + TIME(5,6,36)</f>
        <v>41603.212916666664</v>
      </c>
      <c r="C1644">
        <v>1305.2391356999999</v>
      </c>
      <c r="D1644">
        <v>1292.7766113</v>
      </c>
      <c r="E1644">
        <v>1390.442749</v>
      </c>
      <c r="F1644">
        <v>1370.8095702999999</v>
      </c>
      <c r="G1644">
        <v>80</v>
      </c>
      <c r="H1644">
        <v>77.480911254999995</v>
      </c>
      <c r="I1644">
        <v>50</v>
      </c>
      <c r="J1644">
        <v>49.977195739999999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1305.2845930000001</v>
      </c>
      <c r="B1645" s="1">
        <f>DATE(2013,11,26) + TIME(6,49,48)</f>
        <v>41604.284583333334</v>
      </c>
      <c r="C1645">
        <v>1305.1910399999999</v>
      </c>
      <c r="D1645">
        <v>1292.7202147999999</v>
      </c>
      <c r="E1645">
        <v>1390.4465332</v>
      </c>
      <c r="F1645">
        <v>1370.8156738</v>
      </c>
      <c r="G1645">
        <v>80</v>
      </c>
      <c r="H1645">
        <v>77.391456603999998</v>
      </c>
      <c r="I1645">
        <v>50</v>
      </c>
      <c r="J1645">
        <v>49.977203369000001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1306.4057499999999</v>
      </c>
      <c r="B1646" s="1">
        <f>DATE(2013,11,27) + TIME(9,44,16)</f>
        <v>41605.405740740738</v>
      </c>
      <c r="C1646">
        <v>1305.1405029</v>
      </c>
      <c r="D1646">
        <v>1292.6606445</v>
      </c>
      <c r="E1646">
        <v>1390.4501952999999</v>
      </c>
      <c r="F1646">
        <v>1370.8216553</v>
      </c>
      <c r="G1646">
        <v>80</v>
      </c>
      <c r="H1646">
        <v>77.299377441000004</v>
      </c>
      <c r="I1646">
        <v>50</v>
      </c>
      <c r="J1646">
        <v>49.977214813000003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1307.5572159999999</v>
      </c>
      <c r="B1647" s="1">
        <f>DATE(2013,11,28) + TIME(13,22,23)</f>
        <v>41606.557210648149</v>
      </c>
      <c r="C1647">
        <v>1305.0871582</v>
      </c>
      <c r="D1647">
        <v>1292.5975341999999</v>
      </c>
      <c r="E1647">
        <v>1390.4538574000001</v>
      </c>
      <c r="F1647">
        <v>1370.8276367000001</v>
      </c>
      <c r="G1647">
        <v>80</v>
      </c>
      <c r="H1647">
        <v>77.205108643000003</v>
      </c>
      <c r="I1647">
        <v>50</v>
      </c>
      <c r="J1647">
        <v>49.977222443000002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1308.7239830000001</v>
      </c>
      <c r="B1648" s="1">
        <f>DATE(2013,11,29) + TIME(17,22,32)</f>
        <v>41607.723981481482</v>
      </c>
      <c r="C1648">
        <v>1305.0316161999999</v>
      </c>
      <c r="D1648">
        <v>1292.5318603999999</v>
      </c>
      <c r="E1648">
        <v>1390.4572754000001</v>
      </c>
      <c r="F1648">
        <v>1370.833374</v>
      </c>
      <c r="G1648">
        <v>80</v>
      </c>
      <c r="H1648">
        <v>77.109634399000001</v>
      </c>
      <c r="I1648">
        <v>50</v>
      </c>
      <c r="J1648">
        <v>49.977233886999997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1309.909294</v>
      </c>
      <c r="B1649" s="1">
        <f>DATE(2013,11,30) + TIME(21,49,23)</f>
        <v>41608.90929398148</v>
      </c>
      <c r="C1649">
        <v>1304.9747314000001</v>
      </c>
      <c r="D1649">
        <v>1292.4641113</v>
      </c>
      <c r="E1649">
        <v>1390.4604492000001</v>
      </c>
      <c r="F1649">
        <v>1370.8388672000001</v>
      </c>
      <c r="G1649">
        <v>80</v>
      </c>
      <c r="H1649">
        <v>77.013458252000007</v>
      </c>
      <c r="I1649">
        <v>50</v>
      </c>
      <c r="J1649">
        <v>49.977241515999999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1310</v>
      </c>
      <c r="B1650" s="1">
        <f>DATE(2013,12,1) + TIME(0,0,0)</f>
        <v>41609</v>
      </c>
      <c r="C1650">
        <v>1304.9174805</v>
      </c>
      <c r="D1650">
        <v>1292.4047852000001</v>
      </c>
      <c r="E1650">
        <v>1390.4628906</v>
      </c>
      <c r="F1650">
        <v>1370.8436279</v>
      </c>
      <c r="G1650">
        <v>80</v>
      </c>
      <c r="H1650">
        <v>76.997581482000001</v>
      </c>
      <c r="I1650">
        <v>50</v>
      </c>
      <c r="J1650">
        <v>49.977245330999999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1311.2123759999999</v>
      </c>
      <c r="B1651" s="1">
        <f>DATE(2013,12,2) + TIME(5,5,49)</f>
        <v>41610.212372685186</v>
      </c>
      <c r="C1651">
        <v>1304.9113769999999</v>
      </c>
      <c r="D1651">
        <v>1292.3876952999999</v>
      </c>
      <c r="E1651">
        <v>1390.4637451000001</v>
      </c>
      <c r="F1651">
        <v>1370.8444824000001</v>
      </c>
      <c r="G1651">
        <v>80</v>
      </c>
      <c r="H1651">
        <v>76.905670165999993</v>
      </c>
      <c r="I1651">
        <v>50</v>
      </c>
      <c r="J1651">
        <v>49.977252960000001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1312.4636370000001</v>
      </c>
      <c r="B1652" s="1">
        <f>DATE(2013,12,3) + TIME(11,7,38)</f>
        <v>41611.463634259257</v>
      </c>
      <c r="C1652">
        <v>1304.8510742000001</v>
      </c>
      <c r="D1652">
        <v>1292.3155518000001</v>
      </c>
      <c r="E1652">
        <v>1390.4666748</v>
      </c>
      <c r="F1652">
        <v>1370.8497314000001</v>
      </c>
      <c r="G1652">
        <v>80</v>
      </c>
      <c r="H1652">
        <v>76.809562682999996</v>
      </c>
      <c r="I1652">
        <v>50</v>
      </c>
      <c r="J1652">
        <v>49.977264404000003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1313.7605229999999</v>
      </c>
      <c r="B1653" s="1">
        <f>DATE(2013,12,4) + TIME(18,15,9)</f>
        <v>41612.760520833333</v>
      </c>
      <c r="C1653">
        <v>1304.7878418</v>
      </c>
      <c r="D1653">
        <v>1292.2393798999999</v>
      </c>
      <c r="E1653">
        <v>1390.4694824000001</v>
      </c>
      <c r="F1653">
        <v>1370.8547363</v>
      </c>
      <c r="G1653">
        <v>80</v>
      </c>
      <c r="H1653">
        <v>76.710388183999996</v>
      </c>
      <c r="I1653">
        <v>50</v>
      </c>
      <c r="J1653">
        <v>49.977275847999998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1315.1130009999999</v>
      </c>
      <c r="B1654" s="1">
        <f>DATE(2013,12,6) + TIME(2,42,43)</f>
        <v>41614.112997685188</v>
      </c>
      <c r="C1654">
        <v>1304.7213135</v>
      </c>
      <c r="D1654">
        <v>1292.1589355000001</v>
      </c>
      <c r="E1654">
        <v>1390.472168</v>
      </c>
      <c r="F1654">
        <v>1370.8596190999999</v>
      </c>
      <c r="G1654">
        <v>80</v>
      </c>
      <c r="H1654">
        <v>76.608276367000002</v>
      </c>
      <c r="I1654">
        <v>50</v>
      </c>
      <c r="J1654">
        <v>49.977287292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1316.494917</v>
      </c>
      <c r="B1655" s="1">
        <f>DATE(2013,12,7) + TIME(11,52,40)</f>
        <v>41615.49490740741</v>
      </c>
      <c r="C1655">
        <v>1304.6508789</v>
      </c>
      <c r="D1655">
        <v>1292.0734863</v>
      </c>
      <c r="E1655">
        <v>1390.4747314000001</v>
      </c>
      <c r="F1655">
        <v>1370.8645019999999</v>
      </c>
      <c r="G1655">
        <v>80</v>
      </c>
      <c r="H1655">
        <v>76.503936768000003</v>
      </c>
      <c r="I1655">
        <v>50</v>
      </c>
      <c r="J1655">
        <v>49.977298736999998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1317.895894</v>
      </c>
      <c r="B1656" s="1">
        <f>DATE(2013,12,8) + TIME(21,30,5)</f>
        <v>41616.895891203705</v>
      </c>
      <c r="C1656">
        <v>1304.5778809000001</v>
      </c>
      <c r="D1656">
        <v>1291.9844971</v>
      </c>
      <c r="E1656">
        <v>1390.4771728999999</v>
      </c>
      <c r="F1656">
        <v>1370.8691406</v>
      </c>
      <c r="G1656">
        <v>80</v>
      </c>
      <c r="H1656">
        <v>76.3984375</v>
      </c>
      <c r="I1656">
        <v>50</v>
      </c>
      <c r="J1656">
        <v>49.977310181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1319.3201750000001</v>
      </c>
      <c r="B1657" s="1">
        <f>DATE(2013,12,10) + TIME(7,41,3)</f>
        <v>41618.320173611108</v>
      </c>
      <c r="C1657">
        <v>1304.5026855000001</v>
      </c>
      <c r="D1657">
        <v>1291.8924560999999</v>
      </c>
      <c r="E1657">
        <v>1390.4794922000001</v>
      </c>
      <c r="F1657">
        <v>1370.8735352000001</v>
      </c>
      <c r="G1657">
        <v>80</v>
      </c>
      <c r="H1657">
        <v>76.292282103999995</v>
      </c>
      <c r="I1657">
        <v>50</v>
      </c>
      <c r="J1657">
        <v>49.977321625000002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1320.775392</v>
      </c>
      <c r="B1658" s="1">
        <f>DATE(2013,12,11) + TIME(18,36,33)</f>
        <v>41619.775381944448</v>
      </c>
      <c r="C1658">
        <v>1304.4250488</v>
      </c>
      <c r="D1658">
        <v>1291.796875</v>
      </c>
      <c r="E1658">
        <v>1390.4815673999999</v>
      </c>
      <c r="F1658">
        <v>1370.8778076000001</v>
      </c>
      <c r="G1658">
        <v>80</v>
      </c>
      <c r="H1658">
        <v>76.185394286999994</v>
      </c>
      <c r="I1658">
        <v>50</v>
      </c>
      <c r="J1658">
        <v>49.977336884000003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1322.2716720000001</v>
      </c>
      <c r="B1659" s="1">
        <f>DATE(2013,12,13) + TIME(6,31,12)</f>
        <v>41621.271666666667</v>
      </c>
      <c r="C1659">
        <v>1304.3443603999999</v>
      </c>
      <c r="D1659">
        <v>1291.6972656</v>
      </c>
      <c r="E1659">
        <v>1390.4835204999999</v>
      </c>
      <c r="F1659">
        <v>1370.8819579999999</v>
      </c>
      <c r="G1659">
        <v>80</v>
      </c>
      <c r="H1659">
        <v>76.077339171999995</v>
      </c>
      <c r="I1659">
        <v>50</v>
      </c>
      <c r="J1659">
        <v>49.977348327999998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1323.820109</v>
      </c>
      <c r="B1660" s="1">
        <f>DATE(2013,12,14) + TIME(19,40,57)</f>
        <v>41622.820104166669</v>
      </c>
      <c r="C1660">
        <v>1304.2601318</v>
      </c>
      <c r="D1660">
        <v>1291.5927733999999</v>
      </c>
      <c r="E1660">
        <v>1390.4854736</v>
      </c>
      <c r="F1660">
        <v>1370.8859863</v>
      </c>
      <c r="G1660">
        <v>80</v>
      </c>
      <c r="H1660">
        <v>75.967521667</v>
      </c>
      <c r="I1660">
        <v>50</v>
      </c>
      <c r="J1660">
        <v>49.977359772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1325.4199819999999</v>
      </c>
      <c r="B1661" s="1">
        <f>DATE(2013,12,16) + TIME(10,4,46)</f>
        <v>41624.419976851852</v>
      </c>
      <c r="C1661">
        <v>1304.1713867000001</v>
      </c>
      <c r="D1661">
        <v>1291.4824219</v>
      </c>
      <c r="E1661">
        <v>1390.4871826000001</v>
      </c>
      <c r="F1661">
        <v>1370.8898925999999</v>
      </c>
      <c r="G1661">
        <v>80</v>
      </c>
      <c r="H1661">
        <v>75.855545043999996</v>
      </c>
      <c r="I1661">
        <v>50</v>
      </c>
      <c r="J1661">
        <v>49.977375031000001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1327.0380520000001</v>
      </c>
      <c r="B1662" s="1">
        <f>DATE(2013,12,18) + TIME(0,54,47)</f>
        <v>41626.038043981483</v>
      </c>
      <c r="C1662">
        <v>1304.0782471</v>
      </c>
      <c r="D1662">
        <v>1291.3660889</v>
      </c>
      <c r="E1662">
        <v>1390.4887695</v>
      </c>
      <c r="F1662">
        <v>1370.8937988</v>
      </c>
      <c r="G1662">
        <v>80</v>
      </c>
      <c r="H1662">
        <v>75.742118834999999</v>
      </c>
      <c r="I1662">
        <v>50</v>
      </c>
      <c r="J1662">
        <v>49.977390288999999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1328.6839339999999</v>
      </c>
      <c r="B1663" s="1">
        <f>DATE(2013,12,19) + TIME(16,24,51)</f>
        <v>41627.683923611112</v>
      </c>
      <c r="C1663">
        <v>1303.9820557</v>
      </c>
      <c r="D1663">
        <v>1291.2456055</v>
      </c>
      <c r="E1663">
        <v>1390.4902344</v>
      </c>
      <c r="F1663">
        <v>1370.8973389</v>
      </c>
      <c r="G1663">
        <v>80</v>
      </c>
      <c r="H1663">
        <v>75.627990722999996</v>
      </c>
      <c r="I1663">
        <v>50</v>
      </c>
      <c r="J1663">
        <v>49.977405548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1330.358592</v>
      </c>
      <c r="B1664" s="1">
        <f>DATE(2013,12,21) + TIME(8,36,22)</f>
        <v>41629.358587962961</v>
      </c>
      <c r="C1664">
        <v>1303.8825684000001</v>
      </c>
      <c r="D1664">
        <v>1291.1201172000001</v>
      </c>
      <c r="E1664">
        <v>1390.4915771000001</v>
      </c>
      <c r="F1664">
        <v>1370.9008789</v>
      </c>
      <c r="G1664">
        <v>80</v>
      </c>
      <c r="H1664">
        <v>75.513198853000006</v>
      </c>
      <c r="I1664">
        <v>50</v>
      </c>
      <c r="J1664">
        <v>49.977416992000002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1332.073678</v>
      </c>
      <c r="B1665" s="1">
        <f>DATE(2013,12,23) + TIME(1,46,5)</f>
        <v>41631.07366898148</v>
      </c>
      <c r="C1665">
        <v>1303.7792969</v>
      </c>
      <c r="D1665">
        <v>1290.989624</v>
      </c>
      <c r="E1665">
        <v>1390.4927978999999</v>
      </c>
      <c r="F1665">
        <v>1370.9041748</v>
      </c>
      <c r="G1665">
        <v>80</v>
      </c>
      <c r="H1665">
        <v>75.397445679</v>
      </c>
      <c r="I1665">
        <v>50</v>
      </c>
      <c r="J1665">
        <v>49.977432251000003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1333.8412370000001</v>
      </c>
      <c r="B1666" s="1">
        <f>DATE(2013,12,24) + TIME(20,11,22)</f>
        <v>41632.841226851851</v>
      </c>
      <c r="C1666">
        <v>1303.6715088000001</v>
      </c>
      <c r="D1666">
        <v>1290.8529053</v>
      </c>
      <c r="E1666">
        <v>1390.4938964999999</v>
      </c>
      <c r="F1666">
        <v>1370.9073486</v>
      </c>
      <c r="G1666">
        <v>80</v>
      </c>
      <c r="H1666">
        <v>75.280120850000003</v>
      </c>
      <c r="I1666">
        <v>50</v>
      </c>
      <c r="J1666">
        <v>49.977447509999998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1335.6581510000001</v>
      </c>
      <c r="B1667" s="1">
        <f>DATE(2013,12,26) + TIME(15,47,44)</f>
        <v>41634.658148148148</v>
      </c>
      <c r="C1667">
        <v>1303.5584716999999</v>
      </c>
      <c r="D1667">
        <v>1290.7087402</v>
      </c>
      <c r="E1667">
        <v>1390.4948730000001</v>
      </c>
      <c r="F1667">
        <v>1370.9104004000001</v>
      </c>
      <c r="G1667">
        <v>80</v>
      </c>
      <c r="H1667">
        <v>75.160827636999997</v>
      </c>
      <c r="I1667">
        <v>50</v>
      </c>
      <c r="J1667">
        <v>49.977466583000002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1337.496298</v>
      </c>
      <c r="B1668" s="1">
        <f>DATE(2013,12,28) + TIME(11,54,40)</f>
        <v>41636.496296296296</v>
      </c>
      <c r="C1668">
        <v>1303.4398193</v>
      </c>
      <c r="D1668">
        <v>1290.557251</v>
      </c>
      <c r="E1668">
        <v>1390.4957274999999</v>
      </c>
      <c r="F1668">
        <v>1370.9134521000001</v>
      </c>
      <c r="G1668">
        <v>80</v>
      </c>
      <c r="H1668">
        <v>75.040122986</v>
      </c>
      <c r="I1668">
        <v>50</v>
      </c>
      <c r="J1668">
        <v>49.977481842000003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1339.3660689999999</v>
      </c>
      <c r="B1669" s="1">
        <f>DATE(2013,12,30) + TIME(8,47,8)</f>
        <v>41638.366064814814</v>
      </c>
      <c r="C1669">
        <v>1303.3172606999999</v>
      </c>
      <c r="D1669">
        <v>1290.3999022999999</v>
      </c>
      <c r="E1669">
        <v>1390.4964600000001</v>
      </c>
      <c r="F1669">
        <v>1370.9162598</v>
      </c>
      <c r="G1669">
        <v>80</v>
      </c>
      <c r="H1669">
        <v>74.918502808</v>
      </c>
      <c r="I1669">
        <v>50</v>
      </c>
      <c r="J1669">
        <v>49.977497100999997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1341</v>
      </c>
      <c r="B1670" s="1">
        <f>DATE(2014,1,1) + TIME(0,0,0)</f>
        <v>41640</v>
      </c>
      <c r="C1670">
        <v>1303.1904297000001</v>
      </c>
      <c r="D1670">
        <v>1290.2375488</v>
      </c>
      <c r="E1670">
        <v>1390.4969481999999</v>
      </c>
      <c r="F1670">
        <v>1370.9188231999999</v>
      </c>
      <c r="G1670">
        <v>80</v>
      </c>
      <c r="H1670">
        <v>74.801765442000004</v>
      </c>
      <c r="I1670">
        <v>50</v>
      </c>
      <c r="J1670">
        <v>49.977512359999999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1342.901985</v>
      </c>
      <c r="B1671" s="1">
        <f>DATE(2014,1,2) + TIME(21,38,51)</f>
        <v>41641.901979166665</v>
      </c>
      <c r="C1671">
        <v>1303.0754394999999</v>
      </c>
      <c r="D1671">
        <v>1290.0867920000001</v>
      </c>
      <c r="E1671">
        <v>1390.4974365</v>
      </c>
      <c r="F1671">
        <v>1370.9211425999999</v>
      </c>
      <c r="G1671">
        <v>80</v>
      </c>
      <c r="H1671">
        <v>74.686485290999997</v>
      </c>
      <c r="I1671">
        <v>50</v>
      </c>
      <c r="J1671">
        <v>49.977527618000003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1344.898578</v>
      </c>
      <c r="B1672" s="1">
        <f>DATE(2014,1,4) + TIME(21,33,57)</f>
        <v>41643.898576388892</v>
      </c>
      <c r="C1672">
        <v>1302.9414062000001</v>
      </c>
      <c r="D1672">
        <v>1289.9133300999999</v>
      </c>
      <c r="E1672">
        <v>1390.4979248</v>
      </c>
      <c r="F1672">
        <v>1370.9235839999999</v>
      </c>
      <c r="G1672">
        <v>80</v>
      </c>
      <c r="H1672">
        <v>74.564285278</v>
      </c>
      <c r="I1672">
        <v>50</v>
      </c>
      <c r="J1672">
        <v>49.977546691999997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1346.929678</v>
      </c>
      <c r="B1673" s="1">
        <f>DATE(2014,1,6) + TIME(22,18,44)</f>
        <v>41645.929675925923</v>
      </c>
      <c r="C1673">
        <v>1302.7977295000001</v>
      </c>
      <c r="D1673">
        <v>1289.7264404</v>
      </c>
      <c r="E1673">
        <v>1390.4981689000001</v>
      </c>
      <c r="F1673">
        <v>1370.9260254000001</v>
      </c>
      <c r="G1673">
        <v>80</v>
      </c>
      <c r="H1673">
        <v>74.437294006000002</v>
      </c>
      <c r="I1673">
        <v>50</v>
      </c>
      <c r="J1673">
        <v>49.977561950999998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1348.986247</v>
      </c>
      <c r="B1674" s="1">
        <f>DATE(2014,1,8) + TIME(23,40,11)</f>
        <v>41647.986238425925</v>
      </c>
      <c r="C1674">
        <v>1302.6478271000001</v>
      </c>
      <c r="D1674">
        <v>1289.5306396000001</v>
      </c>
      <c r="E1674">
        <v>1390.4982910000001</v>
      </c>
      <c r="F1674">
        <v>1370.9283447</v>
      </c>
      <c r="G1674">
        <v>80</v>
      </c>
      <c r="H1674">
        <v>74.307823181000003</v>
      </c>
      <c r="I1674">
        <v>50</v>
      </c>
      <c r="J1674">
        <v>49.977581024000003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1351.077824</v>
      </c>
      <c r="B1675" s="1">
        <f>DATE(2014,1,11) + TIME(1,52,3)</f>
        <v>41650.0778125</v>
      </c>
      <c r="C1675">
        <v>1302.4924315999999</v>
      </c>
      <c r="D1675">
        <v>1289.3266602000001</v>
      </c>
      <c r="E1675">
        <v>1390.4984131000001</v>
      </c>
      <c r="F1675">
        <v>1370.9304199000001</v>
      </c>
      <c r="G1675">
        <v>80</v>
      </c>
      <c r="H1675">
        <v>74.176490783999995</v>
      </c>
      <c r="I1675">
        <v>50</v>
      </c>
      <c r="J1675">
        <v>49.977600098000003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1353.207973</v>
      </c>
      <c r="B1676" s="1">
        <f>DATE(2014,1,13) + TIME(4,59,28)</f>
        <v>41652.207962962966</v>
      </c>
      <c r="C1676">
        <v>1302.3308105000001</v>
      </c>
      <c r="D1676">
        <v>1289.1136475000001</v>
      </c>
      <c r="E1676">
        <v>1390.4984131000001</v>
      </c>
      <c r="F1676">
        <v>1370.9324951000001</v>
      </c>
      <c r="G1676">
        <v>80</v>
      </c>
      <c r="H1676">
        <v>74.042984008999994</v>
      </c>
      <c r="I1676">
        <v>50</v>
      </c>
      <c r="J1676">
        <v>49.977619171000001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1355.391388</v>
      </c>
      <c r="B1677" s="1">
        <f>DATE(2014,1,15) + TIME(9,23,35)</f>
        <v>41654.391377314816</v>
      </c>
      <c r="C1677">
        <v>1302.1624756000001</v>
      </c>
      <c r="D1677">
        <v>1288.8908690999999</v>
      </c>
      <c r="E1677">
        <v>1390.4981689000001</v>
      </c>
      <c r="F1677">
        <v>1370.9343262</v>
      </c>
      <c r="G1677">
        <v>80</v>
      </c>
      <c r="H1677">
        <v>73.906639099000003</v>
      </c>
      <c r="I1677">
        <v>50</v>
      </c>
      <c r="J1677">
        <v>49.977638245000001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1357.6134850000001</v>
      </c>
      <c r="B1678" s="1">
        <f>DATE(2014,1,17) + TIME(14,43,25)</f>
        <v>41656.613483796296</v>
      </c>
      <c r="C1678">
        <v>1301.9860839999999</v>
      </c>
      <c r="D1678">
        <v>1288.6566161999999</v>
      </c>
      <c r="E1678">
        <v>1390.4979248</v>
      </c>
      <c r="F1678">
        <v>1370.9361572</v>
      </c>
      <c r="G1678">
        <v>80</v>
      </c>
      <c r="H1678">
        <v>73.766845703000001</v>
      </c>
      <c r="I1678">
        <v>50</v>
      </c>
      <c r="J1678">
        <v>49.977657317999999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1359.8626469999999</v>
      </c>
      <c r="B1679" s="1">
        <f>DATE(2014,1,19) + TIME(20,42,12)</f>
        <v>41658.862638888888</v>
      </c>
      <c r="C1679">
        <v>1301.8022461</v>
      </c>
      <c r="D1679">
        <v>1288.411499</v>
      </c>
      <c r="E1679">
        <v>1390.4974365</v>
      </c>
      <c r="F1679">
        <v>1370.9378661999999</v>
      </c>
      <c r="G1679">
        <v>80</v>
      </c>
      <c r="H1679">
        <v>73.623741150000001</v>
      </c>
      <c r="I1679">
        <v>50</v>
      </c>
      <c r="J1679">
        <v>49.977676391999999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1362.14822</v>
      </c>
      <c r="B1680" s="1">
        <f>DATE(2014,1,22) + TIME(3,33,26)</f>
        <v>41661.148217592592</v>
      </c>
      <c r="C1680">
        <v>1301.6116943</v>
      </c>
      <c r="D1680">
        <v>1288.15625</v>
      </c>
      <c r="E1680">
        <v>1390.4968262</v>
      </c>
      <c r="F1680">
        <v>1370.9393310999999</v>
      </c>
      <c r="G1680">
        <v>80</v>
      </c>
      <c r="H1680">
        <v>73.477195739999999</v>
      </c>
      <c r="I1680">
        <v>50</v>
      </c>
      <c r="J1680">
        <v>49.977695464999996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1364.473767</v>
      </c>
      <c r="B1681" s="1">
        <f>DATE(2014,1,24) + TIME(11,22,13)</f>
        <v>41663.473761574074</v>
      </c>
      <c r="C1681">
        <v>1301.4136963000001</v>
      </c>
      <c r="D1681">
        <v>1287.8897704999999</v>
      </c>
      <c r="E1681">
        <v>1390.4960937999999</v>
      </c>
      <c r="F1681">
        <v>1370.9407959</v>
      </c>
      <c r="G1681">
        <v>80</v>
      </c>
      <c r="H1681">
        <v>73.326431274000001</v>
      </c>
      <c r="I1681">
        <v>50</v>
      </c>
      <c r="J1681">
        <v>49.977718353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1366.855149</v>
      </c>
      <c r="B1682" s="1">
        <f>DATE(2014,1,26) + TIME(20,31,24)</f>
        <v>41665.855138888888</v>
      </c>
      <c r="C1682">
        <v>1301.2075195</v>
      </c>
      <c r="D1682">
        <v>1287.6112060999999</v>
      </c>
      <c r="E1682">
        <v>1390.4952393000001</v>
      </c>
      <c r="F1682">
        <v>1370.9420166</v>
      </c>
      <c r="G1682">
        <v>80</v>
      </c>
      <c r="H1682">
        <v>73.170417786000002</v>
      </c>
      <c r="I1682">
        <v>50</v>
      </c>
      <c r="J1682">
        <v>49.977737427000001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1369.2624519999999</v>
      </c>
      <c r="B1683" s="1">
        <f>DATE(2014,1,29) + TIME(6,17,55)</f>
        <v>41668.262442129628</v>
      </c>
      <c r="C1683">
        <v>1300.9918213000001</v>
      </c>
      <c r="D1683">
        <v>1287.3186035000001</v>
      </c>
      <c r="E1683">
        <v>1390.4941406</v>
      </c>
      <c r="F1683">
        <v>1370.9429932</v>
      </c>
      <c r="G1683">
        <v>80</v>
      </c>
      <c r="H1683">
        <v>73.008338928000001</v>
      </c>
      <c r="I1683">
        <v>50</v>
      </c>
      <c r="J1683">
        <v>49.977760314999998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1371.7055869999999</v>
      </c>
      <c r="B1684" s="1">
        <f>DATE(2014,1,31) + TIME(16,56,2)</f>
        <v>41670.705578703702</v>
      </c>
      <c r="C1684">
        <v>1300.7686768000001</v>
      </c>
      <c r="D1684">
        <v>1287.0144043</v>
      </c>
      <c r="E1684">
        <v>1390.4927978999999</v>
      </c>
      <c r="F1684">
        <v>1370.9438477000001</v>
      </c>
      <c r="G1684">
        <v>80</v>
      </c>
      <c r="H1684">
        <v>72.840248107999997</v>
      </c>
      <c r="I1684">
        <v>50</v>
      </c>
      <c r="J1684">
        <v>49.977779388000002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1372</v>
      </c>
      <c r="B1685" s="1">
        <f>DATE(2014,2,1) + TIME(0,0,0)</f>
        <v>41671</v>
      </c>
      <c r="C1685">
        <v>1300.5581055</v>
      </c>
      <c r="D1685">
        <v>1286.7515868999999</v>
      </c>
      <c r="E1685">
        <v>1390.4893798999999</v>
      </c>
      <c r="F1685">
        <v>1370.9428711</v>
      </c>
      <c r="G1685">
        <v>80</v>
      </c>
      <c r="H1685">
        <v>72.778709411999998</v>
      </c>
      <c r="I1685">
        <v>50</v>
      </c>
      <c r="J1685">
        <v>49.977783203000001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1374.477633</v>
      </c>
      <c r="B1686" s="1">
        <f>DATE(2014,2,3) + TIME(11,27,47)</f>
        <v>41673.477627314816</v>
      </c>
      <c r="C1686">
        <v>1300.5009766000001</v>
      </c>
      <c r="D1686">
        <v>1286.6435547000001</v>
      </c>
      <c r="E1686">
        <v>1390.4910889</v>
      </c>
      <c r="F1686">
        <v>1370.9445800999999</v>
      </c>
      <c r="G1686">
        <v>80</v>
      </c>
      <c r="H1686">
        <v>72.633468628000003</v>
      </c>
      <c r="I1686">
        <v>50</v>
      </c>
      <c r="J1686">
        <v>49.977802277000002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1377.010894</v>
      </c>
      <c r="B1687" s="1">
        <f>DATE(2014,2,6) + TIME(0,15,41)</f>
        <v>41676.010891203703</v>
      </c>
      <c r="C1687">
        <v>1300.2667236</v>
      </c>
      <c r="D1687">
        <v>1286.3240966999999</v>
      </c>
      <c r="E1687">
        <v>1390.4891356999999</v>
      </c>
      <c r="F1687">
        <v>1370.9449463000001</v>
      </c>
      <c r="G1687">
        <v>80</v>
      </c>
      <c r="H1687">
        <v>72.457290649000001</v>
      </c>
      <c r="I1687">
        <v>50</v>
      </c>
      <c r="J1687">
        <v>49.977825164999999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1379.576787</v>
      </c>
      <c r="B1688" s="1">
        <f>DATE(2014,2,8) + TIME(13,50,34)</f>
        <v>41678.576782407406</v>
      </c>
      <c r="C1688">
        <v>1300.0179443</v>
      </c>
      <c r="D1688">
        <v>1285.9808350000001</v>
      </c>
      <c r="E1688">
        <v>1390.4869385</v>
      </c>
      <c r="F1688">
        <v>1370.9449463000001</v>
      </c>
      <c r="G1688">
        <v>80</v>
      </c>
      <c r="H1688">
        <v>72.265846252000003</v>
      </c>
      <c r="I1688">
        <v>50</v>
      </c>
      <c r="J1688">
        <v>49.977848053000002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1382.1797200000001</v>
      </c>
      <c r="B1689" s="1">
        <f>DATE(2014,2,11) + TIME(4,18,47)</f>
        <v>41681.179710648146</v>
      </c>
      <c r="C1689">
        <v>1299.7597656</v>
      </c>
      <c r="D1689">
        <v>1285.6224365</v>
      </c>
      <c r="E1689">
        <v>1390.4844971</v>
      </c>
      <c r="F1689">
        <v>1370.9447021000001</v>
      </c>
      <c r="G1689">
        <v>80</v>
      </c>
      <c r="H1689">
        <v>72.063232421999999</v>
      </c>
      <c r="I1689">
        <v>50</v>
      </c>
      <c r="J1689">
        <v>49.977870940999999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1384.8157369999999</v>
      </c>
      <c r="B1690" s="1">
        <f>DATE(2014,2,13) + TIME(19,34,39)</f>
        <v>41683.815729166665</v>
      </c>
      <c r="C1690">
        <v>1299.4927978999999</v>
      </c>
      <c r="D1690">
        <v>1285.2501221</v>
      </c>
      <c r="E1690">
        <v>1390.4815673999999</v>
      </c>
      <c r="F1690">
        <v>1370.9442139</v>
      </c>
      <c r="G1690">
        <v>80</v>
      </c>
      <c r="H1690">
        <v>71.849678040000001</v>
      </c>
      <c r="I1690">
        <v>50</v>
      </c>
      <c r="J1690">
        <v>49.977893829000003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1387.500769</v>
      </c>
      <c r="B1691" s="1">
        <f>DATE(2014,2,16) + TIME(12,1,6)</f>
        <v>41686.500763888886</v>
      </c>
      <c r="C1691">
        <v>1299.2178954999999</v>
      </c>
      <c r="D1691">
        <v>1284.864624</v>
      </c>
      <c r="E1691">
        <v>1390.4782714999999</v>
      </c>
      <c r="F1691">
        <v>1370.9432373</v>
      </c>
      <c r="G1691">
        <v>80</v>
      </c>
      <c r="H1691">
        <v>71.624458313000005</v>
      </c>
      <c r="I1691">
        <v>50</v>
      </c>
      <c r="J1691">
        <v>49.977916718000003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1390.218224</v>
      </c>
      <c r="B1692" s="1">
        <f>DATE(2014,2,19) + TIME(5,14,14)</f>
        <v>41689.218217592592</v>
      </c>
      <c r="C1692">
        <v>1298.9338379000001</v>
      </c>
      <c r="D1692">
        <v>1284.4645995999999</v>
      </c>
      <c r="E1692">
        <v>1390.4744873</v>
      </c>
      <c r="F1692">
        <v>1370.9418945</v>
      </c>
      <c r="G1692">
        <v>80</v>
      </c>
      <c r="H1692">
        <v>71.386337280000006</v>
      </c>
      <c r="I1692">
        <v>50</v>
      </c>
      <c r="J1692">
        <v>49.977939606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1392.972135</v>
      </c>
      <c r="B1693" s="1">
        <f>DATE(2014,2,21) + TIME(23,19,52)</f>
        <v>41691.972129629627</v>
      </c>
      <c r="C1693">
        <v>1298.6422118999999</v>
      </c>
      <c r="D1693">
        <v>1284.0520019999999</v>
      </c>
      <c r="E1693">
        <v>1390.4700928</v>
      </c>
      <c r="F1693">
        <v>1370.9399414</v>
      </c>
      <c r="G1693">
        <v>80</v>
      </c>
      <c r="H1693">
        <v>71.135124207000004</v>
      </c>
      <c r="I1693">
        <v>50</v>
      </c>
      <c r="J1693">
        <v>49.977962494000003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1395.7628480000001</v>
      </c>
      <c r="B1694" s="1">
        <f>DATE(2014,2,24) + TIME(18,18,30)</f>
        <v>41694.76284722222</v>
      </c>
      <c r="C1694">
        <v>1298.3431396000001</v>
      </c>
      <c r="D1694">
        <v>1283.6268310999999</v>
      </c>
      <c r="E1694">
        <v>1390.4652100000001</v>
      </c>
      <c r="F1694">
        <v>1370.9376221</v>
      </c>
      <c r="G1694">
        <v>80</v>
      </c>
      <c r="H1694">
        <v>70.870094299000002</v>
      </c>
      <c r="I1694">
        <v>50</v>
      </c>
      <c r="J1694">
        <v>49.977985382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1398.601592</v>
      </c>
      <c r="B1695" s="1">
        <f>DATE(2014,2,27) + TIME(14,26,17)</f>
        <v>41697.601585648146</v>
      </c>
      <c r="C1695">
        <v>1298.0367432</v>
      </c>
      <c r="D1695">
        <v>1283.1893310999999</v>
      </c>
      <c r="E1695">
        <v>1390.4597168</v>
      </c>
      <c r="F1695">
        <v>1370.9346923999999</v>
      </c>
      <c r="G1695">
        <v>80</v>
      </c>
      <c r="H1695">
        <v>70.590385436999995</v>
      </c>
      <c r="I1695">
        <v>50</v>
      </c>
      <c r="J1695">
        <v>49.978008269999997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1400</v>
      </c>
      <c r="B1696" s="1">
        <f>DATE(2014,3,1) + TIME(0,0,0)</f>
        <v>41699</v>
      </c>
      <c r="C1696">
        <v>1297.7307129000001</v>
      </c>
      <c r="D1696">
        <v>1282.7639160000001</v>
      </c>
      <c r="E1696">
        <v>1390.4527588000001</v>
      </c>
      <c r="F1696">
        <v>1370.9302978999999</v>
      </c>
      <c r="G1696">
        <v>80</v>
      </c>
      <c r="H1696">
        <v>70.349380492999998</v>
      </c>
      <c r="I1696">
        <v>50</v>
      </c>
      <c r="J1696">
        <v>49.978019713999998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1402.877592</v>
      </c>
      <c r="B1697" s="1">
        <f>DATE(2014,3,3) + TIME(21,3,43)</f>
        <v>41701.877581018518</v>
      </c>
      <c r="C1697">
        <v>1297.5510254000001</v>
      </c>
      <c r="D1697">
        <v>1282.4836425999999</v>
      </c>
      <c r="E1697">
        <v>1390.4504394999999</v>
      </c>
      <c r="F1697">
        <v>1370.9290771000001</v>
      </c>
      <c r="G1697">
        <v>80</v>
      </c>
      <c r="H1697">
        <v>70.122886657999999</v>
      </c>
      <c r="I1697">
        <v>50</v>
      </c>
      <c r="J1697">
        <v>49.978042602999999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1405.8110839999999</v>
      </c>
      <c r="B1698" s="1">
        <f>DATE(2014,3,6) + TIME(19,27,57)</f>
        <v>41704.811076388891</v>
      </c>
      <c r="C1698">
        <v>1297.2416992000001</v>
      </c>
      <c r="D1698">
        <v>1282.0433350000001</v>
      </c>
      <c r="E1698">
        <v>1390.4429932</v>
      </c>
      <c r="F1698">
        <v>1370.9244385</v>
      </c>
      <c r="G1698">
        <v>80</v>
      </c>
      <c r="H1698">
        <v>69.821289062000005</v>
      </c>
      <c r="I1698">
        <v>50</v>
      </c>
      <c r="J1698">
        <v>49.978069304999998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1408.8022599999999</v>
      </c>
      <c r="B1699" s="1">
        <f>DATE(2014,3,9) + TIME(19,15,15)</f>
        <v>41707.802256944444</v>
      </c>
      <c r="C1699">
        <v>1296.9154053</v>
      </c>
      <c r="D1699">
        <v>1281.5715332</v>
      </c>
      <c r="E1699">
        <v>1390.4349365</v>
      </c>
      <c r="F1699">
        <v>1370.9190673999999</v>
      </c>
      <c r="G1699">
        <v>80</v>
      </c>
      <c r="H1699">
        <v>69.489112853999998</v>
      </c>
      <c r="I1699">
        <v>50</v>
      </c>
      <c r="J1699">
        <v>49.978092193999998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1411.829692</v>
      </c>
      <c r="B1700" s="1">
        <f>DATE(2014,3,12) + TIME(19,54,45)</f>
        <v>41710.829687500001</v>
      </c>
      <c r="C1700">
        <v>1296.5799560999999</v>
      </c>
      <c r="D1700">
        <v>1281.083374</v>
      </c>
      <c r="E1700">
        <v>1390.4259033000001</v>
      </c>
      <c r="F1700">
        <v>1370.9128418</v>
      </c>
      <c r="G1700">
        <v>80</v>
      </c>
      <c r="H1700">
        <v>69.136520386000001</v>
      </c>
      <c r="I1700">
        <v>50</v>
      </c>
      <c r="J1700">
        <v>49.978118895999998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1414.902703</v>
      </c>
      <c r="B1701" s="1">
        <f>DATE(2014,3,15) + TIME(21,39,53)</f>
        <v>41713.902696759258</v>
      </c>
      <c r="C1701">
        <v>1296.2395019999999</v>
      </c>
      <c r="D1701">
        <v>1280.5854492000001</v>
      </c>
      <c r="E1701">
        <v>1390.4160156</v>
      </c>
      <c r="F1701">
        <v>1370.9058838000001</v>
      </c>
      <c r="G1701">
        <v>80</v>
      </c>
      <c r="H1701">
        <v>68.766914368000002</v>
      </c>
      <c r="I1701">
        <v>50</v>
      </c>
      <c r="J1701">
        <v>49.978141784999998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1418.041712</v>
      </c>
      <c r="B1702" s="1">
        <f>DATE(2014,3,19) + TIME(1,0,3)</f>
        <v>41717.041701388887</v>
      </c>
      <c r="C1702">
        <v>1295.8944091999999</v>
      </c>
      <c r="D1702">
        <v>1280.0784911999999</v>
      </c>
      <c r="E1702">
        <v>1390.4051514</v>
      </c>
      <c r="F1702">
        <v>1370.8979492000001</v>
      </c>
      <c r="G1702">
        <v>80</v>
      </c>
      <c r="H1702">
        <v>68.380195618000002</v>
      </c>
      <c r="I1702">
        <v>50</v>
      </c>
      <c r="J1702">
        <v>49.978168488000001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1421.24288</v>
      </c>
      <c r="B1703" s="1">
        <f>DATE(2014,3,22) + TIME(5,49,44)</f>
        <v>41720.24287037037</v>
      </c>
      <c r="C1703">
        <v>1295.5435791</v>
      </c>
      <c r="D1703">
        <v>1279.5610352000001</v>
      </c>
      <c r="E1703">
        <v>1390.3931885</v>
      </c>
      <c r="F1703">
        <v>1370.8889160000001</v>
      </c>
      <c r="G1703">
        <v>80</v>
      </c>
      <c r="H1703">
        <v>67.975074767999999</v>
      </c>
      <c r="I1703">
        <v>50</v>
      </c>
      <c r="J1703">
        <v>49.978195190000001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1424.503694</v>
      </c>
      <c r="B1704" s="1">
        <f>DATE(2014,3,25) + TIME(12,5,19)</f>
        <v>41723.503692129627</v>
      </c>
      <c r="C1704">
        <v>1295.1877440999999</v>
      </c>
      <c r="D1704">
        <v>1279.0341797000001</v>
      </c>
      <c r="E1704">
        <v>1390.3801269999999</v>
      </c>
      <c r="F1704">
        <v>1370.8789062000001</v>
      </c>
      <c r="G1704">
        <v>80</v>
      </c>
      <c r="H1704">
        <v>67.551849364999995</v>
      </c>
      <c r="I1704">
        <v>50</v>
      </c>
      <c r="J1704">
        <v>49.978218079000001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1427.846669</v>
      </c>
      <c r="B1705" s="1">
        <f>DATE(2014,3,28) + TIME(20,19,12)</f>
        <v>41726.846666666665</v>
      </c>
      <c r="C1705">
        <v>1294.828125</v>
      </c>
      <c r="D1705">
        <v>1278.4992675999999</v>
      </c>
      <c r="E1705">
        <v>1390.3658447</v>
      </c>
      <c r="F1705">
        <v>1370.8677978999999</v>
      </c>
      <c r="G1705">
        <v>80</v>
      </c>
      <c r="H1705">
        <v>67.110862732000001</v>
      </c>
      <c r="I1705">
        <v>50</v>
      </c>
      <c r="J1705">
        <v>49.978248596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1431</v>
      </c>
      <c r="B1706" s="1">
        <f>DATE(2014,4,1) + TIME(0,0,0)</f>
        <v>41730</v>
      </c>
      <c r="C1706">
        <v>1294.4641113</v>
      </c>
      <c r="D1706">
        <v>1277.9575195</v>
      </c>
      <c r="E1706">
        <v>1390.3500977000001</v>
      </c>
      <c r="F1706">
        <v>1370.8553466999999</v>
      </c>
      <c r="G1706">
        <v>80</v>
      </c>
      <c r="H1706">
        <v>66.657928467000005</v>
      </c>
      <c r="I1706">
        <v>50</v>
      </c>
      <c r="J1706">
        <v>49.978271483999997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1434.4492230000001</v>
      </c>
      <c r="B1707" s="1">
        <f>DATE(2014,4,4) + TIME(10,46,52)</f>
        <v>41733.449212962965</v>
      </c>
      <c r="C1707">
        <v>1294.1204834</v>
      </c>
      <c r="D1707">
        <v>1277.4390868999999</v>
      </c>
      <c r="E1707">
        <v>1390.3345947</v>
      </c>
      <c r="F1707">
        <v>1370.8427733999999</v>
      </c>
      <c r="G1707">
        <v>80</v>
      </c>
      <c r="H1707">
        <v>66.206283568999993</v>
      </c>
      <c r="I1707">
        <v>50</v>
      </c>
      <c r="J1707">
        <v>49.978298187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1438.099072</v>
      </c>
      <c r="B1708" s="1">
        <f>DATE(2014,4,8) + TIME(2,22,39)</f>
        <v>41737.099062499998</v>
      </c>
      <c r="C1708">
        <v>1293.7558594</v>
      </c>
      <c r="D1708">
        <v>1276.8908690999999</v>
      </c>
      <c r="E1708">
        <v>1390.3165283000001</v>
      </c>
      <c r="F1708">
        <v>1370.8280029</v>
      </c>
      <c r="G1708">
        <v>80</v>
      </c>
      <c r="H1708">
        <v>65.719558715999995</v>
      </c>
      <c r="I1708">
        <v>50</v>
      </c>
      <c r="J1708">
        <v>49.978328705000003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1441.8830330000001</v>
      </c>
      <c r="B1709" s="1">
        <f>DATE(2014,4,11) + TIME(21,11,34)</f>
        <v>41740.883032407408</v>
      </c>
      <c r="C1709">
        <v>1293.3760986</v>
      </c>
      <c r="D1709">
        <v>1276.3179932</v>
      </c>
      <c r="E1709">
        <v>1390.2963867000001</v>
      </c>
      <c r="F1709">
        <v>1370.8114014</v>
      </c>
      <c r="G1709">
        <v>80</v>
      </c>
      <c r="H1709">
        <v>65.200889587000006</v>
      </c>
      <c r="I1709">
        <v>50</v>
      </c>
      <c r="J1709">
        <v>49.978359222000002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1445.801236</v>
      </c>
      <c r="B1710" s="1">
        <f>DATE(2014,4,15) + TIME(19,13,46)</f>
        <v>41744.801226851851</v>
      </c>
      <c r="C1710">
        <v>1292.9890137</v>
      </c>
      <c r="D1710">
        <v>1275.7313231999999</v>
      </c>
      <c r="E1710">
        <v>1390.2744141000001</v>
      </c>
      <c r="F1710">
        <v>1370.7929687999999</v>
      </c>
      <c r="G1710">
        <v>80</v>
      </c>
      <c r="H1710">
        <v>64.658454895000006</v>
      </c>
      <c r="I1710">
        <v>50</v>
      </c>
      <c r="J1710">
        <v>49.978389739999997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1449.888236</v>
      </c>
      <c r="B1711" s="1">
        <f>DATE(2014,4,19) + TIME(21,19,3)</f>
        <v>41748.888229166667</v>
      </c>
      <c r="C1711">
        <v>1292.5969238</v>
      </c>
      <c r="D1711">
        <v>1275.1343993999999</v>
      </c>
      <c r="E1711">
        <v>1390.2504882999999</v>
      </c>
      <c r="F1711">
        <v>1370.7727050999999</v>
      </c>
      <c r="G1711">
        <v>80</v>
      </c>
      <c r="H1711">
        <v>64.094062804999993</v>
      </c>
      <c r="I1711">
        <v>50</v>
      </c>
      <c r="J1711">
        <v>49.978420258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1454.1830239999999</v>
      </c>
      <c r="B1712" s="1">
        <f>DATE(2014,4,24) + TIME(4,23,33)</f>
        <v>41753.183020833334</v>
      </c>
      <c r="C1712">
        <v>1292.1986084</v>
      </c>
      <c r="D1712">
        <v>1274.5253906</v>
      </c>
      <c r="E1712">
        <v>1390.2242432</v>
      </c>
      <c r="F1712">
        <v>1370.7503661999999</v>
      </c>
      <c r="G1712">
        <v>80</v>
      </c>
      <c r="H1712">
        <v>63.505447388</v>
      </c>
      <c r="I1712">
        <v>50</v>
      </c>
      <c r="J1712">
        <v>49.978454589999998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1458.6359769999999</v>
      </c>
      <c r="B1713" s="1">
        <f>DATE(2014,4,28) + TIME(15,15,48)</f>
        <v>41757.635972222219</v>
      </c>
      <c r="C1713">
        <v>1291.7923584</v>
      </c>
      <c r="D1713">
        <v>1273.9024658000001</v>
      </c>
      <c r="E1713">
        <v>1390.1955565999999</v>
      </c>
      <c r="F1713">
        <v>1370.7257079999999</v>
      </c>
      <c r="G1713">
        <v>80</v>
      </c>
      <c r="H1713">
        <v>62.891048431000002</v>
      </c>
      <c r="I1713">
        <v>50</v>
      </c>
      <c r="J1713">
        <v>49.978488921999997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1461</v>
      </c>
      <c r="B1714" s="1">
        <f>DATE(2014,5,1) + TIME(0,0,0)</f>
        <v>41760</v>
      </c>
      <c r="C1714">
        <v>1291.3879394999999</v>
      </c>
      <c r="D1714">
        <v>1273.3000488</v>
      </c>
      <c r="E1714">
        <v>1390.1640625</v>
      </c>
      <c r="F1714">
        <v>1370.6983643000001</v>
      </c>
      <c r="G1714">
        <v>80</v>
      </c>
      <c r="H1714">
        <v>62.331073760999999</v>
      </c>
      <c r="I1714">
        <v>50</v>
      </c>
      <c r="J1714">
        <v>49.978504180999998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1461.0000010000001</v>
      </c>
      <c r="B1715" s="1">
        <f>DATE(2014,5,1) + TIME(0,0,0)</f>
        <v>41760</v>
      </c>
      <c r="C1715">
        <v>1311.026001</v>
      </c>
      <c r="D1715">
        <v>1292.3969727000001</v>
      </c>
      <c r="E1715">
        <v>1369.8238524999999</v>
      </c>
      <c r="F1715">
        <v>1350.9492187999999</v>
      </c>
      <c r="G1715">
        <v>80</v>
      </c>
      <c r="H1715">
        <v>62.331233978</v>
      </c>
      <c r="I1715">
        <v>50</v>
      </c>
      <c r="J1715">
        <v>49.978393554999997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1461.000004</v>
      </c>
      <c r="B1716" s="1">
        <f>DATE(2014,5,1) + TIME(0,0,0)</f>
        <v>41760</v>
      </c>
      <c r="C1716">
        <v>1313.3891602000001</v>
      </c>
      <c r="D1716">
        <v>1295.0134277</v>
      </c>
      <c r="E1716">
        <v>1367.4913329999999</v>
      </c>
      <c r="F1716">
        <v>1348.6159668</v>
      </c>
      <c r="G1716">
        <v>80</v>
      </c>
      <c r="H1716">
        <v>62.331653594999999</v>
      </c>
      <c r="I1716">
        <v>50</v>
      </c>
      <c r="J1716">
        <v>49.978099823000001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1461.0000130000001</v>
      </c>
      <c r="B1717" s="1">
        <f>DATE(2014,5,1) + TIME(0,0,1)</f>
        <v>41760.000011574077</v>
      </c>
      <c r="C1717">
        <v>1318.6130370999999</v>
      </c>
      <c r="D1717">
        <v>1300.5761719</v>
      </c>
      <c r="E1717">
        <v>1362.2589111</v>
      </c>
      <c r="F1717">
        <v>1343.3828125</v>
      </c>
      <c r="G1717">
        <v>80</v>
      </c>
      <c r="H1717">
        <v>62.332611084</v>
      </c>
      <c r="I1717">
        <v>50</v>
      </c>
      <c r="J1717">
        <v>49.977439879999999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1461.0000399999999</v>
      </c>
      <c r="B1718" s="1">
        <f>DATE(2014,5,1) + TIME(0,0,3)</f>
        <v>41760.000034722223</v>
      </c>
      <c r="C1718">
        <v>1327.1904297000001</v>
      </c>
      <c r="D1718">
        <v>1309.2961425999999</v>
      </c>
      <c r="E1718">
        <v>1353.5153809000001</v>
      </c>
      <c r="F1718">
        <v>1334.6398925999999</v>
      </c>
      <c r="G1718">
        <v>80</v>
      </c>
      <c r="H1718">
        <v>62.334419250000003</v>
      </c>
      <c r="I1718">
        <v>50</v>
      </c>
      <c r="J1718">
        <v>49.976337432999998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1461.000121</v>
      </c>
      <c r="B1719" s="1">
        <f>DATE(2014,5,1) + TIME(0,0,10)</f>
        <v>41760.000115740739</v>
      </c>
      <c r="C1719">
        <v>1337.5804443</v>
      </c>
      <c r="D1719">
        <v>1319.5748291</v>
      </c>
      <c r="E1719">
        <v>1342.8427733999999</v>
      </c>
      <c r="F1719">
        <v>1323.9713135</v>
      </c>
      <c r="G1719">
        <v>80</v>
      </c>
      <c r="H1719">
        <v>62.337749481000003</v>
      </c>
      <c r="I1719">
        <v>50</v>
      </c>
      <c r="J1719">
        <v>49.974987030000001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1461.000364</v>
      </c>
      <c r="B1720" s="1">
        <f>DATE(2014,5,1) + TIME(0,0,31)</f>
        <v>41760.000358796293</v>
      </c>
      <c r="C1720">
        <v>1348.3623047000001</v>
      </c>
      <c r="D1720">
        <v>1330.1964111</v>
      </c>
      <c r="E1720">
        <v>1331.8572998</v>
      </c>
      <c r="F1720">
        <v>1312.9935303</v>
      </c>
      <c r="G1720">
        <v>80</v>
      </c>
      <c r="H1720">
        <v>62.345100403000004</v>
      </c>
      <c r="I1720">
        <v>50</v>
      </c>
      <c r="J1720">
        <v>49.973579407000003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1461.0010930000001</v>
      </c>
      <c r="B1721" s="1">
        <f>DATE(2014,5,1) + TIME(0,1,34)</f>
        <v>41760.001087962963</v>
      </c>
      <c r="C1721">
        <v>1359.3598632999999</v>
      </c>
      <c r="D1721">
        <v>1341.0161132999999</v>
      </c>
      <c r="E1721">
        <v>1320.9121094</v>
      </c>
      <c r="F1721">
        <v>1302.0532227000001</v>
      </c>
      <c r="G1721">
        <v>80</v>
      </c>
      <c r="H1721">
        <v>62.364524840999998</v>
      </c>
      <c r="I1721">
        <v>50</v>
      </c>
      <c r="J1721">
        <v>49.972133636000002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1461.0032799999999</v>
      </c>
      <c r="B1722" s="1">
        <f>DATE(2014,5,1) + TIME(0,4,43)</f>
        <v>41760.003275462965</v>
      </c>
      <c r="C1722">
        <v>1370.4251709</v>
      </c>
      <c r="D1722">
        <v>1351.8842772999999</v>
      </c>
      <c r="E1722">
        <v>1310.2828368999999</v>
      </c>
      <c r="F1722">
        <v>1291.3876952999999</v>
      </c>
      <c r="G1722">
        <v>80</v>
      </c>
      <c r="H1722">
        <v>62.420372008999998</v>
      </c>
      <c r="I1722">
        <v>50</v>
      </c>
      <c r="J1722">
        <v>49.970581054999997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1461.0098410000001</v>
      </c>
      <c r="B1723" s="1">
        <f>DATE(2014,5,1) + TIME(0,14,10)</f>
        <v>41760.009837962964</v>
      </c>
      <c r="C1723">
        <v>1380.1715088000001</v>
      </c>
      <c r="D1723">
        <v>1361.5114745999999</v>
      </c>
      <c r="E1723">
        <v>1301.0577393000001</v>
      </c>
      <c r="F1723">
        <v>1282.0805664</v>
      </c>
      <c r="G1723">
        <v>80</v>
      </c>
      <c r="H1723">
        <v>62.584758759000003</v>
      </c>
      <c r="I1723">
        <v>50</v>
      </c>
      <c r="J1723">
        <v>49.968780518000003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1461.029524</v>
      </c>
      <c r="B1724" s="1">
        <f>DATE(2014,5,1) + TIME(0,42,30)</f>
        <v>41760.029513888891</v>
      </c>
      <c r="C1724">
        <v>1386.6966553</v>
      </c>
      <c r="D1724">
        <v>1368.1132812000001</v>
      </c>
      <c r="E1724">
        <v>1294.8048096</v>
      </c>
      <c r="F1724">
        <v>1275.7673339999999</v>
      </c>
      <c r="G1724">
        <v>80</v>
      </c>
      <c r="H1724">
        <v>63.062843323000003</v>
      </c>
      <c r="I1724">
        <v>50</v>
      </c>
      <c r="J1724">
        <v>49.966106414999999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1461.0563689999999</v>
      </c>
      <c r="B1725" s="1">
        <f>DATE(2014,5,1) + TIME(1,21,10)</f>
        <v>41760.05636574074</v>
      </c>
      <c r="C1725">
        <v>1388.9788818</v>
      </c>
      <c r="D1725">
        <v>1370.5582274999999</v>
      </c>
      <c r="E1725">
        <v>1292.6748047000001</v>
      </c>
      <c r="F1725">
        <v>1273.6192627</v>
      </c>
      <c r="G1725">
        <v>80</v>
      </c>
      <c r="H1725">
        <v>63.690105438000003</v>
      </c>
      <c r="I1725">
        <v>50</v>
      </c>
      <c r="J1725">
        <v>49.963283539000003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1461.0838189999999</v>
      </c>
      <c r="B1726" s="1">
        <f>DATE(2014,5,1) + TIME(2,0,41)</f>
        <v>41760.083807870367</v>
      </c>
      <c r="C1726">
        <v>1389.6517334</v>
      </c>
      <c r="D1726">
        <v>1371.3892822</v>
      </c>
      <c r="E1726">
        <v>1292.0914307</v>
      </c>
      <c r="F1726">
        <v>1273.0310059000001</v>
      </c>
      <c r="G1726">
        <v>80</v>
      </c>
      <c r="H1726">
        <v>64.307235718000001</v>
      </c>
      <c r="I1726">
        <v>50</v>
      </c>
      <c r="J1726">
        <v>49.96062088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1461.11187</v>
      </c>
      <c r="B1727" s="1">
        <f>DATE(2014,5,1) + TIME(2,41,5)</f>
        <v>41760.111863425926</v>
      </c>
      <c r="C1727">
        <v>1389.7910156</v>
      </c>
      <c r="D1727">
        <v>1371.6817627</v>
      </c>
      <c r="E1727">
        <v>1291.9566649999999</v>
      </c>
      <c r="F1727">
        <v>1272.8945312000001</v>
      </c>
      <c r="G1727">
        <v>80</v>
      </c>
      <c r="H1727">
        <v>64.913673400999997</v>
      </c>
      <c r="I1727">
        <v>50</v>
      </c>
      <c r="J1727">
        <v>49.957981109999999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1461.140545</v>
      </c>
      <c r="B1728" s="1">
        <f>DATE(2014,5,1) + TIME(3,22,23)</f>
        <v>41760.140543981484</v>
      </c>
      <c r="C1728">
        <v>1389.7277832</v>
      </c>
      <c r="D1728">
        <v>1371.7661132999999</v>
      </c>
      <c r="E1728">
        <v>1291.9490966999999</v>
      </c>
      <c r="F1728">
        <v>1272.8863524999999</v>
      </c>
      <c r="G1728">
        <v>80</v>
      </c>
      <c r="H1728">
        <v>65.509407042999996</v>
      </c>
      <c r="I1728">
        <v>50</v>
      </c>
      <c r="J1728">
        <v>49.955326079999999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1461.1698779999999</v>
      </c>
      <c r="B1729" s="1">
        <f>DATE(2014,5,1) + TIME(4,4,37)</f>
        <v>41760.169872685183</v>
      </c>
      <c r="C1729">
        <v>1389.5814209</v>
      </c>
      <c r="D1729">
        <v>1371.762207</v>
      </c>
      <c r="E1729">
        <v>1291.9697266000001</v>
      </c>
      <c r="F1729">
        <v>1272.9067382999999</v>
      </c>
      <c r="G1729">
        <v>80</v>
      </c>
      <c r="H1729">
        <v>66.094459533999995</v>
      </c>
      <c r="I1729">
        <v>50</v>
      </c>
      <c r="J1729">
        <v>49.952640533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1461.1999080000001</v>
      </c>
      <c r="B1730" s="1">
        <f>DATE(2014,5,1) + TIME(4,47,52)</f>
        <v>41760.199907407405</v>
      </c>
      <c r="C1730">
        <v>1389.4002685999999</v>
      </c>
      <c r="D1730">
        <v>1371.7185059000001</v>
      </c>
      <c r="E1730">
        <v>1291.9907227000001</v>
      </c>
      <c r="F1730">
        <v>1272.9274902</v>
      </c>
      <c r="G1730">
        <v>80</v>
      </c>
      <c r="H1730">
        <v>66.668884277000004</v>
      </c>
      <c r="I1730">
        <v>50</v>
      </c>
      <c r="J1730">
        <v>49.949920654000003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1461.2306739999999</v>
      </c>
      <c r="B1731" s="1">
        <f>DATE(2014,5,1) + TIME(5,32,10)</f>
        <v>41760.230671296296</v>
      </c>
      <c r="C1731">
        <v>1389.2055664</v>
      </c>
      <c r="D1731">
        <v>1371.6564940999999</v>
      </c>
      <c r="E1731">
        <v>1292.0058594</v>
      </c>
      <c r="F1731">
        <v>1272.9425048999999</v>
      </c>
      <c r="G1731">
        <v>80</v>
      </c>
      <c r="H1731">
        <v>67.232727050999998</v>
      </c>
      <c r="I1731">
        <v>50</v>
      </c>
      <c r="J1731">
        <v>49.947158813000001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1461.2622200000001</v>
      </c>
      <c r="B1732" s="1">
        <f>DATE(2014,5,1) + TIME(6,17,35)</f>
        <v>41760.26221064815</v>
      </c>
      <c r="C1732">
        <v>1389.0070800999999</v>
      </c>
      <c r="D1732">
        <v>1371.5861815999999</v>
      </c>
      <c r="E1732">
        <v>1292.0157471</v>
      </c>
      <c r="F1732">
        <v>1272.9522704999999</v>
      </c>
      <c r="G1732">
        <v>80</v>
      </c>
      <c r="H1732">
        <v>67.786026000999996</v>
      </c>
      <c r="I1732">
        <v>50</v>
      </c>
      <c r="J1732">
        <v>49.944355010999999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1461.2945930000001</v>
      </c>
      <c r="B1733" s="1">
        <f>DATE(2014,5,1) + TIME(7,4,12)</f>
        <v>41760.294583333336</v>
      </c>
      <c r="C1733">
        <v>1388.8096923999999</v>
      </c>
      <c r="D1733">
        <v>1371.5123291</v>
      </c>
      <c r="E1733">
        <v>1292.0218506000001</v>
      </c>
      <c r="F1733">
        <v>1272.9581298999999</v>
      </c>
      <c r="G1733">
        <v>80</v>
      </c>
      <c r="H1733">
        <v>68.328804016000007</v>
      </c>
      <c r="I1733">
        <v>50</v>
      </c>
      <c r="J1733">
        <v>49.941505432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1461.3278419999999</v>
      </c>
      <c r="B1734" s="1">
        <f>DATE(2014,5,1) + TIME(7,52,5)</f>
        <v>41760.327835648146</v>
      </c>
      <c r="C1734">
        <v>1388.6156006000001</v>
      </c>
      <c r="D1734">
        <v>1371.4376221</v>
      </c>
      <c r="E1734">
        <v>1292.0255127</v>
      </c>
      <c r="F1734">
        <v>1272.9615478999999</v>
      </c>
      <c r="G1734">
        <v>80</v>
      </c>
      <c r="H1734">
        <v>68.861068725999999</v>
      </c>
      <c r="I1734">
        <v>50</v>
      </c>
      <c r="J1734">
        <v>49.938606262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1461.362024</v>
      </c>
      <c r="B1735" s="1">
        <f>DATE(2014,5,1) + TIME(8,41,18)</f>
        <v>41760.362013888887</v>
      </c>
      <c r="C1735">
        <v>1388.4260254000001</v>
      </c>
      <c r="D1735">
        <v>1371.3632812000001</v>
      </c>
      <c r="E1735">
        <v>1292.0277100000001</v>
      </c>
      <c r="F1735">
        <v>1272.9636230000001</v>
      </c>
      <c r="G1735">
        <v>80</v>
      </c>
      <c r="H1735">
        <v>69.382820128999995</v>
      </c>
      <c r="I1735">
        <v>50</v>
      </c>
      <c r="J1735">
        <v>49.935661316000001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1461.397197</v>
      </c>
      <c r="B1736" s="1">
        <f>DATE(2014,5,1) + TIME(9,31,57)</f>
        <v>41760.397187499999</v>
      </c>
      <c r="C1736">
        <v>1388.2413329999999</v>
      </c>
      <c r="D1736">
        <v>1371.2899170000001</v>
      </c>
      <c r="E1736">
        <v>1292.0290527</v>
      </c>
      <c r="F1736">
        <v>1272.9647216999999</v>
      </c>
      <c r="G1736">
        <v>80</v>
      </c>
      <c r="H1736">
        <v>69.894050598000007</v>
      </c>
      <c r="I1736">
        <v>50</v>
      </c>
      <c r="J1736">
        <v>49.932659149000003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1461.4334269999999</v>
      </c>
      <c r="B1737" s="1">
        <f>DATE(2014,5,1) + TIME(10,24,8)</f>
        <v>41760.433425925927</v>
      </c>
      <c r="C1737">
        <v>1388.0617675999999</v>
      </c>
      <c r="D1737">
        <v>1371.2178954999999</v>
      </c>
      <c r="E1737">
        <v>1292.0299072</v>
      </c>
      <c r="F1737">
        <v>1272.965332</v>
      </c>
      <c r="G1737">
        <v>80</v>
      </c>
      <c r="H1737">
        <v>70.394447326999995</v>
      </c>
      <c r="I1737">
        <v>50</v>
      </c>
      <c r="J1737">
        <v>49.929595947000003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1461.4707960000001</v>
      </c>
      <c r="B1738" s="1">
        <f>DATE(2014,5,1) + TIME(11,17,56)</f>
        <v>41760.47078703704</v>
      </c>
      <c r="C1738">
        <v>1387.887207</v>
      </c>
      <c r="D1738">
        <v>1371.1470947</v>
      </c>
      <c r="E1738">
        <v>1292.0305175999999</v>
      </c>
      <c r="F1738">
        <v>1272.9656981999999</v>
      </c>
      <c r="G1738">
        <v>80</v>
      </c>
      <c r="H1738">
        <v>70.884292603000006</v>
      </c>
      <c r="I1738">
        <v>50</v>
      </c>
      <c r="J1738">
        <v>49.926471710000001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1461.5093810000001</v>
      </c>
      <c r="B1739" s="1">
        <f>DATE(2014,5,1) + TIME(12,13,30)</f>
        <v>41760.509375000001</v>
      </c>
      <c r="C1739">
        <v>1387.7175293</v>
      </c>
      <c r="D1739">
        <v>1371.0777588000001</v>
      </c>
      <c r="E1739">
        <v>1292.0308838000001</v>
      </c>
      <c r="F1739">
        <v>1272.9658202999999</v>
      </c>
      <c r="G1739">
        <v>80</v>
      </c>
      <c r="H1739">
        <v>71.363609314000001</v>
      </c>
      <c r="I1739">
        <v>50</v>
      </c>
      <c r="J1739">
        <v>49.923278809000003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1461.549262</v>
      </c>
      <c r="B1740" s="1">
        <f>DATE(2014,5,1) + TIME(13,10,56)</f>
        <v>41760.549259259256</v>
      </c>
      <c r="C1740">
        <v>1387.5526123</v>
      </c>
      <c r="D1740">
        <v>1371.0096435999999</v>
      </c>
      <c r="E1740">
        <v>1292.0311279</v>
      </c>
      <c r="F1740">
        <v>1272.9658202999999</v>
      </c>
      <c r="G1740">
        <v>80</v>
      </c>
      <c r="H1740">
        <v>71.832221985000004</v>
      </c>
      <c r="I1740">
        <v>50</v>
      </c>
      <c r="J1740">
        <v>49.920013427999997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1461.5905339999999</v>
      </c>
      <c r="B1741" s="1">
        <f>DATE(2014,5,1) + TIME(14,10,22)</f>
        <v>41760.590532407405</v>
      </c>
      <c r="C1741">
        <v>1387.3922118999999</v>
      </c>
      <c r="D1741">
        <v>1370.942749</v>
      </c>
      <c r="E1741">
        <v>1292.0313721</v>
      </c>
      <c r="F1741">
        <v>1272.9658202999999</v>
      </c>
      <c r="G1741">
        <v>80</v>
      </c>
      <c r="H1741">
        <v>72.290077209000003</v>
      </c>
      <c r="I1741">
        <v>50</v>
      </c>
      <c r="J1741">
        <v>49.916671753000003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1461.6333030000001</v>
      </c>
      <c r="B1742" s="1">
        <f>DATE(2014,5,1) + TIME(15,11,57)</f>
        <v>41760.633298611108</v>
      </c>
      <c r="C1742">
        <v>1387.2360839999999</v>
      </c>
      <c r="D1742">
        <v>1370.8769531</v>
      </c>
      <c r="E1742">
        <v>1292.0314940999999</v>
      </c>
      <c r="F1742">
        <v>1272.9655762</v>
      </c>
      <c r="G1742">
        <v>80</v>
      </c>
      <c r="H1742">
        <v>72.737075806000007</v>
      </c>
      <c r="I1742">
        <v>50</v>
      </c>
      <c r="J1742">
        <v>49.913242339999996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1461.6776870000001</v>
      </c>
      <c r="B1743" s="1">
        <f>DATE(2014,5,1) + TIME(16,15,52)</f>
        <v>41760.677685185183</v>
      </c>
      <c r="C1743">
        <v>1387.0841064000001</v>
      </c>
      <c r="D1743">
        <v>1370.8121338000001</v>
      </c>
      <c r="E1743">
        <v>1292.0316161999999</v>
      </c>
      <c r="F1743">
        <v>1272.9654541</v>
      </c>
      <c r="G1743">
        <v>80</v>
      </c>
      <c r="H1743">
        <v>73.173126221000004</v>
      </c>
      <c r="I1743">
        <v>50</v>
      </c>
      <c r="J1743">
        <v>49.909725189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1461.7238170000001</v>
      </c>
      <c r="B1744" s="1">
        <f>DATE(2014,5,1) + TIME(17,22,17)</f>
        <v>41760.723807870374</v>
      </c>
      <c r="C1744">
        <v>1386.9359131000001</v>
      </c>
      <c r="D1744">
        <v>1370.7481689000001</v>
      </c>
      <c r="E1744">
        <v>1292.0316161999999</v>
      </c>
      <c r="F1744">
        <v>1272.9650879000001</v>
      </c>
      <c r="G1744">
        <v>80</v>
      </c>
      <c r="H1744">
        <v>73.598121642999999</v>
      </c>
      <c r="I1744">
        <v>50</v>
      </c>
      <c r="J1744">
        <v>49.906105042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1461.7718420000001</v>
      </c>
      <c r="B1745" s="1">
        <f>DATE(2014,5,1) + TIME(18,31,27)</f>
        <v>41760.771840277775</v>
      </c>
      <c r="C1745">
        <v>1386.7913818</v>
      </c>
      <c r="D1745">
        <v>1370.6850586</v>
      </c>
      <c r="E1745">
        <v>1292.0316161999999</v>
      </c>
      <c r="F1745">
        <v>1272.9648437999999</v>
      </c>
      <c r="G1745">
        <v>80</v>
      </c>
      <c r="H1745">
        <v>74.011940002000003</v>
      </c>
      <c r="I1745">
        <v>50</v>
      </c>
      <c r="J1745">
        <v>49.902378081999998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1461.821927</v>
      </c>
      <c r="B1746" s="1">
        <f>DATE(2014,5,1) + TIME(19,43,34)</f>
        <v>41760.821921296294</v>
      </c>
      <c r="C1746">
        <v>1386.6502685999999</v>
      </c>
      <c r="D1746">
        <v>1370.6224365</v>
      </c>
      <c r="E1746">
        <v>1292.0316161999999</v>
      </c>
      <c r="F1746">
        <v>1272.9644774999999</v>
      </c>
      <c r="G1746">
        <v>80</v>
      </c>
      <c r="H1746">
        <v>74.414436339999995</v>
      </c>
      <c r="I1746">
        <v>50</v>
      </c>
      <c r="J1746">
        <v>49.898536682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1461.87426</v>
      </c>
      <c r="B1747" s="1">
        <f>DATE(2014,5,1) + TIME(20,58,56)</f>
        <v>41760.874259259261</v>
      </c>
      <c r="C1747">
        <v>1386.5123291</v>
      </c>
      <c r="D1747">
        <v>1370.5603027</v>
      </c>
      <c r="E1747">
        <v>1292.0316161999999</v>
      </c>
      <c r="F1747">
        <v>1272.9639893000001</v>
      </c>
      <c r="G1747">
        <v>80</v>
      </c>
      <c r="H1747">
        <v>74.805465698000006</v>
      </c>
      <c r="I1747">
        <v>50</v>
      </c>
      <c r="J1747">
        <v>49.894565581999998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1461.9290619999999</v>
      </c>
      <c r="B1748" s="1">
        <f>DATE(2014,5,1) + TIME(22,17,50)</f>
        <v>41760.929050925923</v>
      </c>
      <c r="C1748">
        <v>1386.3774414</v>
      </c>
      <c r="D1748">
        <v>1370.4984131000001</v>
      </c>
      <c r="E1748">
        <v>1292.0314940999999</v>
      </c>
      <c r="F1748">
        <v>1272.9636230000001</v>
      </c>
      <c r="G1748">
        <v>80</v>
      </c>
      <c r="H1748">
        <v>75.184753418</v>
      </c>
      <c r="I1748">
        <v>50</v>
      </c>
      <c r="J1748">
        <v>49.890457153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1461.986609</v>
      </c>
      <c r="B1749" s="1">
        <f>DATE(2014,5,1) + TIME(23,40,42)</f>
        <v>41760.986597222225</v>
      </c>
      <c r="C1749">
        <v>1386.2452393000001</v>
      </c>
      <c r="D1749">
        <v>1370.4367675999999</v>
      </c>
      <c r="E1749">
        <v>1292.0313721</v>
      </c>
      <c r="F1749">
        <v>1272.9630127</v>
      </c>
      <c r="G1749">
        <v>80</v>
      </c>
      <c r="H1749">
        <v>75.552291870000005</v>
      </c>
      <c r="I1749">
        <v>50</v>
      </c>
      <c r="J1749">
        <v>49.886188507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1462.047153</v>
      </c>
      <c r="B1750" s="1">
        <f>DATE(2014,5,2) + TIME(1,7,54)</f>
        <v>41761.047152777777</v>
      </c>
      <c r="C1750">
        <v>1386.1156006000001</v>
      </c>
      <c r="D1750">
        <v>1370.3751221</v>
      </c>
      <c r="E1750">
        <v>1292.03125</v>
      </c>
      <c r="F1750">
        <v>1272.9625243999999</v>
      </c>
      <c r="G1750">
        <v>80</v>
      </c>
      <c r="H1750">
        <v>75.907783507999994</v>
      </c>
      <c r="I1750">
        <v>50</v>
      </c>
      <c r="J1750">
        <v>49.881752014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1462.1110229999999</v>
      </c>
      <c r="B1751" s="1">
        <f>DATE(2014,5,2) + TIME(2,39,52)</f>
        <v>41761.111018518517</v>
      </c>
      <c r="C1751">
        <v>1385.9881591999999</v>
      </c>
      <c r="D1751">
        <v>1370.3133545000001</v>
      </c>
      <c r="E1751">
        <v>1292.0310059000001</v>
      </c>
      <c r="F1751">
        <v>1272.9619141000001</v>
      </c>
      <c r="G1751">
        <v>80</v>
      </c>
      <c r="H1751">
        <v>76.251029967999997</v>
      </c>
      <c r="I1751">
        <v>50</v>
      </c>
      <c r="J1751">
        <v>49.877124786000003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1462.178604</v>
      </c>
      <c r="B1752" s="1">
        <f>DATE(2014,5,2) + TIME(4,17,11)</f>
        <v>41761.178599537037</v>
      </c>
      <c r="C1752">
        <v>1385.8629149999999</v>
      </c>
      <c r="D1752">
        <v>1370.2513428</v>
      </c>
      <c r="E1752">
        <v>1292.0307617000001</v>
      </c>
      <c r="F1752">
        <v>1272.9613036999999</v>
      </c>
      <c r="G1752">
        <v>80</v>
      </c>
      <c r="H1752">
        <v>76.581787109000004</v>
      </c>
      <c r="I1752">
        <v>50</v>
      </c>
      <c r="J1752">
        <v>49.872291564999998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1462.250348</v>
      </c>
      <c r="B1753" s="1">
        <f>DATE(2014,5,2) + TIME(6,0,30)</f>
        <v>41761.250347222223</v>
      </c>
      <c r="C1753">
        <v>1385.7393798999999</v>
      </c>
      <c r="D1753">
        <v>1370.1888428</v>
      </c>
      <c r="E1753">
        <v>1292.0306396000001</v>
      </c>
      <c r="F1753">
        <v>1272.9605713000001</v>
      </c>
      <c r="G1753">
        <v>80</v>
      </c>
      <c r="H1753">
        <v>76.899795531999999</v>
      </c>
      <c r="I1753">
        <v>50</v>
      </c>
      <c r="J1753">
        <v>49.867221831999998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1462.3267780000001</v>
      </c>
      <c r="B1754" s="1">
        <f>DATE(2014,5,2) + TIME(7,50,33)</f>
        <v>41761.326770833337</v>
      </c>
      <c r="C1754">
        <v>1385.6175536999999</v>
      </c>
      <c r="D1754">
        <v>1370.1256103999999</v>
      </c>
      <c r="E1754">
        <v>1292.0302733999999</v>
      </c>
      <c r="F1754">
        <v>1272.9598389</v>
      </c>
      <c r="G1754">
        <v>80</v>
      </c>
      <c r="H1754">
        <v>77.204719542999996</v>
      </c>
      <c r="I1754">
        <v>50</v>
      </c>
      <c r="J1754">
        <v>49.861888884999999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1462.408549</v>
      </c>
      <c r="B1755" s="1">
        <f>DATE(2014,5,2) + TIME(9,48,18)</f>
        <v>41761.408541666664</v>
      </c>
      <c r="C1755">
        <v>1385.4969481999999</v>
      </c>
      <c r="D1755">
        <v>1370.0614014</v>
      </c>
      <c r="E1755">
        <v>1292.0300293</v>
      </c>
      <c r="F1755">
        <v>1272.9591064000001</v>
      </c>
      <c r="G1755">
        <v>80</v>
      </c>
      <c r="H1755">
        <v>77.496299743999998</v>
      </c>
      <c r="I1755">
        <v>50</v>
      </c>
      <c r="J1755">
        <v>49.856258392000001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1462.496449</v>
      </c>
      <c r="B1756" s="1">
        <f>DATE(2014,5,2) + TIME(11,54,53)</f>
        <v>41761.496446759258</v>
      </c>
      <c r="C1756">
        <v>1385.3773193</v>
      </c>
      <c r="D1756">
        <v>1369.9962158000001</v>
      </c>
      <c r="E1756">
        <v>1292.0296631000001</v>
      </c>
      <c r="F1756">
        <v>1272.9582519999999</v>
      </c>
      <c r="G1756">
        <v>80</v>
      </c>
      <c r="H1756">
        <v>77.774215698000006</v>
      </c>
      <c r="I1756">
        <v>50</v>
      </c>
      <c r="J1756">
        <v>49.850284576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1462.591443</v>
      </c>
      <c r="B1757" s="1">
        <f>DATE(2014,5,2) + TIME(14,11,40)</f>
        <v>41761.591435185182</v>
      </c>
      <c r="C1757">
        <v>1385.2583007999999</v>
      </c>
      <c r="D1757">
        <v>1369.9294434000001</v>
      </c>
      <c r="E1757">
        <v>1292.0294189000001</v>
      </c>
      <c r="F1757">
        <v>1272.9572754000001</v>
      </c>
      <c r="G1757">
        <v>80</v>
      </c>
      <c r="H1757">
        <v>78.038108825999998</v>
      </c>
      <c r="I1757">
        <v>50</v>
      </c>
      <c r="J1757">
        <v>49.843921661000003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1462.694737</v>
      </c>
      <c r="B1758" s="1">
        <f>DATE(2014,5,2) + TIME(16,40,25)</f>
        <v>41761.694733796299</v>
      </c>
      <c r="C1758">
        <v>1385.1394043</v>
      </c>
      <c r="D1758">
        <v>1369.8609618999999</v>
      </c>
      <c r="E1758">
        <v>1292.0289307</v>
      </c>
      <c r="F1758">
        <v>1272.9562988</v>
      </c>
      <c r="G1758">
        <v>80</v>
      </c>
      <c r="H1758">
        <v>78.287574767999999</v>
      </c>
      <c r="I1758">
        <v>50</v>
      </c>
      <c r="J1758">
        <v>49.837104797000002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1462.8079009999999</v>
      </c>
      <c r="B1759" s="1">
        <f>DATE(2014,5,2) + TIME(19,23,22)</f>
        <v>41761.807893518519</v>
      </c>
      <c r="C1759">
        <v>1385.0202637</v>
      </c>
      <c r="D1759">
        <v>1369.7901611</v>
      </c>
      <c r="E1759">
        <v>1292.0285644999999</v>
      </c>
      <c r="F1759">
        <v>1272.9552002</v>
      </c>
      <c r="G1759">
        <v>80</v>
      </c>
      <c r="H1759">
        <v>78.522262573000006</v>
      </c>
      <c r="I1759">
        <v>50</v>
      </c>
      <c r="J1759">
        <v>49.829750060999999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1462.922419</v>
      </c>
      <c r="B1760" s="1">
        <f>DATE(2014,5,2) + TIME(22,8,17)</f>
        <v>41761.922418981485</v>
      </c>
      <c r="C1760">
        <v>1384.9084473</v>
      </c>
      <c r="D1760">
        <v>1369.7207031</v>
      </c>
      <c r="E1760">
        <v>1292.0279541</v>
      </c>
      <c r="F1760">
        <v>1272.9541016000001</v>
      </c>
      <c r="G1760">
        <v>80</v>
      </c>
      <c r="H1760">
        <v>78.725868224999999</v>
      </c>
      <c r="I1760">
        <v>50</v>
      </c>
      <c r="J1760">
        <v>49.822349547999998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1463.0374670000001</v>
      </c>
      <c r="B1761" s="1">
        <f>DATE(2014,5,3) + TIME(0,53,57)</f>
        <v>41762.037465277775</v>
      </c>
      <c r="C1761">
        <v>1384.8039550999999</v>
      </c>
      <c r="D1761">
        <v>1369.6540527</v>
      </c>
      <c r="E1761">
        <v>1292.0274658000001</v>
      </c>
      <c r="F1761">
        <v>1272.9528809000001</v>
      </c>
      <c r="G1761">
        <v>80</v>
      </c>
      <c r="H1761">
        <v>78.901123046999999</v>
      </c>
      <c r="I1761">
        <v>50</v>
      </c>
      <c r="J1761">
        <v>49.814949036000002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1463.1534280000001</v>
      </c>
      <c r="B1762" s="1">
        <f>DATE(2014,5,3) + TIME(3,40,56)</f>
        <v>41762.153425925928</v>
      </c>
      <c r="C1762">
        <v>1384.7058105000001</v>
      </c>
      <c r="D1762">
        <v>1369.5897216999999</v>
      </c>
      <c r="E1762">
        <v>1292.0268555</v>
      </c>
      <c r="F1762">
        <v>1272.9516602000001</v>
      </c>
      <c r="G1762">
        <v>80</v>
      </c>
      <c r="H1762">
        <v>79.052307128999999</v>
      </c>
      <c r="I1762">
        <v>50</v>
      </c>
      <c r="J1762">
        <v>49.807525634999998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1463.270618</v>
      </c>
      <c r="B1763" s="1">
        <f>DATE(2014,5,3) + TIME(6,29,41)</f>
        <v>41762.270613425928</v>
      </c>
      <c r="C1763">
        <v>1384.6130370999999</v>
      </c>
      <c r="D1763">
        <v>1369.5277100000001</v>
      </c>
      <c r="E1763">
        <v>1292.0262451000001</v>
      </c>
      <c r="F1763">
        <v>1272.9504394999999</v>
      </c>
      <c r="G1763">
        <v>80</v>
      </c>
      <c r="H1763">
        <v>79.182891846000004</v>
      </c>
      <c r="I1763">
        <v>50</v>
      </c>
      <c r="J1763">
        <v>49.800064087000003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1463.389347</v>
      </c>
      <c r="B1764" s="1">
        <f>DATE(2014,5,3) + TIME(9,20,39)</f>
        <v>41762.389340277776</v>
      </c>
      <c r="C1764">
        <v>1384.5250243999999</v>
      </c>
      <c r="D1764">
        <v>1369.4674072</v>
      </c>
      <c r="E1764">
        <v>1292.0256348</v>
      </c>
      <c r="F1764">
        <v>1272.9492187999999</v>
      </c>
      <c r="G1764">
        <v>80</v>
      </c>
      <c r="H1764">
        <v>79.295761107999994</v>
      </c>
      <c r="I1764">
        <v>50</v>
      </c>
      <c r="J1764">
        <v>49.792545318999998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1463.5099640000001</v>
      </c>
      <c r="B1765" s="1">
        <f>DATE(2014,5,3) + TIME(12,14,20)</f>
        <v>41762.509953703702</v>
      </c>
      <c r="C1765">
        <v>1384.4410399999999</v>
      </c>
      <c r="D1765">
        <v>1369.4088135</v>
      </c>
      <c r="E1765">
        <v>1292.0250243999999</v>
      </c>
      <c r="F1765">
        <v>1272.9479980000001</v>
      </c>
      <c r="G1765">
        <v>80</v>
      </c>
      <c r="H1765">
        <v>79.393363953000005</v>
      </c>
      <c r="I1765">
        <v>50</v>
      </c>
      <c r="J1765">
        <v>49.784950256000002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1463.6327229999999</v>
      </c>
      <c r="B1766" s="1">
        <f>DATE(2014,5,3) + TIME(15,11,7)</f>
        <v>41762.632719907408</v>
      </c>
      <c r="C1766">
        <v>1384.3604736</v>
      </c>
      <c r="D1766">
        <v>1369.3515625</v>
      </c>
      <c r="E1766">
        <v>1292.0244141000001</v>
      </c>
      <c r="F1766">
        <v>1272.9466553</v>
      </c>
      <c r="G1766">
        <v>80</v>
      </c>
      <c r="H1766">
        <v>79.477729796999995</v>
      </c>
      <c r="I1766">
        <v>50</v>
      </c>
      <c r="J1766">
        <v>49.777263640999998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1463.7579410000001</v>
      </c>
      <c r="B1767" s="1">
        <f>DATE(2014,5,3) + TIME(18,11,26)</f>
        <v>41762.757939814815</v>
      </c>
      <c r="C1767">
        <v>1384.2829589999999</v>
      </c>
      <c r="D1767">
        <v>1369.2955322</v>
      </c>
      <c r="E1767">
        <v>1292.0236815999999</v>
      </c>
      <c r="F1767">
        <v>1272.9454346</v>
      </c>
      <c r="G1767">
        <v>80</v>
      </c>
      <c r="H1767">
        <v>79.550598144999995</v>
      </c>
      <c r="I1767">
        <v>50</v>
      </c>
      <c r="J1767">
        <v>49.769470214999998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1463.885943</v>
      </c>
      <c r="B1768" s="1">
        <f>DATE(2014,5,3) + TIME(21,15,45)</f>
        <v>41762.885937500003</v>
      </c>
      <c r="C1768">
        <v>1384.2080077999999</v>
      </c>
      <c r="D1768">
        <v>1369.2404785000001</v>
      </c>
      <c r="E1768">
        <v>1292.0230713000001</v>
      </c>
      <c r="F1768">
        <v>1272.9439697</v>
      </c>
      <c r="G1768">
        <v>80</v>
      </c>
      <c r="H1768">
        <v>79.613479613999999</v>
      </c>
      <c r="I1768">
        <v>50</v>
      </c>
      <c r="J1768">
        <v>49.761550903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1464.0170760000001</v>
      </c>
      <c r="B1769" s="1">
        <f>DATE(2014,5,4) + TIME(0,24,35)</f>
        <v>41763.017071759263</v>
      </c>
      <c r="C1769">
        <v>1384.1352539</v>
      </c>
      <c r="D1769">
        <v>1369.1864014</v>
      </c>
      <c r="E1769">
        <v>1292.0223389</v>
      </c>
      <c r="F1769">
        <v>1272.9426269999999</v>
      </c>
      <c r="G1769">
        <v>80</v>
      </c>
      <c r="H1769">
        <v>79.667671204000001</v>
      </c>
      <c r="I1769">
        <v>50</v>
      </c>
      <c r="J1769">
        <v>49.753482818999998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1464.151709</v>
      </c>
      <c r="B1770" s="1">
        <f>DATE(2014,5,4) + TIME(3,38,27)</f>
        <v>41763.151701388888</v>
      </c>
      <c r="C1770">
        <v>1384.0644531</v>
      </c>
      <c r="D1770">
        <v>1369.1329346</v>
      </c>
      <c r="E1770">
        <v>1292.0216064000001</v>
      </c>
      <c r="F1770">
        <v>1272.9411620999999</v>
      </c>
      <c r="G1770">
        <v>80</v>
      </c>
      <c r="H1770">
        <v>79.714286803999997</v>
      </c>
      <c r="I1770">
        <v>50</v>
      </c>
      <c r="J1770">
        <v>49.745254516999999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1464.290242</v>
      </c>
      <c r="B1771" s="1">
        <f>DATE(2014,5,4) + TIME(6,57,56)</f>
        <v>41763.290231481478</v>
      </c>
      <c r="C1771">
        <v>1383.9952393000001</v>
      </c>
      <c r="D1771">
        <v>1369.0800781</v>
      </c>
      <c r="E1771">
        <v>1292.0207519999999</v>
      </c>
      <c r="F1771">
        <v>1272.9396973</v>
      </c>
      <c r="G1771">
        <v>80</v>
      </c>
      <c r="H1771">
        <v>79.754310607999997</v>
      </c>
      <c r="I1771">
        <v>50</v>
      </c>
      <c r="J1771">
        <v>49.736839293999999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1464.4331139999999</v>
      </c>
      <c r="B1772" s="1">
        <f>DATE(2014,5,4) + TIME(10,23,41)</f>
        <v>41763.433113425926</v>
      </c>
      <c r="C1772">
        <v>1383.9272461</v>
      </c>
      <c r="D1772">
        <v>1369.0277100000001</v>
      </c>
      <c r="E1772">
        <v>1292.0200195</v>
      </c>
      <c r="F1772">
        <v>1272.9381103999999</v>
      </c>
      <c r="G1772">
        <v>80</v>
      </c>
      <c r="H1772">
        <v>79.788581848000007</v>
      </c>
      <c r="I1772">
        <v>50</v>
      </c>
      <c r="J1772">
        <v>49.728218079000001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1464.5808099999999</v>
      </c>
      <c r="B1773" s="1">
        <f>DATE(2014,5,4) + TIME(13,56,21)</f>
        <v>41763.58079861111</v>
      </c>
      <c r="C1773">
        <v>1383.8603516000001</v>
      </c>
      <c r="D1773">
        <v>1368.9757079999999</v>
      </c>
      <c r="E1773">
        <v>1292.0191649999999</v>
      </c>
      <c r="F1773">
        <v>1272.9365233999999</v>
      </c>
      <c r="G1773">
        <v>80</v>
      </c>
      <c r="H1773">
        <v>79.817848205999994</v>
      </c>
      <c r="I1773">
        <v>50</v>
      </c>
      <c r="J1773">
        <v>49.719364165999998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1464.7338669999999</v>
      </c>
      <c r="B1774" s="1">
        <f>DATE(2014,5,4) + TIME(17,36,46)</f>
        <v>41763.733865740738</v>
      </c>
      <c r="C1774">
        <v>1383.7943115</v>
      </c>
      <c r="D1774">
        <v>1368.9238281</v>
      </c>
      <c r="E1774">
        <v>1292.0183105000001</v>
      </c>
      <c r="F1774">
        <v>1272.9348144999999</v>
      </c>
      <c r="G1774">
        <v>80</v>
      </c>
      <c r="H1774">
        <v>79.842758179</v>
      </c>
      <c r="I1774">
        <v>50</v>
      </c>
      <c r="J1774">
        <v>49.710250854000002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1464.892985</v>
      </c>
      <c r="B1775" s="1">
        <f>DATE(2014,5,4) + TIME(21,25,53)</f>
        <v>41763.892974537041</v>
      </c>
      <c r="C1775">
        <v>1383.7287598</v>
      </c>
      <c r="D1775">
        <v>1368.8720702999999</v>
      </c>
      <c r="E1775">
        <v>1292.0173339999999</v>
      </c>
      <c r="F1775">
        <v>1272.9331055</v>
      </c>
      <c r="G1775">
        <v>80</v>
      </c>
      <c r="H1775">
        <v>79.863899231000005</v>
      </c>
      <c r="I1775">
        <v>50</v>
      </c>
      <c r="J1775">
        <v>49.700843810999999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1465.058788</v>
      </c>
      <c r="B1776" s="1">
        <f>DATE(2014,5,5) + TIME(1,24,39)</f>
        <v>41764.05878472222</v>
      </c>
      <c r="C1776">
        <v>1383.6635742000001</v>
      </c>
      <c r="D1776">
        <v>1368.8201904</v>
      </c>
      <c r="E1776">
        <v>1292.0163574000001</v>
      </c>
      <c r="F1776">
        <v>1272.9312743999999</v>
      </c>
      <c r="G1776">
        <v>80</v>
      </c>
      <c r="H1776">
        <v>79.881752014</v>
      </c>
      <c r="I1776">
        <v>50</v>
      </c>
      <c r="J1776">
        <v>49.691108704000001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1465.2299230000001</v>
      </c>
      <c r="B1777" s="1">
        <f>DATE(2014,5,5) + TIME(5,31,5)</f>
        <v>41764.22991898148</v>
      </c>
      <c r="C1777">
        <v>1383.5985106999999</v>
      </c>
      <c r="D1777">
        <v>1368.7680664</v>
      </c>
      <c r="E1777">
        <v>1292.0153809000001</v>
      </c>
      <c r="F1777">
        <v>1272.9294434000001</v>
      </c>
      <c r="G1777">
        <v>80</v>
      </c>
      <c r="H1777">
        <v>79.896621703999998</v>
      </c>
      <c r="I1777">
        <v>50</v>
      </c>
      <c r="J1777">
        <v>49.681118011000002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1465.4064519999999</v>
      </c>
      <c r="B1778" s="1">
        <f>DATE(2014,5,5) + TIME(9,45,17)</f>
        <v>41764.406446759262</v>
      </c>
      <c r="C1778">
        <v>1383.5341797000001</v>
      </c>
      <c r="D1778">
        <v>1368.7163086</v>
      </c>
      <c r="E1778">
        <v>1292.0142822</v>
      </c>
      <c r="F1778">
        <v>1272.9273682</v>
      </c>
      <c r="G1778">
        <v>80</v>
      </c>
      <c r="H1778">
        <v>79.908920288000004</v>
      </c>
      <c r="I1778">
        <v>50</v>
      </c>
      <c r="J1778">
        <v>49.670860290999997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1465.5889119999999</v>
      </c>
      <c r="B1779" s="1">
        <f>DATE(2014,5,5) + TIME(14,8,2)</f>
        <v>41764.588912037034</v>
      </c>
      <c r="C1779">
        <v>1383.4703368999999</v>
      </c>
      <c r="D1779">
        <v>1368.6647949000001</v>
      </c>
      <c r="E1779">
        <v>1292.0131836</v>
      </c>
      <c r="F1779">
        <v>1272.9254149999999</v>
      </c>
      <c r="G1779">
        <v>80</v>
      </c>
      <c r="H1779">
        <v>79.919067382999998</v>
      </c>
      <c r="I1779">
        <v>50</v>
      </c>
      <c r="J1779">
        <v>49.660320282000001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1465.7778860000001</v>
      </c>
      <c r="B1780" s="1">
        <f>DATE(2014,5,5) + TIME(18,40,9)</f>
        <v>41764.777881944443</v>
      </c>
      <c r="C1780">
        <v>1383.4068603999999</v>
      </c>
      <c r="D1780">
        <v>1368.6134033000001</v>
      </c>
      <c r="E1780">
        <v>1292.0119629000001</v>
      </c>
      <c r="F1780">
        <v>1272.9232178</v>
      </c>
      <c r="G1780">
        <v>80</v>
      </c>
      <c r="H1780">
        <v>79.927413939999994</v>
      </c>
      <c r="I1780">
        <v>50</v>
      </c>
      <c r="J1780">
        <v>49.649463654000002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1465.9740220000001</v>
      </c>
      <c r="B1781" s="1">
        <f>DATE(2014,5,5) + TIME(23,22,35)</f>
        <v>41764.974016203705</v>
      </c>
      <c r="C1781">
        <v>1383.3436279</v>
      </c>
      <c r="D1781">
        <v>1368.5620117000001</v>
      </c>
      <c r="E1781">
        <v>1292.0107422000001</v>
      </c>
      <c r="F1781">
        <v>1272.9210204999999</v>
      </c>
      <c r="G1781">
        <v>80</v>
      </c>
      <c r="H1781">
        <v>79.934249878000003</v>
      </c>
      <c r="I1781">
        <v>50</v>
      </c>
      <c r="J1781">
        <v>49.638263702000003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1466.1780980000001</v>
      </c>
      <c r="B1782" s="1">
        <f>DATE(2014,5,6) + TIME(4,16,27)</f>
        <v>41765.178090277775</v>
      </c>
      <c r="C1782">
        <v>1383.2803954999999</v>
      </c>
      <c r="D1782">
        <v>1368.5106201000001</v>
      </c>
      <c r="E1782">
        <v>1292.0095214999999</v>
      </c>
      <c r="F1782">
        <v>1272.9187012</v>
      </c>
      <c r="G1782">
        <v>80</v>
      </c>
      <c r="H1782">
        <v>79.939819335999999</v>
      </c>
      <c r="I1782">
        <v>50</v>
      </c>
      <c r="J1782">
        <v>49.626686096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1466.3910080000001</v>
      </c>
      <c r="B1783" s="1">
        <f>DATE(2014,5,6) + TIME(9,23,3)</f>
        <v>41765.391006944446</v>
      </c>
      <c r="C1783">
        <v>1383.2169189000001</v>
      </c>
      <c r="D1783">
        <v>1368.4589844</v>
      </c>
      <c r="E1783">
        <v>1292.0081786999999</v>
      </c>
      <c r="F1783">
        <v>1272.9162598</v>
      </c>
      <c r="G1783">
        <v>80</v>
      </c>
      <c r="H1783">
        <v>79.944351196</v>
      </c>
      <c r="I1783">
        <v>50</v>
      </c>
      <c r="J1783">
        <v>49.614688872999999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1466.6136160000001</v>
      </c>
      <c r="B1784" s="1">
        <f>DATE(2014,5,6) + TIME(14,43,36)</f>
        <v>41765.613611111112</v>
      </c>
      <c r="C1784">
        <v>1383.1531981999999</v>
      </c>
      <c r="D1784">
        <v>1368.4069824000001</v>
      </c>
      <c r="E1784">
        <v>1292.0067139</v>
      </c>
      <c r="F1784">
        <v>1272.9136963000001</v>
      </c>
      <c r="G1784">
        <v>80</v>
      </c>
      <c r="H1784">
        <v>79.948013306000007</v>
      </c>
      <c r="I1784">
        <v>50</v>
      </c>
      <c r="J1784">
        <v>49.602230071999998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1466.8470259999999</v>
      </c>
      <c r="B1785" s="1">
        <f>DATE(2014,5,6) + TIME(20,19,43)</f>
        <v>41765.847025462965</v>
      </c>
      <c r="C1785">
        <v>1383.0888672000001</v>
      </c>
      <c r="D1785">
        <v>1368.3544922000001</v>
      </c>
      <c r="E1785">
        <v>1292.005249</v>
      </c>
      <c r="F1785">
        <v>1272.9110106999999</v>
      </c>
      <c r="G1785">
        <v>80</v>
      </c>
      <c r="H1785">
        <v>79.950965881000002</v>
      </c>
      <c r="I1785">
        <v>50</v>
      </c>
      <c r="J1785">
        <v>49.589263916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1467.0892570000001</v>
      </c>
      <c r="B1786" s="1">
        <f>DATE(2014,5,7) + TIME(2,8,31)</f>
        <v>41766.089247685188</v>
      </c>
      <c r="C1786">
        <v>1383.0238036999999</v>
      </c>
      <c r="D1786">
        <v>1368.3013916</v>
      </c>
      <c r="E1786">
        <v>1292.0036620999999</v>
      </c>
      <c r="F1786">
        <v>1272.9082031</v>
      </c>
      <c r="G1786">
        <v>80</v>
      </c>
      <c r="H1786">
        <v>79.953308105000005</v>
      </c>
      <c r="I1786">
        <v>50</v>
      </c>
      <c r="J1786">
        <v>49.575874329000001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1467.3342620000001</v>
      </c>
      <c r="B1787" s="1">
        <f>DATE(2014,5,7) + TIME(8,1,20)</f>
        <v>41766.33425925926</v>
      </c>
      <c r="C1787">
        <v>1382.9586182</v>
      </c>
      <c r="D1787">
        <v>1368.2482910000001</v>
      </c>
      <c r="E1787">
        <v>1292.0020752</v>
      </c>
      <c r="F1787">
        <v>1272.9052733999999</v>
      </c>
      <c r="G1787">
        <v>80</v>
      </c>
      <c r="H1787">
        <v>79.955123900999993</v>
      </c>
      <c r="I1787">
        <v>50</v>
      </c>
      <c r="J1787">
        <v>49.562313080000003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1467.5829220000001</v>
      </c>
      <c r="B1788" s="1">
        <f>DATE(2014,5,7) + TIME(13,59,24)</f>
        <v>41766.582916666666</v>
      </c>
      <c r="C1788">
        <v>1382.8950195</v>
      </c>
      <c r="D1788">
        <v>1368.1964111</v>
      </c>
      <c r="E1788">
        <v>1292.0003661999999</v>
      </c>
      <c r="F1788">
        <v>1272.9023437999999</v>
      </c>
      <c r="G1788">
        <v>80</v>
      </c>
      <c r="H1788">
        <v>79.956535338999998</v>
      </c>
      <c r="I1788">
        <v>50</v>
      </c>
      <c r="J1788">
        <v>49.548564911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1467.8360680000001</v>
      </c>
      <c r="B1789" s="1">
        <f>DATE(2014,5,7) + TIME(20,3,56)</f>
        <v>41766.836064814815</v>
      </c>
      <c r="C1789">
        <v>1382.8325195</v>
      </c>
      <c r="D1789">
        <v>1368.1455077999999</v>
      </c>
      <c r="E1789">
        <v>1291.9985352000001</v>
      </c>
      <c r="F1789">
        <v>1272.8992920000001</v>
      </c>
      <c r="G1789">
        <v>80</v>
      </c>
      <c r="H1789">
        <v>79.957649231000005</v>
      </c>
      <c r="I1789">
        <v>50</v>
      </c>
      <c r="J1789">
        <v>49.534610747999999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1468.0945569999999</v>
      </c>
      <c r="B1790" s="1">
        <f>DATE(2014,5,8) + TIME(2,16,9)</f>
        <v>41767.094548611109</v>
      </c>
      <c r="C1790">
        <v>1382.770874</v>
      </c>
      <c r="D1790">
        <v>1368.0953368999999</v>
      </c>
      <c r="E1790">
        <v>1291.9968262</v>
      </c>
      <c r="F1790">
        <v>1272.8962402</v>
      </c>
      <c r="G1790">
        <v>80</v>
      </c>
      <c r="H1790">
        <v>79.958518982000001</v>
      </c>
      <c r="I1790">
        <v>50</v>
      </c>
      <c r="J1790">
        <v>49.520412444999998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1468.359295</v>
      </c>
      <c r="B1791" s="1">
        <f>DATE(2014,5,8) + TIME(8,37,23)</f>
        <v>41767.359293981484</v>
      </c>
      <c r="C1791">
        <v>1382.7099608999999</v>
      </c>
      <c r="D1791">
        <v>1368.0457764</v>
      </c>
      <c r="E1791">
        <v>1291.9949951000001</v>
      </c>
      <c r="F1791">
        <v>1272.8930664</v>
      </c>
      <c r="G1791">
        <v>80</v>
      </c>
      <c r="H1791">
        <v>79.959205627000003</v>
      </c>
      <c r="I1791">
        <v>50</v>
      </c>
      <c r="J1791">
        <v>49.505947112999998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1468.6313230000001</v>
      </c>
      <c r="B1792" s="1">
        <f>DATE(2014,5,8) + TIME(15,9,6)</f>
        <v>41767.631319444445</v>
      </c>
      <c r="C1792">
        <v>1382.6494141000001</v>
      </c>
      <c r="D1792">
        <v>1367.9967041</v>
      </c>
      <c r="E1792">
        <v>1291.9931641000001</v>
      </c>
      <c r="F1792">
        <v>1272.8897704999999</v>
      </c>
      <c r="G1792">
        <v>80</v>
      </c>
      <c r="H1792">
        <v>79.959754943999997</v>
      </c>
      <c r="I1792">
        <v>50</v>
      </c>
      <c r="J1792">
        <v>49.491165160999998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1468.9110450000001</v>
      </c>
      <c r="B1793" s="1">
        <f>DATE(2014,5,8) + TIME(21,51,54)</f>
        <v>41767.911041666666</v>
      </c>
      <c r="C1793">
        <v>1382.5892334</v>
      </c>
      <c r="D1793">
        <v>1367.9477539</v>
      </c>
      <c r="E1793">
        <v>1291.9912108999999</v>
      </c>
      <c r="F1793">
        <v>1272.8863524999999</v>
      </c>
      <c r="G1793">
        <v>80</v>
      </c>
      <c r="H1793">
        <v>79.960197449000006</v>
      </c>
      <c r="I1793">
        <v>50</v>
      </c>
      <c r="J1793">
        <v>49.476055144999997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1469.1974379999999</v>
      </c>
      <c r="B1794" s="1">
        <f>DATE(2014,5,9) + TIME(4,44,18)</f>
        <v>41768.197430555556</v>
      </c>
      <c r="C1794">
        <v>1382.5290527</v>
      </c>
      <c r="D1794">
        <v>1367.8990478999999</v>
      </c>
      <c r="E1794">
        <v>1291.9892577999999</v>
      </c>
      <c r="F1794">
        <v>1272.8829346</v>
      </c>
      <c r="G1794">
        <v>80</v>
      </c>
      <c r="H1794">
        <v>79.960540770999998</v>
      </c>
      <c r="I1794">
        <v>50</v>
      </c>
      <c r="J1794">
        <v>49.460651398000003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1469.491293</v>
      </c>
      <c r="B1795" s="1">
        <f>DATE(2014,5,9) + TIME(11,47,27)</f>
        <v>41768.491284722222</v>
      </c>
      <c r="C1795">
        <v>1382.4692382999999</v>
      </c>
      <c r="D1795">
        <v>1367.8507079999999</v>
      </c>
      <c r="E1795">
        <v>1291.9871826000001</v>
      </c>
      <c r="F1795">
        <v>1272.8793945</v>
      </c>
      <c r="G1795">
        <v>80</v>
      </c>
      <c r="H1795">
        <v>79.960823059000006</v>
      </c>
      <c r="I1795">
        <v>50</v>
      </c>
      <c r="J1795">
        <v>49.444931029999999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1469.7904149999999</v>
      </c>
      <c r="B1796" s="1">
        <f>DATE(2014,5,9) + TIME(18,58,11)</f>
        <v>41768.790405092594</v>
      </c>
      <c r="C1796">
        <v>1382.4097899999999</v>
      </c>
      <c r="D1796">
        <v>1367.8024902</v>
      </c>
      <c r="E1796">
        <v>1291.9851074000001</v>
      </c>
      <c r="F1796">
        <v>1272.8757324000001</v>
      </c>
      <c r="G1796">
        <v>80</v>
      </c>
      <c r="H1796">
        <v>79.961044311999999</v>
      </c>
      <c r="I1796">
        <v>50</v>
      </c>
      <c r="J1796">
        <v>49.428981780999997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1470.094548</v>
      </c>
      <c r="B1797" s="1">
        <f>DATE(2014,5,10) + TIME(2,16,8)</f>
        <v>41769.094537037039</v>
      </c>
      <c r="C1797">
        <v>1382.3509521000001</v>
      </c>
      <c r="D1797">
        <v>1367.7550048999999</v>
      </c>
      <c r="E1797">
        <v>1291.9829102000001</v>
      </c>
      <c r="F1797">
        <v>1272.8719481999999</v>
      </c>
      <c r="G1797">
        <v>80</v>
      </c>
      <c r="H1797">
        <v>79.961219787999994</v>
      </c>
      <c r="I1797">
        <v>50</v>
      </c>
      <c r="J1797">
        <v>49.412818909000002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1470.404399</v>
      </c>
      <c r="B1798" s="1">
        <f>DATE(2014,5,10) + TIME(9,42,20)</f>
        <v>41769.404398148145</v>
      </c>
      <c r="C1798">
        <v>1382.2927245999999</v>
      </c>
      <c r="D1798">
        <v>1367.7080077999999</v>
      </c>
      <c r="E1798">
        <v>1291.9807129000001</v>
      </c>
      <c r="F1798">
        <v>1272.8681641000001</v>
      </c>
      <c r="G1798">
        <v>80</v>
      </c>
      <c r="H1798">
        <v>79.961364746000001</v>
      </c>
      <c r="I1798">
        <v>50</v>
      </c>
      <c r="J1798">
        <v>49.396427154999998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1470.720705</v>
      </c>
      <c r="B1799" s="1">
        <f>DATE(2014,5,10) + TIME(17,17,48)</f>
        <v>41769.720694444448</v>
      </c>
      <c r="C1799">
        <v>1382.2351074000001</v>
      </c>
      <c r="D1799">
        <v>1367.6616211</v>
      </c>
      <c r="E1799">
        <v>1291.9785156</v>
      </c>
      <c r="F1799">
        <v>1272.8642577999999</v>
      </c>
      <c r="G1799">
        <v>80</v>
      </c>
      <c r="H1799">
        <v>79.961479186999995</v>
      </c>
      <c r="I1799">
        <v>50</v>
      </c>
      <c r="J1799">
        <v>49.379776001000003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1471.0443519999999</v>
      </c>
      <c r="B1800" s="1">
        <f>DATE(2014,5,11) + TIME(1,3,52)</f>
        <v>41770.044351851851</v>
      </c>
      <c r="C1800">
        <v>1382.1778564000001</v>
      </c>
      <c r="D1800">
        <v>1367.6154785000001</v>
      </c>
      <c r="E1800">
        <v>1291.9761963000001</v>
      </c>
      <c r="F1800">
        <v>1272.8602295000001</v>
      </c>
      <c r="G1800">
        <v>80</v>
      </c>
      <c r="H1800">
        <v>79.961570739999999</v>
      </c>
      <c r="I1800">
        <v>50</v>
      </c>
      <c r="J1800">
        <v>49.362834929999998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1471.376201</v>
      </c>
      <c r="B1801" s="1">
        <f>DATE(2014,5,11) + TIME(9,1,43)</f>
        <v>41770.376192129632</v>
      </c>
      <c r="C1801">
        <v>1382.1208495999999</v>
      </c>
      <c r="D1801">
        <v>1367.5697021000001</v>
      </c>
      <c r="E1801">
        <v>1291.9738769999999</v>
      </c>
      <c r="F1801">
        <v>1272.8560791</v>
      </c>
      <c r="G1801">
        <v>80</v>
      </c>
      <c r="H1801">
        <v>79.961647033999995</v>
      </c>
      <c r="I1801">
        <v>50</v>
      </c>
      <c r="J1801">
        <v>49.345577239999997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1471.717189</v>
      </c>
      <c r="B1802" s="1">
        <f>DATE(2014,5,11) + TIME(17,12,45)</f>
        <v>41770.717187499999</v>
      </c>
      <c r="C1802">
        <v>1382.0639647999999</v>
      </c>
      <c r="D1802">
        <v>1367.5240478999999</v>
      </c>
      <c r="E1802">
        <v>1291.9714355000001</v>
      </c>
      <c r="F1802">
        <v>1272.8519286999999</v>
      </c>
      <c r="G1802">
        <v>80</v>
      </c>
      <c r="H1802">
        <v>79.961708068999997</v>
      </c>
      <c r="I1802">
        <v>50</v>
      </c>
      <c r="J1802">
        <v>49.327957153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1472.068354</v>
      </c>
      <c r="B1803" s="1">
        <f>DATE(2014,5,12) + TIME(1,38,25)</f>
        <v>41771.068344907406</v>
      </c>
      <c r="C1803">
        <v>1382.0070800999999</v>
      </c>
      <c r="D1803">
        <v>1367.4782714999999</v>
      </c>
      <c r="E1803">
        <v>1291.9688721</v>
      </c>
      <c r="F1803">
        <v>1272.8475341999999</v>
      </c>
      <c r="G1803">
        <v>80</v>
      </c>
      <c r="H1803">
        <v>79.961753845000004</v>
      </c>
      <c r="I1803">
        <v>50</v>
      </c>
      <c r="J1803">
        <v>49.309936522999998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1472.430861</v>
      </c>
      <c r="B1804" s="1">
        <f>DATE(2014,5,12) + TIME(10,20,26)</f>
        <v>41771.430856481478</v>
      </c>
      <c r="C1804">
        <v>1381.9499512</v>
      </c>
      <c r="D1804">
        <v>1367.4324951000001</v>
      </c>
      <c r="E1804">
        <v>1291.9663086</v>
      </c>
      <c r="F1804">
        <v>1272.8430175999999</v>
      </c>
      <c r="G1804">
        <v>80</v>
      </c>
      <c r="H1804">
        <v>79.961791992000002</v>
      </c>
      <c r="I1804">
        <v>50</v>
      </c>
      <c r="J1804">
        <v>49.291469573999997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1472.8062399999999</v>
      </c>
      <c r="B1805" s="1">
        <f>DATE(2014,5,12) + TIME(19,20,59)</f>
        <v>41771.806238425925</v>
      </c>
      <c r="C1805">
        <v>1381.8925781</v>
      </c>
      <c r="D1805">
        <v>1367.3865966999999</v>
      </c>
      <c r="E1805">
        <v>1291.9636230000001</v>
      </c>
      <c r="F1805">
        <v>1272.8383789</v>
      </c>
      <c r="G1805">
        <v>80</v>
      </c>
      <c r="H1805">
        <v>79.961822510000005</v>
      </c>
      <c r="I1805">
        <v>50</v>
      </c>
      <c r="J1805">
        <v>49.27249527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1473.19003</v>
      </c>
      <c r="B1806" s="1">
        <f>DATE(2014,5,13) + TIME(4,33,38)</f>
        <v>41772.190023148149</v>
      </c>
      <c r="C1806">
        <v>1381.8347168</v>
      </c>
      <c r="D1806">
        <v>1367.3402100000001</v>
      </c>
      <c r="E1806">
        <v>1291.9608154</v>
      </c>
      <c r="F1806">
        <v>1272.8334961</v>
      </c>
      <c r="G1806">
        <v>80</v>
      </c>
      <c r="H1806">
        <v>79.961837768999999</v>
      </c>
      <c r="I1806">
        <v>50</v>
      </c>
      <c r="J1806">
        <v>49.253154754999997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1473.5795069999999</v>
      </c>
      <c r="B1807" s="1">
        <f>DATE(2014,5,13) + TIME(13,54,29)</f>
        <v>41772.579502314817</v>
      </c>
      <c r="C1807">
        <v>1381.7770995999999</v>
      </c>
      <c r="D1807">
        <v>1367.2941894999999</v>
      </c>
      <c r="E1807">
        <v>1291.9578856999999</v>
      </c>
      <c r="F1807">
        <v>1272.8286132999999</v>
      </c>
      <c r="G1807">
        <v>80</v>
      </c>
      <c r="H1807">
        <v>79.961853027000004</v>
      </c>
      <c r="I1807">
        <v>50</v>
      </c>
      <c r="J1807">
        <v>49.233562468999999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1473.975946</v>
      </c>
      <c r="B1808" s="1">
        <f>DATE(2014,5,13) + TIME(23,25,21)</f>
        <v>41772.975937499999</v>
      </c>
      <c r="C1808">
        <v>1381.7202147999999</v>
      </c>
      <c r="D1808">
        <v>1367.2486572</v>
      </c>
      <c r="E1808">
        <v>1291.9549560999999</v>
      </c>
      <c r="F1808">
        <v>1272.8236084</v>
      </c>
      <c r="G1808">
        <v>80</v>
      </c>
      <c r="H1808">
        <v>79.961860657000003</v>
      </c>
      <c r="I1808">
        <v>50</v>
      </c>
      <c r="J1808">
        <v>49.213687897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1474.380633</v>
      </c>
      <c r="B1809" s="1">
        <f>DATE(2014,5,14) + TIME(9,8,6)</f>
        <v>41773.380624999998</v>
      </c>
      <c r="C1809">
        <v>1381.6636963000001</v>
      </c>
      <c r="D1809">
        <v>1367.2034911999999</v>
      </c>
      <c r="E1809">
        <v>1291.9520264</v>
      </c>
      <c r="F1809">
        <v>1272.8183594</v>
      </c>
      <c r="G1809">
        <v>80</v>
      </c>
      <c r="H1809">
        <v>79.961868285999998</v>
      </c>
      <c r="I1809">
        <v>50</v>
      </c>
      <c r="J1809">
        <v>49.193511962999999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1474.7949410000001</v>
      </c>
      <c r="B1810" s="1">
        <f>DATE(2014,5,14) + TIME(19,4,42)</f>
        <v>41773.794930555552</v>
      </c>
      <c r="C1810">
        <v>1381.6074219</v>
      </c>
      <c r="D1810">
        <v>1367.1585693</v>
      </c>
      <c r="E1810">
        <v>1291.9489745999999</v>
      </c>
      <c r="F1810">
        <v>1272.8131103999999</v>
      </c>
      <c r="G1810">
        <v>80</v>
      </c>
      <c r="H1810">
        <v>79.961868285999998</v>
      </c>
      <c r="I1810">
        <v>50</v>
      </c>
      <c r="J1810">
        <v>49.172985077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1475.2203569999999</v>
      </c>
      <c r="B1811" s="1">
        <f>DATE(2014,5,15) + TIME(5,17,18)</f>
        <v>41774.220347222225</v>
      </c>
      <c r="C1811">
        <v>1381.5512695</v>
      </c>
      <c r="D1811">
        <v>1367.1137695</v>
      </c>
      <c r="E1811">
        <v>1291.9458007999999</v>
      </c>
      <c r="F1811">
        <v>1272.8077393000001</v>
      </c>
      <c r="G1811">
        <v>80</v>
      </c>
      <c r="H1811">
        <v>79.961868285999998</v>
      </c>
      <c r="I1811">
        <v>50</v>
      </c>
      <c r="J1811">
        <v>49.152053832999997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1475.65868</v>
      </c>
      <c r="B1812" s="1">
        <f>DATE(2014,5,15) + TIME(15,48,29)</f>
        <v>41774.658668981479</v>
      </c>
      <c r="C1812">
        <v>1381.4949951000001</v>
      </c>
      <c r="D1812">
        <v>1367.0689697</v>
      </c>
      <c r="E1812">
        <v>1291.9426269999999</v>
      </c>
      <c r="F1812">
        <v>1272.802124</v>
      </c>
      <c r="G1812">
        <v>80</v>
      </c>
      <c r="H1812">
        <v>79.961860657000003</v>
      </c>
      <c r="I1812">
        <v>50</v>
      </c>
      <c r="J1812">
        <v>49.130661011000001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1476.11022</v>
      </c>
      <c r="B1813" s="1">
        <f>DATE(2014,5,16) + TIME(2,38,42)</f>
        <v>41775.110208333332</v>
      </c>
      <c r="C1813">
        <v>1381.4384766000001</v>
      </c>
      <c r="D1813">
        <v>1367.0239257999999</v>
      </c>
      <c r="E1813">
        <v>1291.9393310999999</v>
      </c>
      <c r="F1813">
        <v>1272.7963867000001</v>
      </c>
      <c r="G1813">
        <v>80</v>
      </c>
      <c r="H1813">
        <v>79.961853027000004</v>
      </c>
      <c r="I1813">
        <v>50</v>
      </c>
      <c r="J1813">
        <v>49.108779906999999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1476.566268</v>
      </c>
      <c r="B1814" s="1">
        <f>DATE(2014,5,16) + TIME(13,35,25)</f>
        <v>41775.566261574073</v>
      </c>
      <c r="C1814">
        <v>1381.3815918</v>
      </c>
      <c r="D1814">
        <v>1366.9786377</v>
      </c>
      <c r="E1814">
        <v>1291.9359131000001</v>
      </c>
      <c r="F1814">
        <v>1272.7904053</v>
      </c>
      <c r="G1814">
        <v>80</v>
      </c>
      <c r="H1814">
        <v>79.961845397999994</v>
      </c>
      <c r="I1814">
        <v>50</v>
      </c>
      <c r="J1814">
        <v>49.086677551000001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1477.0280029999999</v>
      </c>
      <c r="B1815" s="1">
        <f>DATE(2014,5,17) + TIME(0,40,19)</f>
        <v>41776.027997685182</v>
      </c>
      <c r="C1815">
        <v>1381.3255615</v>
      </c>
      <c r="D1815">
        <v>1366.934082</v>
      </c>
      <c r="E1815">
        <v>1291.9323730000001</v>
      </c>
      <c r="F1815">
        <v>1272.7844238</v>
      </c>
      <c r="G1815">
        <v>80</v>
      </c>
      <c r="H1815">
        <v>79.961837768999999</v>
      </c>
      <c r="I1815">
        <v>50</v>
      </c>
      <c r="J1815">
        <v>49.064361572000003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1477.4965460000001</v>
      </c>
      <c r="B1816" s="1">
        <f>DATE(2014,5,17) + TIME(11,55,1)</f>
        <v>41776.496539351851</v>
      </c>
      <c r="C1816">
        <v>1381.2702637</v>
      </c>
      <c r="D1816">
        <v>1366.8900146000001</v>
      </c>
      <c r="E1816">
        <v>1291.9288329999999</v>
      </c>
      <c r="F1816">
        <v>1272.7783202999999</v>
      </c>
      <c r="G1816">
        <v>80</v>
      </c>
      <c r="H1816">
        <v>79.961822510000005</v>
      </c>
      <c r="I1816">
        <v>50</v>
      </c>
      <c r="J1816">
        <v>49.041820526000002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1477.973062</v>
      </c>
      <c r="B1817" s="1">
        <f>DATE(2014,5,17) + TIME(23,21,12)</f>
        <v>41776.973055555558</v>
      </c>
      <c r="C1817">
        <v>1381.215332</v>
      </c>
      <c r="D1817">
        <v>1366.8464355000001</v>
      </c>
      <c r="E1817">
        <v>1291.9251709</v>
      </c>
      <c r="F1817">
        <v>1272.7720947</v>
      </c>
      <c r="G1817">
        <v>80</v>
      </c>
      <c r="H1817">
        <v>79.961814880000006</v>
      </c>
      <c r="I1817">
        <v>50</v>
      </c>
      <c r="J1817">
        <v>49.019031525000003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1478.4587779999999</v>
      </c>
      <c r="B1818" s="1">
        <f>DATE(2014,5,18) + TIME(11,0,38)</f>
        <v>41777.458773148152</v>
      </c>
      <c r="C1818">
        <v>1381.1607666</v>
      </c>
      <c r="D1818">
        <v>1366.8031006000001</v>
      </c>
      <c r="E1818">
        <v>1291.9215088000001</v>
      </c>
      <c r="F1818">
        <v>1272.7657471</v>
      </c>
      <c r="G1818">
        <v>80</v>
      </c>
      <c r="H1818">
        <v>79.961799622000001</v>
      </c>
      <c r="I1818">
        <v>50</v>
      </c>
      <c r="J1818">
        <v>48.995960236000002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1478.9549959999999</v>
      </c>
      <c r="B1819" s="1">
        <f>DATE(2014,5,18) + TIME(22,55,11)</f>
        <v>41777.954988425925</v>
      </c>
      <c r="C1819">
        <v>1381.1064452999999</v>
      </c>
      <c r="D1819">
        <v>1366.7598877</v>
      </c>
      <c r="E1819">
        <v>1291.9178466999999</v>
      </c>
      <c r="F1819">
        <v>1272.7591553</v>
      </c>
      <c r="G1819">
        <v>80</v>
      </c>
      <c r="H1819">
        <v>79.961784363000007</v>
      </c>
      <c r="I1819">
        <v>50</v>
      </c>
      <c r="J1819">
        <v>48.972557068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1479.463133</v>
      </c>
      <c r="B1820" s="1">
        <f>DATE(2014,5,19) + TIME(11,6,54)</f>
        <v>41778.463125000002</v>
      </c>
      <c r="C1820">
        <v>1381.0522461</v>
      </c>
      <c r="D1820">
        <v>1366.7167969</v>
      </c>
      <c r="E1820">
        <v>1291.9139404</v>
      </c>
      <c r="F1820">
        <v>1272.7525635</v>
      </c>
      <c r="G1820">
        <v>80</v>
      </c>
      <c r="H1820">
        <v>79.961769103999998</v>
      </c>
      <c r="I1820">
        <v>50</v>
      </c>
      <c r="J1820">
        <v>48.948780059999997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1479.9809499999999</v>
      </c>
      <c r="B1821" s="1">
        <f>DATE(2014,5,19) + TIME(23,32,34)</f>
        <v>41778.980949074074</v>
      </c>
      <c r="C1821">
        <v>1380.9979248</v>
      </c>
      <c r="D1821">
        <v>1366.6737060999999</v>
      </c>
      <c r="E1821">
        <v>1291.9100341999999</v>
      </c>
      <c r="F1821">
        <v>1272.7457274999999</v>
      </c>
      <c r="G1821">
        <v>80</v>
      </c>
      <c r="H1821">
        <v>79.961761475000003</v>
      </c>
      <c r="I1821">
        <v>50</v>
      </c>
      <c r="J1821">
        <v>48.924678802000003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1480.508681</v>
      </c>
      <c r="B1822" s="1">
        <f>DATE(2014,5,20) + TIME(12,12,30)</f>
        <v>41779.508680555555</v>
      </c>
      <c r="C1822">
        <v>1380.9437256000001</v>
      </c>
      <c r="D1822">
        <v>1366.6307373</v>
      </c>
      <c r="E1822">
        <v>1291.9060059000001</v>
      </c>
      <c r="F1822">
        <v>1272.7386475000001</v>
      </c>
      <c r="G1822">
        <v>80</v>
      </c>
      <c r="H1822">
        <v>79.961746215999995</v>
      </c>
      <c r="I1822">
        <v>50</v>
      </c>
      <c r="J1822">
        <v>48.900253296000002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1481.047673</v>
      </c>
      <c r="B1823" s="1">
        <f>DATE(2014,5,21) + TIME(1,8,38)</f>
        <v>41780.047662037039</v>
      </c>
      <c r="C1823">
        <v>1380.8897704999999</v>
      </c>
      <c r="D1823">
        <v>1366.5878906</v>
      </c>
      <c r="E1823">
        <v>1291.9018555</v>
      </c>
      <c r="F1823">
        <v>1272.7314452999999</v>
      </c>
      <c r="G1823">
        <v>80</v>
      </c>
      <c r="H1823">
        <v>79.961730957</v>
      </c>
      <c r="I1823">
        <v>50</v>
      </c>
      <c r="J1823">
        <v>48.875473022000001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1481.599371</v>
      </c>
      <c r="B1824" s="1">
        <f>DATE(2014,5,21) + TIME(14,23,5)</f>
        <v>41780.599363425928</v>
      </c>
      <c r="C1824">
        <v>1380.8358154</v>
      </c>
      <c r="D1824">
        <v>1366.5450439000001</v>
      </c>
      <c r="E1824">
        <v>1291.8977050999999</v>
      </c>
      <c r="F1824">
        <v>1272.7241211</v>
      </c>
      <c r="G1824">
        <v>80</v>
      </c>
      <c r="H1824">
        <v>79.961715698000006</v>
      </c>
      <c r="I1824">
        <v>50</v>
      </c>
      <c r="J1824">
        <v>48.850296020999998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1482.165356</v>
      </c>
      <c r="B1825" s="1">
        <f>DATE(2014,5,22) + TIME(3,58,6)</f>
        <v>41781.165347222224</v>
      </c>
      <c r="C1825">
        <v>1380.7818603999999</v>
      </c>
      <c r="D1825">
        <v>1366.5021973</v>
      </c>
      <c r="E1825">
        <v>1291.8933105000001</v>
      </c>
      <c r="F1825">
        <v>1272.7164307</v>
      </c>
      <c r="G1825">
        <v>80</v>
      </c>
      <c r="H1825">
        <v>79.961700438999998</v>
      </c>
      <c r="I1825">
        <v>50</v>
      </c>
      <c r="J1825">
        <v>48.824668883999998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1482.747386</v>
      </c>
      <c r="B1826" s="1">
        <f>DATE(2014,5,22) + TIME(17,56,14)</f>
        <v>41781.747384259259</v>
      </c>
      <c r="C1826">
        <v>1380.7276611</v>
      </c>
      <c r="D1826">
        <v>1366.4591064000001</v>
      </c>
      <c r="E1826">
        <v>1291.8889160000001</v>
      </c>
      <c r="F1826">
        <v>1272.7086182</v>
      </c>
      <c r="G1826">
        <v>80</v>
      </c>
      <c r="H1826">
        <v>79.961692810000002</v>
      </c>
      <c r="I1826">
        <v>50</v>
      </c>
      <c r="J1826">
        <v>48.798534392999997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1483.347411</v>
      </c>
      <c r="B1827" s="1">
        <f>DATE(2014,5,23) + TIME(8,20,16)</f>
        <v>41782.347407407404</v>
      </c>
      <c r="C1827">
        <v>1380.6730957</v>
      </c>
      <c r="D1827">
        <v>1366.4157714999999</v>
      </c>
      <c r="E1827">
        <v>1291.8842772999999</v>
      </c>
      <c r="F1827">
        <v>1272.7005615</v>
      </c>
      <c r="G1827">
        <v>80</v>
      </c>
      <c r="H1827">
        <v>79.961677550999994</v>
      </c>
      <c r="I1827">
        <v>50</v>
      </c>
      <c r="J1827">
        <v>48.771820067999997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1483.968012</v>
      </c>
      <c r="B1828" s="1">
        <f>DATE(2014,5,23) + TIME(23,13,56)</f>
        <v>41782.968009259261</v>
      </c>
      <c r="C1828">
        <v>1380.6179199000001</v>
      </c>
      <c r="D1828">
        <v>1366.3720702999999</v>
      </c>
      <c r="E1828">
        <v>1291.8795166</v>
      </c>
      <c r="F1828">
        <v>1272.6921387</v>
      </c>
      <c r="G1828">
        <v>80</v>
      </c>
      <c r="H1828">
        <v>79.961662292</v>
      </c>
      <c r="I1828">
        <v>50</v>
      </c>
      <c r="J1828">
        <v>48.744445800999998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1484.607458</v>
      </c>
      <c r="B1829" s="1">
        <f>DATE(2014,5,24) + TIME(14,34,44)</f>
        <v>41783.607453703706</v>
      </c>
      <c r="C1829">
        <v>1380.5622559000001</v>
      </c>
      <c r="D1829">
        <v>1366.3278809000001</v>
      </c>
      <c r="E1829">
        <v>1291.8746338000001</v>
      </c>
      <c r="F1829">
        <v>1272.6834716999999</v>
      </c>
      <c r="G1829">
        <v>80</v>
      </c>
      <c r="H1829">
        <v>79.961647033999995</v>
      </c>
      <c r="I1829">
        <v>50</v>
      </c>
      <c r="J1829">
        <v>48.716426849000001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1485.2494610000001</v>
      </c>
      <c r="B1830" s="1">
        <f>DATE(2014,5,25) + TIME(5,59,13)</f>
        <v>41784.249456018515</v>
      </c>
      <c r="C1830">
        <v>1380.5059814000001</v>
      </c>
      <c r="D1830">
        <v>1366.2832031</v>
      </c>
      <c r="E1830">
        <v>1291.8693848</v>
      </c>
      <c r="F1830">
        <v>1272.6744385</v>
      </c>
      <c r="G1830">
        <v>80</v>
      </c>
      <c r="H1830">
        <v>79.961631775000001</v>
      </c>
      <c r="I1830">
        <v>50</v>
      </c>
      <c r="J1830">
        <v>48.688167571999998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1485.8956390000001</v>
      </c>
      <c r="B1831" s="1">
        <f>DATE(2014,5,25) + TIME(21,29,43)</f>
        <v>41784.895636574074</v>
      </c>
      <c r="C1831">
        <v>1380.4508057</v>
      </c>
      <c r="D1831">
        <v>1366.2393798999999</v>
      </c>
      <c r="E1831">
        <v>1291.8642577999999</v>
      </c>
      <c r="F1831">
        <v>1272.6651611</v>
      </c>
      <c r="G1831">
        <v>80</v>
      </c>
      <c r="H1831">
        <v>79.961624146000005</v>
      </c>
      <c r="I1831">
        <v>50</v>
      </c>
      <c r="J1831">
        <v>48.659763335999997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1486.5474770000001</v>
      </c>
      <c r="B1832" s="1">
        <f>DATE(2014,5,26) + TIME(13,8,21)</f>
        <v>41785.547465277778</v>
      </c>
      <c r="C1832">
        <v>1380.3962402</v>
      </c>
      <c r="D1832">
        <v>1366.1961670000001</v>
      </c>
      <c r="E1832">
        <v>1291.8590088000001</v>
      </c>
      <c r="F1832">
        <v>1272.6558838000001</v>
      </c>
      <c r="G1832">
        <v>80</v>
      </c>
      <c r="H1832">
        <v>79.961608886999997</v>
      </c>
      <c r="I1832">
        <v>50</v>
      </c>
      <c r="J1832">
        <v>48.631244658999996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1487.2065849999999</v>
      </c>
      <c r="B1833" s="1">
        <f>DATE(2014,5,27) + TIME(4,57,28)</f>
        <v>41786.206574074073</v>
      </c>
      <c r="C1833">
        <v>1380.3424072</v>
      </c>
      <c r="D1833">
        <v>1366.1534423999999</v>
      </c>
      <c r="E1833">
        <v>1291.8536377</v>
      </c>
      <c r="F1833">
        <v>1272.6464844</v>
      </c>
      <c r="G1833">
        <v>80</v>
      </c>
      <c r="H1833">
        <v>79.961593628000003</v>
      </c>
      <c r="I1833">
        <v>50</v>
      </c>
      <c r="J1833">
        <v>48.602596282999997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1487.8746040000001</v>
      </c>
      <c r="B1834" s="1">
        <f>DATE(2014,5,27) + TIME(20,59,25)</f>
        <v>41786.874594907407</v>
      </c>
      <c r="C1834">
        <v>1380.2891846</v>
      </c>
      <c r="D1834">
        <v>1366.1109618999999</v>
      </c>
      <c r="E1834">
        <v>1291.8482666</v>
      </c>
      <c r="F1834">
        <v>1272.6367187999999</v>
      </c>
      <c r="G1834">
        <v>80</v>
      </c>
      <c r="H1834">
        <v>79.961585998999993</v>
      </c>
      <c r="I1834">
        <v>50</v>
      </c>
      <c r="J1834">
        <v>48.573780059999997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1488.553224</v>
      </c>
      <c r="B1835" s="1">
        <f>DATE(2014,5,28) + TIME(13,16,38)</f>
        <v>41787.553217592591</v>
      </c>
      <c r="C1835">
        <v>1380.2360839999999</v>
      </c>
      <c r="D1835">
        <v>1366.0688477000001</v>
      </c>
      <c r="E1835">
        <v>1291.8426514</v>
      </c>
      <c r="F1835">
        <v>1272.6269531</v>
      </c>
      <c r="G1835">
        <v>80</v>
      </c>
      <c r="H1835">
        <v>79.961570739999999</v>
      </c>
      <c r="I1835">
        <v>50</v>
      </c>
      <c r="J1835">
        <v>48.544742583999998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1489.244234</v>
      </c>
      <c r="B1836" s="1">
        <f>DATE(2014,5,29) + TIME(5,51,41)</f>
        <v>41788.24422453704</v>
      </c>
      <c r="C1836">
        <v>1380.1833495999999</v>
      </c>
      <c r="D1836">
        <v>1366.0269774999999</v>
      </c>
      <c r="E1836">
        <v>1291.8370361</v>
      </c>
      <c r="F1836">
        <v>1272.6168213000001</v>
      </c>
      <c r="G1836">
        <v>80</v>
      </c>
      <c r="H1836">
        <v>79.96156311</v>
      </c>
      <c r="I1836">
        <v>50</v>
      </c>
      <c r="J1836">
        <v>48.515430449999997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1489.9495509999999</v>
      </c>
      <c r="B1837" s="1">
        <f>DATE(2014,5,29) + TIME(22,47,21)</f>
        <v>41788.949548611112</v>
      </c>
      <c r="C1837">
        <v>1380.1306152</v>
      </c>
      <c r="D1837">
        <v>1365.9849853999999</v>
      </c>
      <c r="E1837">
        <v>1291.8312988</v>
      </c>
      <c r="F1837">
        <v>1272.6063231999999</v>
      </c>
      <c r="G1837">
        <v>80</v>
      </c>
      <c r="H1837">
        <v>79.961555481000005</v>
      </c>
      <c r="I1837">
        <v>50</v>
      </c>
      <c r="J1837">
        <v>48.485778809000003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1490.6712419999999</v>
      </c>
      <c r="B1838" s="1">
        <f>DATE(2014,5,30) + TIME(16,6,35)</f>
        <v>41789.671238425923</v>
      </c>
      <c r="C1838">
        <v>1380.0777588000001</v>
      </c>
      <c r="D1838">
        <v>1365.9429932</v>
      </c>
      <c r="E1838">
        <v>1291.8253173999999</v>
      </c>
      <c r="F1838">
        <v>1272.5955810999999</v>
      </c>
      <c r="G1838">
        <v>80</v>
      </c>
      <c r="H1838">
        <v>79.961540221999996</v>
      </c>
      <c r="I1838">
        <v>50</v>
      </c>
      <c r="J1838">
        <v>48.45570755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1491.411572</v>
      </c>
      <c r="B1839" s="1">
        <f>DATE(2014,5,31) + TIME(9,52,39)</f>
        <v>41790.411562499998</v>
      </c>
      <c r="C1839">
        <v>1380.0247803</v>
      </c>
      <c r="D1839">
        <v>1365.9007568</v>
      </c>
      <c r="E1839">
        <v>1291.8192139</v>
      </c>
      <c r="F1839">
        <v>1272.5845947</v>
      </c>
      <c r="G1839">
        <v>80</v>
      </c>
      <c r="H1839">
        <v>79.961532593000001</v>
      </c>
      <c r="I1839">
        <v>50</v>
      </c>
      <c r="J1839">
        <v>48.425148010000001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1492</v>
      </c>
      <c r="B1840" s="1">
        <f>DATE(2014,6,1) + TIME(0,0,0)</f>
        <v>41791</v>
      </c>
      <c r="C1840">
        <v>1379.9714355000001</v>
      </c>
      <c r="D1840">
        <v>1365.8582764</v>
      </c>
      <c r="E1840">
        <v>1291.8123779</v>
      </c>
      <c r="F1840">
        <v>1272.5734863</v>
      </c>
      <c r="G1840">
        <v>80</v>
      </c>
      <c r="H1840">
        <v>79.961524963000002</v>
      </c>
      <c r="I1840">
        <v>50</v>
      </c>
      <c r="J1840">
        <v>48.398208617999998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1492.7612529999999</v>
      </c>
      <c r="B1841" s="1">
        <f>DATE(2014,6,1) + TIME(18,16,12)</f>
        <v>41791.761250000003</v>
      </c>
      <c r="C1841">
        <v>1379.9296875</v>
      </c>
      <c r="D1841">
        <v>1365.8250731999999</v>
      </c>
      <c r="E1841">
        <v>1291.8078613</v>
      </c>
      <c r="F1841">
        <v>1272.5635986</v>
      </c>
      <c r="G1841">
        <v>80</v>
      </c>
      <c r="H1841">
        <v>79.961517334000007</v>
      </c>
      <c r="I1841">
        <v>50</v>
      </c>
      <c r="J1841">
        <v>48.368309021000002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1493.5481600000001</v>
      </c>
      <c r="B1842" s="1">
        <f>DATE(2014,6,2) + TIME(13,9,20)</f>
        <v>41792.548148148147</v>
      </c>
      <c r="C1842">
        <v>1379.8767089999999</v>
      </c>
      <c r="D1842">
        <v>1365.7828368999999</v>
      </c>
      <c r="E1842">
        <v>1291.8011475000001</v>
      </c>
      <c r="F1842">
        <v>1272.5516356999999</v>
      </c>
      <c r="G1842">
        <v>80</v>
      </c>
      <c r="H1842">
        <v>79.961509704999997</v>
      </c>
      <c r="I1842">
        <v>50</v>
      </c>
      <c r="J1842">
        <v>48.337215424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1494.3522780000001</v>
      </c>
      <c r="B1843" s="1">
        <f>DATE(2014,6,3) + TIME(8,27,16)</f>
        <v>41793.352268518516</v>
      </c>
      <c r="C1843">
        <v>1379.822876</v>
      </c>
      <c r="D1843">
        <v>1365.7398682</v>
      </c>
      <c r="E1843">
        <v>1291.7943115</v>
      </c>
      <c r="F1843">
        <v>1272.5390625</v>
      </c>
      <c r="G1843">
        <v>80</v>
      </c>
      <c r="H1843">
        <v>79.961502074999999</v>
      </c>
      <c r="I1843">
        <v>50</v>
      </c>
      <c r="J1843">
        <v>48.305274963000002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1495.176183</v>
      </c>
      <c r="B1844" s="1">
        <f>DATE(2014,6,4) + TIME(4,13,42)</f>
        <v>41794.176180555558</v>
      </c>
      <c r="C1844">
        <v>1379.7689209</v>
      </c>
      <c r="D1844">
        <v>1365.6967772999999</v>
      </c>
      <c r="E1844">
        <v>1291.7871094</v>
      </c>
      <c r="F1844">
        <v>1272.526001</v>
      </c>
      <c r="G1844">
        <v>80</v>
      </c>
      <c r="H1844">
        <v>79.961494446000003</v>
      </c>
      <c r="I1844">
        <v>50</v>
      </c>
      <c r="J1844">
        <v>48.272617339999996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1496.0224940000001</v>
      </c>
      <c r="B1845" s="1">
        <f>DATE(2014,6,5) + TIME(0,32,23)</f>
        <v>41795.022488425922</v>
      </c>
      <c r="C1845">
        <v>1379.7145995999999</v>
      </c>
      <c r="D1845">
        <v>1365.6534423999999</v>
      </c>
      <c r="E1845">
        <v>1291.7797852000001</v>
      </c>
      <c r="F1845">
        <v>1272.5124512</v>
      </c>
      <c r="G1845">
        <v>80</v>
      </c>
      <c r="H1845">
        <v>79.961486816000004</v>
      </c>
      <c r="I1845">
        <v>50</v>
      </c>
      <c r="J1845">
        <v>48.239265441999997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1496.8887970000001</v>
      </c>
      <c r="B1846" s="1">
        <f>DATE(2014,6,5) + TIME(21,19,52)</f>
        <v>41795.888796296298</v>
      </c>
      <c r="C1846">
        <v>1379.6597899999999</v>
      </c>
      <c r="D1846">
        <v>1365.6096190999999</v>
      </c>
      <c r="E1846">
        <v>1291.7720947</v>
      </c>
      <c r="F1846">
        <v>1272.4984131000001</v>
      </c>
      <c r="G1846">
        <v>80</v>
      </c>
      <c r="H1846">
        <v>79.961479186999995</v>
      </c>
      <c r="I1846">
        <v>50</v>
      </c>
      <c r="J1846">
        <v>48.205291748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1497.7655010000001</v>
      </c>
      <c r="B1847" s="1">
        <f>DATE(2014,6,6) + TIME(18,22,19)</f>
        <v>41796.765497685185</v>
      </c>
      <c r="C1847">
        <v>1379.6047363</v>
      </c>
      <c r="D1847">
        <v>1365.5655518000001</v>
      </c>
      <c r="E1847">
        <v>1291.7641602000001</v>
      </c>
      <c r="F1847">
        <v>1272.4837646000001</v>
      </c>
      <c r="G1847">
        <v>80</v>
      </c>
      <c r="H1847">
        <v>79.961471558</v>
      </c>
      <c r="I1847">
        <v>50</v>
      </c>
      <c r="J1847">
        <v>48.170928955000001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1498.6456020000001</v>
      </c>
      <c r="B1848" s="1">
        <f>DATE(2014,6,7) + TIME(15,29,39)</f>
        <v>41797.645590277774</v>
      </c>
      <c r="C1848">
        <v>1379.5500488</v>
      </c>
      <c r="D1848">
        <v>1365.5218506000001</v>
      </c>
      <c r="E1848">
        <v>1291.7559814000001</v>
      </c>
      <c r="F1848">
        <v>1272.46875</v>
      </c>
      <c r="G1848">
        <v>80</v>
      </c>
      <c r="H1848">
        <v>79.961463928000001</v>
      </c>
      <c r="I1848">
        <v>50</v>
      </c>
      <c r="J1848">
        <v>48.136425017999997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1499.5315969999999</v>
      </c>
      <c r="B1849" s="1">
        <f>DATE(2014,6,8) + TIME(12,45,29)</f>
        <v>41798.531585648147</v>
      </c>
      <c r="C1849">
        <v>1379.4960937999999</v>
      </c>
      <c r="D1849">
        <v>1365.4785156</v>
      </c>
      <c r="E1849">
        <v>1291.7478027</v>
      </c>
      <c r="F1849">
        <v>1272.4533690999999</v>
      </c>
      <c r="G1849">
        <v>80</v>
      </c>
      <c r="H1849">
        <v>79.961463928000001</v>
      </c>
      <c r="I1849">
        <v>50</v>
      </c>
      <c r="J1849">
        <v>48.101871490000001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1500.425252</v>
      </c>
      <c r="B1850" s="1">
        <f>DATE(2014,6,9) + TIME(10,12,21)</f>
        <v>41799.425243055557</v>
      </c>
      <c r="C1850">
        <v>1379.442749</v>
      </c>
      <c r="D1850">
        <v>1365.4357910000001</v>
      </c>
      <c r="E1850">
        <v>1291.7393798999999</v>
      </c>
      <c r="F1850">
        <v>1272.4377440999999</v>
      </c>
      <c r="G1850">
        <v>80</v>
      </c>
      <c r="H1850">
        <v>79.961456299000005</v>
      </c>
      <c r="I1850">
        <v>50</v>
      </c>
      <c r="J1850">
        <v>48.067272185999997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1501.3287049999999</v>
      </c>
      <c r="B1851" s="1">
        <f>DATE(2014,6,10) + TIME(7,53,20)</f>
        <v>41800.328703703701</v>
      </c>
      <c r="C1851">
        <v>1379.3897704999999</v>
      </c>
      <c r="D1851">
        <v>1365.3933105000001</v>
      </c>
      <c r="E1851">
        <v>1291.7308350000001</v>
      </c>
      <c r="F1851">
        <v>1272.4216309000001</v>
      </c>
      <c r="G1851">
        <v>80</v>
      </c>
      <c r="H1851">
        <v>79.961448669000006</v>
      </c>
      <c r="I1851">
        <v>50</v>
      </c>
      <c r="J1851">
        <v>48.032592772999998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1502.2441449999999</v>
      </c>
      <c r="B1852" s="1">
        <f>DATE(2014,6,11) + TIME(5,51,34)</f>
        <v>41801.244143518517</v>
      </c>
      <c r="C1852">
        <v>1379.3372803</v>
      </c>
      <c r="D1852">
        <v>1365.3510742000001</v>
      </c>
      <c r="E1852">
        <v>1291.7220459</v>
      </c>
      <c r="F1852">
        <v>1272.4051514</v>
      </c>
      <c r="G1852">
        <v>80</v>
      </c>
      <c r="H1852">
        <v>79.961448669000006</v>
      </c>
      <c r="I1852">
        <v>50</v>
      </c>
      <c r="J1852">
        <v>47.997779846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1503.173843</v>
      </c>
      <c r="B1853" s="1">
        <f>DATE(2014,6,12) + TIME(4,10,20)</f>
        <v>41802.173842592594</v>
      </c>
      <c r="C1853">
        <v>1379.2849120999999</v>
      </c>
      <c r="D1853">
        <v>1365.3089600000001</v>
      </c>
      <c r="E1853">
        <v>1291.7131348</v>
      </c>
      <c r="F1853">
        <v>1272.3881836</v>
      </c>
      <c r="G1853">
        <v>80</v>
      </c>
      <c r="H1853">
        <v>79.961441039999997</v>
      </c>
      <c r="I1853">
        <v>50</v>
      </c>
      <c r="J1853">
        <v>47.962760924999998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1504.1202020000001</v>
      </c>
      <c r="B1854" s="1">
        <f>DATE(2014,6,13) + TIME(2,53,5)</f>
        <v>41803.120196759257</v>
      </c>
      <c r="C1854">
        <v>1379.2325439000001</v>
      </c>
      <c r="D1854">
        <v>1365.2668457</v>
      </c>
      <c r="E1854">
        <v>1291.7039795000001</v>
      </c>
      <c r="F1854">
        <v>1272.3707274999999</v>
      </c>
      <c r="G1854">
        <v>80</v>
      </c>
      <c r="H1854">
        <v>79.961441039999997</v>
      </c>
      <c r="I1854">
        <v>50</v>
      </c>
      <c r="J1854">
        <v>47.927467346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1505.0857960000001</v>
      </c>
      <c r="B1855" s="1">
        <f>DATE(2014,6,14) + TIME(2,3,32)</f>
        <v>41804.085787037038</v>
      </c>
      <c r="C1855">
        <v>1379.1801757999999</v>
      </c>
      <c r="D1855">
        <v>1365.2246094</v>
      </c>
      <c r="E1855">
        <v>1291.6945800999999</v>
      </c>
      <c r="F1855">
        <v>1272.3526611</v>
      </c>
      <c r="G1855">
        <v>80</v>
      </c>
      <c r="H1855">
        <v>79.961433411000002</v>
      </c>
      <c r="I1855">
        <v>50</v>
      </c>
      <c r="J1855">
        <v>47.891822814999998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1506.073408</v>
      </c>
      <c r="B1856" s="1">
        <f>DATE(2014,6,15) + TIME(1,45,42)</f>
        <v>41805.07340277778</v>
      </c>
      <c r="C1856">
        <v>1379.1275635</v>
      </c>
      <c r="D1856">
        <v>1365.182251</v>
      </c>
      <c r="E1856">
        <v>1291.6848144999999</v>
      </c>
      <c r="F1856">
        <v>1272.3338623</v>
      </c>
      <c r="G1856">
        <v>80</v>
      </c>
      <c r="H1856">
        <v>79.961433411000002</v>
      </c>
      <c r="I1856">
        <v>50</v>
      </c>
      <c r="J1856">
        <v>47.855739593999999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1507.0860720000001</v>
      </c>
      <c r="B1857" s="1">
        <f>DATE(2014,6,16) + TIME(2,3,56)</f>
        <v>41806.086064814815</v>
      </c>
      <c r="C1857">
        <v>1379.074707</v>
      </c>
      <c r="D1857">
        <v>1365.1395264</v>
      </c>
      <c r="E1857">
        <v>1291.6748047000001</v>
      </c>
      <c r="F1857">
        <v>1272.3144531</v>
      </c>
      <c r="G1857">
        <v>80</v>
      </c>
      <c r="H1857">
        <v>79.961433411000002</v>
      </c>
      <c r="I1857">
        <v>50</v>
      </c>
      <c r="J1857">
        <v>47.819141387999998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1508.127162</v>
      </c>
      <c r="B1858" s="1">
        <f>DATE(2014,6,17) + TIME(3,3,6)</f>
        <v>41807.127152777779</v>
      </c>
      <c r="C1858">
        <v>1379.0212402</v>
      </c>
      <c r="D1858">
        <v>1365.0963135</v>
      </c>
      <c r="E1858">
        <v>1291.6644286999999</v>
      </c>
      <c r="F1858">
        <v>1272.2941894999999</v>
      </c>
      <c r="G1858">
        <v>80</v>
      </c>
      <c r="H1858">
        <v>79.961433411000002</v>
      </c>
      <c r="I1858">
        <v>50</v>
      </c>
      <c r="J1858">
        <v>47.781932830999999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1509.201102</v>
      </c>
      <c r="B1859" s="1">
        <f>DATE(2014,6,18) + TIME(4,49,35)</f>
        <v>41808.201099537036</v>
      </c>
      <c r="C1859">
        <v>1378.9672852000001</v>
      </c>
      <c r="D1859">
        <v>1365.0526123</v>
      </c>
      <c r="E1859">
        <v>1291.6535644999999</v>
      </c>
      <c r="F1859">
        <v>1272.2730713000001</v>
      </c>
      <c r="G1859">
        <v>80</v>
      </c>
      <c r="H1859">
        <v>79.961433411000002</v>
      </c>
      <c r="I1859">
        <v>50</v>
      </c>
      <c r="J1859">
        <v>47.744007111000002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1510.298468</v>
      </c>
      <c r="B1860" s="1">
        <f>DATE(2014,6,19) + TIME(7,9,47)</f>
        <v>41809.298460648148</v>
      </c>
      <c r="C1860">
        <v>1378.9124756000001</v>
      </c>
      <c r="D1860">
        <v>1365.0081786999999</v>
      </c>
      <c r="E1860">
        <v>1291.6423339999999</v>
      </c>
      <c r="F1860">
        <v>1272.2509766000001</v>
      </c>
      <c r="G1860">
        <v>80</v>
      </c>
      <c r="H1860">
        <v>79.961433411000002</v>
      </c>
      <c r="I1860">
        <v>50</v>
      </c>
      <c r="J1860">
        <v>47.705463408999996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1511.4213850000001</v>
      </c>
      <c r="B1861" s="1">
        <f>DATE(2014,6,20) + TIME(10,6,47)</f>
        <v>41810.421377314815</v>
      </c>
      <c r="C1861">
        <v>1378.8572998</v>
      </c>
      <c r="D1861">
        <v>1364.963501</v>
      </c>
      <c r="E1861">
        <v>1291.6307373</v>
      </c>
      <c r="F1861">
        <v>1272.2279053</v>
      </c>
      <c r="G1861">
        <v>80</v>
      </c>
      <c r="H1861">
        <v>79.961433411000002</v>
      </c>
      <c r="I1861">
        <v>50</v>
      </c>
      <c r="J1861">
        <v>47.666366576999998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1512.5691609999999</v>
      </c>
      <c r="B1862" s="1">
        <f>DATE(2014,6,21) + TIME(13,39,35)</f>
        <v>41811.569155092591</v>
      </c>
      <c r="C1862">
        <v>1378.8017577999999</v>
      </c>
      <c r="D1862">
        <v>1364.9183350000001</v>
      </c>
      <c r="E1862">
        <v>1291.6186522999999</v>
      </c>
      <c r="F1862">
        <v>1272.2039795000001</v>
      </c>
      <c r="G1862">
        <v>80</v>
      </c>
      <c r="H1862">
        <v>79.961433411000002</v>
      </c>
      <c r="I1862">
        <v>50</v>
      </c>
      <c r="J1862">
        <v>47.626770020000002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1513.7185939999999</v>
      </c>
      <c r="B1863" s="1">
        <f>DATE(2014,6,22) + TIME(17,14,46)</f>
        <v>41812.718587962961</v>
      </c>
      <c r="C1863">
        <v>1378.7459716999999</v>
      </c>
      <c r="D1863">
        <v>1364.8729248</v>
      </c>
      <c r="E1863">
        <v>1291.6063231999999</v>
      </c>
      <c r="F1863">
        <v>1272.1793213000001</v>
      </c>
      <c r="G1863">
        <v>80</v>
      </c>
      <c r="H1863">
        <v>79.961433411000002</v>
      </c>
      <c r="I1863">
        <v>50</v>
      </c>
      <c r="J1863">
        <v>47.587059021000002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1514.8727650000001</v>
      </c>
      <c r="B1864" s="1">
        <f>DATE(2014,6,23) + TIME(20,56,46)</f>
        <v>41813.872754629629</v>
      </c>
      <c r="C1864">
        <v>1378.690918</v>
      </c>
      <c r="D1864">
        <v>1364.828125</v>
      </c>
      <c r="E1864">
        <v>1291.59375</v>
      </c>
      <c r="F1864">
        <v>1272.1540527</v>
      </c>
      <c r="G1864">
        <v>80</v>
      </c>
      <c r="H1864">
        <v>79.961441039999997</v>
      </c>
      <c r="I1864">
        <v>50</v>
      </c>
      <c r="J1864">
        <v>47.547485352000002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1516.0349920000001</v>
      </c>
      <c r="B1865" s="1">
        <f>DATE(2014,6,25) + TIME(0,50,23)</f>
        <v>41815.034988425927</v>
      </c>
      <c r="C1865">
        <v>1378.6364745999999</v>
      </c>
      <c r="D1865">
        <v>1364.7836914</v>
      </c>
      <c r="E1865">
        <v>1291.5811768000001</v>
      </c>
      <c r="F1865">
        <v>1272.1282959</v>
      </c>
      <c r="G1865">
        <v>80</v>
      </c>
      <c r="H1865">
        <v>79.961441039999997</v>
      </c>
      <c r="I1865">
        <v>50</v>
      </c>
      <c r="J1865">
        <v>47.508106232000003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1517.2076239999999</v>
      </c>
      <c r="B1866" s="1">
        <f>DATE(2014,6,26) + TIME(4,58,58)</f>
        <v>41816.207615740743</v>
      </c>
      <c r="C1866">
        <v>1378.5825195</v>
      </c>
      <c r="D1866">
        <v>1364.739624</v>
      </c>
      <c r="E1866">
        <v>1291.5683594</v>
      </c>
      <c r="F1866">
        <v>1272.1019286999999</v>
      </c>
      <c r="G1866">
        <v>80</v>
      </c>
      <c r="H1866">
        <v>79.961441039999997</v>
      </c>
      <c r="I1866">
        <v>50</v>
      </c>
      <c r="J1866">
        <v>47.468910217000001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1518.3934710000001</v>
      </c>
      <c r="B1867" s="1">
        <f>DATE(2014,6,27) + TIME(9,26,35)</f>
        <v>41817.393460648149</v>
      </c>
      <c r="C1867">
        <v>1378.5289307</v>
      </c>
      <c r="D1867">
        <v>1364.6956786999999</v>
      </c>
      <c r="E1867">
        <v>1291.5554199000001</v>
      </c>
      <c r="F1867">
        <v>1272.0750731999999</v>
      </c>
      <c r="G1867">
        <v>80</v>
      </c>
      <c r="H1867">
        <v>79.961448669000006</v>
      </c>
      <c r="I1867">
        <v>50</v>
      </c>
      <c r="J1867">
        <v>47.429862976000003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1519.5954589999999</v>
      </c>
      <c r="B1868" s="1">
        <f>DATE(2014,6,28) + TIME(14,17,27)</f>
        <v>41818.595451388886</v>
      </c>
      <c r="C1868">
        <v>1378.4754639</v>
      </c>
      <c r="D1868">
        <v>1364.6518555</v>
      </c>
      <c r="E1868">
        <v>1291.5422363</v>
      </c>
      <c r="F1868">
        <v>1272.0476074000001</v>
      </c>
      <c r="G1868">
        <v>80</v>
      </c>
      <c r="H1868">
        <v>79.961448669000006</v>
      </c>
      <c r="I1868">
        <v>50</v>
      </c>
      <c r="J1868">
        <v>47.390926360999998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1520.81665</v>
      </c>
      <c r="B1869" s="1">
        <f>DATE(2014,6,29) + TIME(19,35,58)</f>
        <v>41819.816643518519</v>
      </c>
      <c r="C1869">
        <v>1378.4219971</v>
      </c>
      <c r="D1869">
        <v>1364.6080322</v>
      </c>
      <c r="E1869">
        <v>1291.5289307</v>
      </c>
      <c r="F1869">
        <v>1272.0192870999999</v>
      </c>
      <c r="G1869">
        <v>80</v>
      </c>
      <c r="H1869">
        <v>79.961456299000005</v>
      </c>
      <c r="I1869">
        <v>50</v>
      </c>
      <c r="J1869">
        <v>47.352054596000002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1522</v>
      </c>
      <c r="B1870" s="1">
        <f>DATE(2014,7,1) + TIME(0,0,0)</f>
        <v>41821</v>
      </c>
      <c r="C1870">
        <v>1378.3685303</v>
      </c>
      <c r="D1870">
        <v>1364.5640868999999</v>
      </c>
      <c r="E1870">
        <v>1291.5152588000001</v>
      </c>
      <c r="F1870">
        <v>1271.9906006000001</v>
      </c>
      <c r="G1870">
        <v>80</v>
      </c>
      <c r="H1870">
        <v>79.961463928000001</v>
      </c>
      <c r="I1870">
        <v>50</v>
      </c>
      <c r="J1870">
        <v>47.314010619999998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1523.243643</v>
      </c>
      <c r="B1871" s="1">
        <f>DATE(2014,7,2) + TIME(5,50,50)</f>
        <v>41822.243634259263</v>
      </c>
      <c r="C1871">
        <v>1378.3173827999999</v>
      </c>
      <c r="D1871">
        <v>1364.5219727000001</v>
      </c>
      <c r="E1871">
        <v>1291.5020752</v>
      </c>
      <c r="F1871">
        <v>1271.9619141000001</v>
      </c>
      <c r="G1871">
        <v>80</v>
      </c>
      <c r="H1871">
        <v>79.961463928000001</v>
      </c>
      <c r="I1871">
        <v>50</v>
      </c>
      <c r="J1871">
        <v>47.276119231999999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1524.5414410000001</v>
      </c>
      <c r="B1872" s="1">
        <f>DATE(2014,7,3) + TIME(12,59,40)</f>
        <v>41823.541435185187</v>
      </c>
      <c r="C1872">
        <v>1378.2642822</v>
      </c>
      <c r="D1872">
        <v>1364.4782714999999</v>
      </c>
      <c r="E1872">
        <v>1291.4884033000001</v>
      </c>
      <c r="F1872">
        <v>1271.9318848</v>
      </c>
      <c r="G1872">
        <v>80</v>
      </c>
      <c r="H1872">
        <v>79.961471558</v>
      </c>
      <c r="I1872">
        <v>50</v>
      </c>
      <c r="J1872">
        <v>47.237785338999998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1525.8722809999999</v>
      </c>
      <c r="B1873" s="1">
        <f>DATE(2014,7,4) + TIME(20,56,5)</f>
        <v>41824.87228009259</v>
      </c>
      <c r="C1873">
        <v>1378.2097168</v>
      </c>
      <c r="D1873">
        <v>1364.4331055</v>
      </c>
      <c r="E1873">
        <v>1291.4741211</v>
      </c>
      <c r="F1873">
        <v>1271.9003906</v>
      </c>
      <c r="G1873">
        <v>80</v>
      </c>
      <c r="H1873">
        <v>79.961479186999995</v>
      </c>
      <c r="I1873">
        <v>50</v>
      </c>
      <c r="J1873">
        <v>47.199111938000001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1527.2379639999999</v>
      </c>
      <c r="B1874" s="1">
        <f>DATE(2014,7,6) + TIME(5,42,40)</f>
        <v>41826.237962962965</v>
      </c>
      <c r="C1874">
        <v>1378.1545410000001</v>
      </c>
      <c r="D1874">
        <v>1364.3874512</v>
      </c>
      <c r="E1874">
        <v>1291.4597168</v>
      </c>
      <c r="F1874">
        <v>1271.8680420000001</v>
      </c>
      <c r="G1874">
        <v>80</v>
      </c>
      <c r="H1874">
        <v>79.961486816000004</v>
      </c>
      <c r="I1874">
        <v>50</v>
      </c>
      <c r="J1874">
        <v>47.160335541000002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1528.6370830000001</v>
      </c>
      <c r="B1875" s="1">
        <f>DATE(2014,7,7) + TIME(15,17,23)</f>
        <v>41827.637071759258</v>
      </c>
      <c r="C1875">
        <v>1378.0986327999999</v>
      </c>
      <c r="D1875">
        <v>1364.3410644999999</v>
      </c>
      <c r="E1875">
        <v>1291.4449463000001</v>
      </c>
      <c r="F1875">
        <v>1271.8345947</v>
      </c>
      <c r="G1875">
        <v>80</v>
      </c>
      <c r="H1875">
        <v>79.961502074999999</v>
      </c>
      <c r="I1875">
        <v>50</v>
      </c>
      <c r="J1875">
        <v>47.121658324999999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1530.0553729999999</v>
      </c>
      <c r="B1876" s="1">
        <f>DATE(2014,7,9) + TIME(1,19,44)</f>
        <v>41829.05537037037</v>
      </c>
      <c r="C1876">
        <v>1378.0421143000001</v>
      </c>
      <c r="D1876">
        <v>1364.2941894999999</v>
      </c>
      <c r="E1876">
        <v>1291.4301757999999</v>
      </c>
      <c r="F1876">
        <v>1271.800293</v>
      </c>
      <c r="G1876">
        <v>80</v>
      </c>
      <c r="H1876">
        <v>79.961509704999997</v>
      </c>
      <c r="I1876">
        <v>50</v>
      </c>
      <c r="J1876">
        <v>47.083438872999999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1531.4984569999999</v>
      </c>
      <c r="B1877" s="1">
        <f>DATE(2014,7,10) + TIME(11,57,46)</f>
        <v>41830.498449074075</v>
      </c>
      <c r="C1877">
        <v>1377.9855957</v>
      </c>
      <c r="D1877">
        <v>1364.2471923999999</v>
      </c>
      <c r="E1877">
        <v>1291.4154053</v>
      </c>
      <c r="F1877">
        <v>1271.765625</v>
      </c>
      <c r="G1877">
        <v>80</v>
      </c>
      <c r="H1877">
        <v>79.961517334000007</v>
      </c>
      <c r="I1877">
        <v>50</v>
      </c>
      <c r="J1877">
        <v>47.045974731000001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1532.972587</v>
      </c>
      <c r="B1878" s="1">
        <f>DATE(2014,7,11) + TIME(23,20,31)</f>
        <v>41831.972581018519</v>
      </c>
      <c r="C1878">
        <v>1377.9288329999999</v>
      </c>
      <c r="D1878">
        <v>1364.1998291</v>
      </c>
      <c r="E1878">
        <v>1291.4007568</v>
      </c>
      <c r="F1878">
        <v>1271.7303466999999</v>
      </c>
      <c r="G1878">
        <v>80</v>
      </c>
      <c r="H1878">
        <v>79.961524963000002</v>
      </c>
      <c r="I1878">
        <v>50</v>
      </c>
      <c r="J1878">
        <v>47.009429932000003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1534.4668750000001</v>
      </c>
      <c r="B1879" s="1">
        <f>DATE(2014,7,13) + TIME(11,12,18)</f>
        <v>41833.466874999998</v>
      </c>
      <c r="C1879">
        <v>1377.871582</v>
      </c>
      <c r="D1879">
        <v>1364.1520995999999</v>
      </c>
      <c r="E1879">
        <v>1291.3863524999999</v>
      </c>
      <c r="F1879">
        <v>1271.6947021000001</v>
      </c>
      <c r="G1879">
        <v>80</v>
      </c>
      <c r="H1879">
        <v>79.961540221999996</v>
      </c>
      <c r="I1879">
        <v>50</v>
      </c>
      <c r="J1879">
        <v>46.974102019999997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1535.965774</v>
      </c>
      <c r="B1880" s="1">
        <f>DATE(2014,7,14) + TIME(23,10,42)</f>
        <v>41834.965763888889</v>
      </c>
      <c r="C1880">
        <v>1377.8142089999999</v>
      </c>
      <c r="D1880">
        <v>1364.104126</v>
      </c>
      <c r="E1880">
        <v>1291.3721923999999</v>
      </c>
      <c r="F1880">
        <v>1271.6590576000001</v>
      </c>
      <c r="G1880">
        <v>80</v>
      </c>
      <c r="H1880">
        <v>79.961547851999995</v>
      </c>
      <c r="I1880">
        <v>50</v>
      </c>
      <c r="J1880">
        <v>46.940479279000002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1537.4729990000001</v>
      </c>
      <c r="B1881" s="1">
        <f>DATE(2014,7,16) + TIME(11,21,7)</f>
        <v>41836.472997685189</v>
      </c>
      <c r="C1881">
        <v>1377.7574463000001</v>
      </c>
      <c r="D1881">
        <v>1364.0566406</v>
      </c>
      <c r="E1881">
        <v>1291.3586425999999</v>
      </c>
      <c r="F1881">
        <v>1271.6236572</v>
      </c>
      <c r="G1881">
        <v>80</v>
      </c>
      <c r="H1881">
        <v>79.96156311</v>
      </c>
      <c r="I1881">
        <v>50</v>
      </c>
      <c r="J1881">
        <v>46.908981322999999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1538.9945769999999</v>
      </c>
      <c r="B1882" s="1">
        <f>DATE(2014,7,17) + TIME(23,52,11)</f>
        <v>41837.994571759256</v>
      </c>
      <c r="C1882">
        <v>1377.7010498</v>
      </c>
      <c r="D1882">
        <v>1364.0092772999999</v>
      </c>
      <c r="E1882">
        <v>1291.3458252</v>
      </c>
      <c r="F1882">
        <v>1271.5888672000001</v>
      </c>
      <c r="G1882">
        <v>80</v>
      </c>
      <c r="H1882">
        <v>79.961578368999994</v>
      </c>
      <c r="I1882">
        <v>50</v>
      </c>
      <c r="J1882">
        <v>46.879875183000003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1540.5335600000001</v>
      </c>
      <c r="B1883" s="1">
        <f>DATE(2014,7,19) + TIME(12,48,19)</f>
        <v>41839.533553240741</v>
      </c>
      <c r="C1883">
        <v>1377.6448975000001</v>
      </c>
      <c r="D1883">
        <v>1363.9619141000001</v>
      </c>
      <c r="E1883">
        <v>1291.3337402</v>
      </c>
      <c r="F1883">
        <v>1271.5546875</v>
      </c>
      <c r="G1883">
        <v>80</v>
      </c>
      <c r="H1883">
        <v>79.961585998999993</v>
      </c>
      <c r="I1883">
        <v>50</v>
      </c>
      <c r="J1883">
        <v>46.853450774999999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1542.09383</v>
      </c>
      <c r="B1884" s="1">
        <f>DATE(2014,7,21) + TIME(2,15,6)</f>
        <v>41841.093819444446</v>
      </c>
      <c r="C1884">
        <v>1377.5886230000001</v>
      </c>
      <c r="D1884">
        <v>1363.9144286999999</v>
      </c>
      <c r="E1884">
        <v>1291.3225098</v>
      </c>
      <c r="F1884">
        <v>1271.5213623</v>
      </c>
      <c r="G1884">
        <v>80</v>
      </c>
      <c r="H1884">
        <v>79.961601256999998</v>
      </c>
      <c r="I1884">
        <v>50</v>
      </c>
      <c r="J1884">
        <v>46.830043793000002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1543.6794440000001</v>
      </c>
      <c r="B1885" s="1">
        <f>DATE(2014,7,22) + TIME(16,18,23)</f>
        <v>41842.679432870369</v>
      </c>
      <c r="C1885">
        <v>1377.5322266000001</v>
      </c>
      <c r="D1885">
        <v>1363.8668213000001</v>
      </c>
      <c r="E1885">
        <v>1291.3122559000001</v>
      </c>
      <c r="F1885">
        <v>1271.4890137</v>
      </c>
      <c r="G1885">
        <v>80</v>
      </c>
      <c r="H1885">
        <v>79.961616516000007</v>
      </c>
      <c r="I1885">
        <v>50</v>
      </c>
      <c r="J1885">
        <v>46.810077667000002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1545.294662</v>
      </c>
      <c r="B1886" s="1">
        <f>DATE(2014,7,24) + TIME(7,4,18)</f>
        <v>41844.294652777775</v>
      </c>
      <c r="C1886">
        <v>1377.4755858999999</v>
      </c>
      <c r="D1886">
        <v>1363.8188477000001</v>
      </c>
      <c r="E1886">
        <v>1291.3031006000001</v>
      </c>
      <c r="F1886">
        <v>1271.4577637</v>
      </c>
      <c r="G1886">
        <v>80</v>
      </c>
      <c r="H1886">
        <v>79.961631775000001</v>
      </c>
      <c r="I1886">
        <v>50</v>
      </c>
      <c r="J1886">
        <v>46.794052123999997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1546.944072</v>
      </c>
      <c r="B1887" s="1">
        <f>DATE(2014,7,25) + TIME(22,39,27)</f>
        <v>41845.944062499999</v>
      </c>
      <c r="C1887">
        <v>1377.418457</v>
      </c>
      <c r="D1887">
        <v>1363.7703856999999</v>
      </c>
      <c r="E1887">
        <v>1291.2952881000001</v>
      </c>
      <c r="F1887">
        <v>1271.4281006000001</v>
      </c>
      <c r="G1887">
        <v>80</v>
      </c>
      <c r="H1887">
        <v>79.961647033999995</v>
      </c>
      <c r="I1887">
        <v>50</v>
      </c>
      <c r="J1887">
        <v>46.782588959000002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1548.6326650000001</v>
      </c>
      <c r="B1888" s="1">
        <f>DATE(2014,7,27) + TIME(15,11,2)</f>
        <v>41847.632662037038</v>
      </c>
      <c r="C1888">
        <v>1377.3608397999999</v>
      </c>
      <c r="D1888">
        <v>1363.7213135</v>
      </c>
      <c r="E1888">
        <v>1291.2890625</v>
      </c>
      <c r="F1888">
        <v>1271.4003906</v>
      </c>
      <c r="G1888">
        <v>80</v>
      </c>
      <c r="H1888">
        <v>79.961662292</v>
      </c>
      <c r="I1888">
        <v>50</v>
      </c>
      <c r="J1888">
        <v>46.776416779000002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1550.365949</v>
      </c>
      <c r="B1889" s="1">
        <f>DATE(2014,7,29) + TIME(8,46,58)</f>
        <v>41849.365949074076</v>
      </c>
      <c r="C1889">
        <v>1377.3023682</v>
      </c>
      <c r="D1889">
        <v>1363.6715088000001</v>
      </c>
      <c r="E1889">
        <v>1291.2845459</v>
      </c>
      <c r="F1889">
        <v>1271.3747559000001</v>
      </c>
      <c r="G1889">
        <v>80</v>
      </c>
      <c r="H1889">
        <v>79.961685181000007</v>
      </c>
      <c r="I1889">
        <v>50</v>
      </c>
      <c r="J1889">
        <v>46.776416779000002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1552.130455</v>
      </c>
      <c r="B1890" s="1">
        <f>DATE(2014,7,31) + TIME(3,7,51)</f>
        <v>41851.13045138889</v>
      </c>
      <c r="C1890">
        <v>1377.2429199000001</v>
      </c>
      <c r="D1890">
        <v>1363.6208495999999</v>
      </c>
      <c r="E1890">
        <v>1291.2821045000001</v>
      </c>
      <c r="F1890">
        <v>1271.3520507999999</v>
      </c>
      <c r="G1890">
        <v>80</v>
      </c>
      <c r="H1890">
        <v>79.961700438999998</v>
      </c>
      <c r="I1890">
        <v>50</v>
      </c>
      <c r="J1890">
        <v>46.783626556000002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1553</v>
      </c>
      <c r="B1891" s="1">
        <f>DATE(2014,8,1) + TIME(0,0,0)</f>
        <v>41852</v>
      </c>
      <c r="C1891">
        <v>1377.1832274999999</v>
      </c>
      <c r="D1891">
        <v>1363.5697021000001</v>
      </c>
      <c r="E1891">
        <v>1291.2851562000001</v>
      </c>
      <c r="F1891">
        <v>1271.3365478999999</v>
      </c>
      <c r="G1891">
        <v>80</v>
      </c>
      <c r="H1891">
        <v>79.961700438999998</v>
      </c>
      <c r="I1891">
        <v>50</v>
      </c>
      <c r="J1891">
        <v>46.795169829999999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1554.801563</v>
      </c>
      <c r="B1892" s="1">
        <f>DATE(2014,8,2) + TIME(19,14,15)</f>
        <v>41853.801562499997</v>
      </c>
      <c r="C1892">
        <v>1377.1538086</v>
      </c>
      <c r="D1892">
        <v>1363.5443115</v>
      </c>
      <c r="E1892">
        <v>1291.2819824000001</v>
      </c>
      <c r="F1892">
        <v>1271.3242187999999</v>
      </c>
      <c r="G1892">
        <v>80</v>
      </c>
      <c r="H1892">
        <v>79.961730957</v>
      </c>
      <c r="I1892">
        <v>50</v>
      </c>
      <c r="J1892">
        <v>46.812404633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1556.656117</v>
      </c>
      <c r="B1893" s="1">
        <f>DATE(2014,8,4) + TIME(15,44,48)</f>
        <v>41855.656111111108</v>
      </c>
      <c r="C1893">
        <v>1377.09375</v>
      </c>
      <c r="D1893">
        <v>1363.4927978999999</v>
      </c>
      <c r="E1893">
        <v>1291.2869873</v>
      </c>
      <c r="F1893">
        <v>1271.3127440999999</v>
      </c>
      <c r="G1893">
        <v>80</v>
      </c>
      <c r="H1893">
        <v>79.961746215999995</v>
      </c>
      <c r="I1893">
        <v>50</v>
      </c>
      <c r="J1893">
        <v>46.841487884999999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1558.545511</v>
      </c>
      <c r="B1894" s="1">
        <f>DATE(2014,8,6) + TIME(13,5,32)</f>
        <v>41857.54550925926</v>
      </c>
      <c r="C1894">
        <v>1377.0324707</v>
      </c>
      <c r="D1894">
        <v>1363.4400635</v>
      </c>
      <c r="E1894">
        <v>1291.2945557</v>
      </c>
      <c r="F1894">
        <v>1271.3059082</v>
      </c>
      <c r="G1894">
        <v>80</v>
      </c>
      <c r="H1894">
        <v>79.961769103999998</v>
      </c>
      <c r="I1894">
        <v>50</v>
      </c>
      <c r="J1894">
        <v>46.882690429999997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1560.459251</v>
      </c>
      <c r="B1895" s="1">
        <f>DATE(2014,8,8) + TIME(11,1,19)</f>
        <v>41859.459247685183</v>
      </c>
      <c r="C1895">
        <v>1376.9707031</v>
      </c>
      <c r="D1895">
        <v>1363.3867187999999</v>
      </c>
      <c r="E1895">
        <v>1291.3055420000001</v>
      </c>
      <c r="F1895">
        <v>1271.3049315999999</v>
      </c>
      <c r="G1895">
        <v>80</v>
      </c>
      <c r="H1895">
        <v>79.961791992000002</v>
      </c>
      <c r="I1895">
        <v>50</v>
      </c>
      <c r="J1895">
        <v>46.936859130999999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1562.3774089999999</v>
      </c>
      <c r="B1896" s="1">
        <f>DATE(2014,8,10) + TIME(9,3,28)</f>
        <v>41861.37740740741</v>
      </c>
      <c r="C1896">
        <v>1376.9086914</v>
      </c>
      <c r="D1896">
        <v>1363.3331298999999</v>
      </c>
      <c r="E1896">
        <v>1291.3203125</v>
      </c>
      <c r="F1896">
        <v>1271.3109131000001</v>
      </c>
      <c r="G1896">
        <v>80</v>
      </c>
      <c r="H1896">
        <v>79.961814880000006</v>
      </c>
      <c r="I1896">
        <v>50</v>
      </c>
      <c r="J1896">
        <v>47.004783629999999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1564.304909</v>
      </c>
      <c r="B1897" s="1">
        <f>DATE(2014,8,12) + TIME(7,19,4)</f>
        <v>41863.304907407408</v>
      </c>
      <c r="C1897">
        <v>1376.847168</v>
      </c>
      <c r="D1897">
        <v>1363.2797852000001</v>
      </c>
      <c r="E1897">
        <v>1291.3389893000001</v>
      </c>
      <c r="F1897">
        <v>1271.3244629000001</v>
      </c>
      <c r="G1897">
        <v>80</v>
      </c>
      <c r="H1897">
        <v>79.961837768999999</v>
      </c>
      <c r="I1897">
        <v>50</v>
      </c>
      <c r="J1897">
        <v>47.087100982999999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1566.247073</v>
      </c>
      <c r="B1898" s="1">
        <f>DATE(2014,8,14) + TIME(5,55,47)</f>
        <v>41865.247071759259</v>
      </c>
      <c r="C1898">
        <v>1376.7860106999999</v>
      </c>
      <c r="D1898">
        <v>1363.2266846</v>
      </c>
      <c r="E1898">
        <v>1291.3616943</v>
      </c>
      <c r="F1898">
        <v>1271.3460693</v>
      </c>
      <c r="G1898">
        <v>80</v>
      </c>
      <c r="H1898">
        <v>79.961860657000003</v>
      </c>
      <c r="I1898">
        <v>50</v>
      </c>
      <c r="J1898">
        <v>47.184700012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1568.2113220000001</v>
      </c>
      <c r="B1899" s="1">
        <f>DATE(2014,8,16) + TIME(5,4,18)</f>
        <v>41867.211319444446</v>
      </c>
      <c r="C1899">
        <v>1376.7249756000001</v>
      </c>
      <c r="D1899">
        <v>1363.1735839999999</v>
      </c>
      <c r="E1899">
        <v>1291.3886719</v>
      </c>
      <c r="F1899">
        <v>1271.3763428</v>
      </c>
      <c r="G1899">
        <v>80</v>
      </c>
      <c r="H1899">
        <v>79.961883545000006</v>
      </c>
      <c r="I1899">
        <v>50</v>
      </c>
      <c r="J1899">
        <v>47.298557281000001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1570.2045430000001</v>
      </c>
      <c r="B1900" s="1">
        <f>DATE(2014,8,18) + TIME(4,54,32)</f>
        <v>41869.20453703704</v>
      </c>
      <c r="C1900">
        <v>1376.6640625</v>
      </c>
      <c r="D1900">
        <v>1363.1203613</v>
      </c>
      <c r="E1900">
        <v>1291.4201660000001</v>
      </c>
      <c r="F1900">
        <v>1271.4158935999999</v>
      </c>
      <c r="G1900">
        <v>80</v>
      </c>
      <c r="H1900">
        <v>79.961906432999996</v>
      </c>
      <c r="I1900">
        <v>50</v>
      </c>
      <c r="J1900">
        <v>47.429821013999998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1572.232289</v>
      </c>
      <c r="B1901" s="1">
        <f>DATE(2014,8,20) + TIME(5,34,29)</f>
        <v>41871.23228009259</v>
      </c>
      <c r="C1901">
        <v>1376.6027832</v>
      </c>
      <c r="D1901">
        <v>1363.0668945</v>
      </c>
      <c r="E1901">
        <v>1291.4564209</v>
      </c>
      <c r="F1901">
        <v>1271.465332</v>
      </c>
      <c r="G1901">
        <v>80</v>
      </c>
      <c r="H1901">
        <v>79.961936950999998</v>
      </c>
      <c r="I1901">
        <v>50</v>
      </c>
      <c r="J1901">
        <v>47.579654693999998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1574.300557</v>
      </c>
      <c r="B1902" s="1">
        <f>DATE(2014,8,22) + TIME(7,12,48)</f>
        <v>41873.300555555557</v>
      </c>
      <c r="C1902">
        <v>1376.5412598</v>
      </c>
      <c r="D1902">
        <v>1363.0130615</v>
      </c>
      <c r="E1902">
        <v>1291.4975586</v>
      </c>
      <c r="F1902">
        <v>1271.5251464999999</v>
      </c>
      <c r="G1902">
        <v>80</v>
      </c>
      <c r="H1902">
        <v>79.961959839000002</v>
      </c>
      <c r="I1902">
        <v>50</v>
      </c>
      <c r="J1902">
        <v>47.749153137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1576.4158620000001</v>
      </c>
      <c r="B1903" s="1">
        <f>DATE(2014,8,24) + TIME(9,58,50)</f>
        <v>41875.415856481479</v>
      </c>
      <c r="C1903">
        <v>1376.4792480000001</v>
      </c>
      <c r="D1903">
        <v>1362.9586182</v>
      </c>
      <c r="E1903">
        <v>1291.5438231999999</v>
      </c>
      <c r="F1903">
        <v>1271.5959473</v>
      </c>
      <c r="G1903">
        <v>80</v>
      </c>
      <c r="H1903">
        <v>79.961982727000006</v>
      </c>
      <c r="I1903">
        <v>50</v>
      </c>
      <c r="J1903">
        <v>47.939361572000003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1578.5852279999999</v>
      </c>
      <c r="B1904" s="1">
        <f>DATE(2014,8,26) + TIME(14,2,43)</f>
        <v>41877.585219907407</v>
      </c>
      <c r="C1904">
        <v>1376.4167480000001</v>
      </c>
      <c r="D1904">
        <v>1362.9036865</v>
      </c>
      <c r="E1904">
        <v>1291.5953368999999</v>
      </c>
      <c r="F1904">
        <v>1271.6784668</v>
      </c>
      <c r="G1904">
        <v>80</v>
      </c>
      <c r="H1904">
        <v>79.962013244999994</v>
      </c>
      <c r="I1904">
        <v>50</v>
      </c>
      <c r="J1904">
        <v>48.151248932000001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1580.800414</v>
      </c>
      <c r="B1905" s="1">
        <f>DATE(2014,8,28) + TIME(19,12,35)</f>
        <v>41879.800405092596</v>
      </c>
      <c r="C1905">
        <v>1376.3535156</v>
      </c>
      <c r="D1905">
        <v>1362.8481445</v>
      </c>
      <c r="E1905">
        <v>1291.6524658000001</v>
      </c>
      <c r="F1905">
        <v>1271.7729492000001</v>
      </c>
      <c r="G1905">
        <v>80</v>
      </c>
      <c r="H1905">
        <v>79.962043761999993</v>
      </c>
      <c r="I1905">
        <v>50</v>
      </c>
      <c r="J1905">
        <v>48.385231017999999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1583.045858</v>
      </c>
      <c r="B1906" s="1">
        <f>DATE(2014,8,31) + TIME(1,6,2)</f>
        <v>41882.045856481483</v>
      </c>
      <c r="C1906">
        <v>1376.2899170000001</v>
      </c>
      <c r="D1906">
        <v>1362.7921143000001</v>
      </c>
      <c r="E1906">
        <v>1291.7148437999999</v>
      </c>
      <c r="F1906">
        <v>1271.8791504000001</v>
      </c>
      <c r="G1906">
        <v>80</v>
      </c>
      <c r="H1906">
        <v>79.962074279999996</v>
      </c>
      <c r="I1906">
        <v>50</v>
      </c>
      <c r="J1906">
        <v>48.640285491999997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1584</v>
      </c>
      <c r="B1907" s="1">
        <f>DATE(2014,9,1) + TIME(0,0,0)</f>
        <v>41883</v>
      </c>
      <c r="C1907">
        <v>1376.2268065999999</v>
      </c>
      <c r="D1907">
        <v>1362.7366943</v>
      </c>
      <c r="E1907">
        <v>1291.7897949000001</v>
      </c>
      <c r="F1907">
        <v>1271.9852295000001</v>
      </c>
      <c r="G1907">
        <v>80</v>
      </c>
      <c r="H1907">
        <v>79.962074279999996</v>
      </c>
      <c r="I1907">
        <v>50</v>
      </c>
      <c r="J1907">
        <v>48.840538025000001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1586.2791130000001</v>
      </c>
      <c r="B1908" s="1">
        <f>DATE(2014,9,3) + TIME(6,41,55)</f>
        <v>41885.279108796298</v>
      </c>
      <c r="C1908">
        <v>1376.1998291</v>
      </c>
      <c r="D1908">
        <v>1362.7126464999999</v>
      </c>
      <c r="E1908">
        <v>1291.8122559000001</v>
      </c>
      <c r="F1908">
        <v>1272.0587158000001</v>
      </c>
      <c r="G1908">
        <v>80</v>
      </c>
      <c r="H1908">
        <v>79.962112426999994</v>
      </c>
      <c r="I1908">
        <v>50</v>
      </c>
      <c r="J1908">
        <v>49.058898925999998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1588.6305010000001</v>
      </c>
      <c r="B1909" s="1">
        <f>DATE(2014,9,5) + TIME(15,7,55)</f>
        <v>41887.630497685182</v>
      </c>
      <c r="C1909">
        <v>1376.1374512</v>
      </c>
      <c r="D1909">
        <v>1362.6577147999999</v>
      </c>
      <c r="E1909">
        <v>1291.8836670000001</v>
      </c>
      <c r="F1909">
        <v>1272.1821289</v>
      </c>
      <c r="G1909">
        <v>80</v>
      </c>
      <c r="H1909">
        <v>79.962142943999993</v>
      </c>
      <c r="I1909">
        <v>50</v>
      </c>
      <c r="J1909">
        <v>49.340335846000002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1591.0366489999999</v>
      </c>
      <c r="B1910" s="1">
        <f>DATE(2014,9,8) + TIME(0,52,46)</f>
        <v>41890.036643518521</v>
      </c>
      <c r="C1910">
        <v>1376.0740966999999</v>
      </c>
      <c r="D1910">
        <v>1362.6018065999999</v>
      </c>
      <c r="E1910">
        <v>1291.9602050999999</v>
      </c>
      <c r="F1910">
        <v>1272.3211670000001</v>
      </c>
      <c r="G1910">
        <v>80</v>
      </c>
      <c r="H1910">
        <v>79.962181091000005</v>
      </c>
      <c r="I1910">
        <v>50</v>
      </c>
      <c r="J1910">
        <v>49.652675629000001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1593.4960309999999</v>
      </c>
      <c r="B1911" s="1">
        <f>DATE(2014,9,10) + TIME(11,54,17)</f>
        <v>41892.496030092596</v>
      </c>
      <c r="C1911">
        <v>1376.0107422000001</v>
      </c>
      <c r="D1911">
        <v>1362.5457764</v>
      </c>
      <c r="E1911">
        <v>1292.0407714999999</v>
      </c>
      <c r="F1911">
        <v>1272.4707031</v>
      </c>
      <c r="G1911">
        <v>80</v>
      </c>
      <c r="H1911">
        <v>79.962211608999993</v>
      </c>
      <c r="I1911">
        <v>50</v>
      </c>
      <c r="J1911">
        <v>49.984340668000002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1595.992358</v>
      </c>
      <c r="B1912" s="1">
        <f>DATE(2014,9,12) + TIME(23,48,59)</f>
        <v>41894.992349537039</v>
      </c>
      <c r="C1912">
        <v>1375.9473877</v>
      </c>
      <c r="D1912">
        <v>1362.4897461</v>
      </c>
      <c r="E1912">
        <v>1292.1243896000001</v>
      </c>
      <c r="F1912">
        <v>1272.6281738</v>
      </c>
      <c r="G1912">
        <v>80</v>
      </c>
      <c r="H1912">
        <v>79.962249756000006</v>
      </c>
      <c r="I1912">
        <v>50</v>
      </c>
      <c r="J1912">
        <v>50.329589843999997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1598.520334</v>
      </c>
      <c r="B1913" s="1">
        <f>DATE(2014,9,15) + TIME(12,29,16)</f>
        <v>41897.520324074074</v>
      </c>
      <c r="C1913">
        <v>1375.8846435999999</v>
      </c>
      <c r="D1913">
        <v>1362.4343262</v>
      </c>
      <c r="E1913">
        <v>1292.2098389</v>
      </c>
      <c r="F1913">
        <v>1272.7908935999999</v>
      </c>
      <c r="G1913">
        <v>80</v>
      </c>
      <c r="H1913">
        <v>79.962280273000005</v>
      </c>
      <c r="I1913">
        <v>50</v>
      </c>
      <c r="J1913">
        <v>50.683597564999999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1601.070322</v>
      </c>
      <c r="B1914" s="1">
        <f>DATE(2014,9,18) + TIME(1,41,15)</f>
        <v>41900.0703125</v>
      </c>
      <c r="C1914">
        <v>1375.8227539</v>
      </c>
      <c r="D1914">
        <v>1362.3796387</v>
      </c>
      <c r="E1914">
        <v>1292.2962646000001</v>
      </c>
      <c r="F1914">
        <v>1272.9570312000001</v>
      </c>
      <c r="G1914">
        <v>80</v>
      </c>
      <c r="H1914">
        <v>79.962318420000003</v>
      </c>
      <c r="I1914">
        <v>50</v>
      </c>
      <c r="J1914">
        <v>51.042419434000003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1603.64842</v>
      </c>
      <c r="B1915" s="1">
        <f>DATE(2014,9,20) + TIME(15,33,43)</f>
        <v>41902.648414351854</v>
      </c>
      <c r="C1915">
        <v>1375.7620850000001</v>
      </c>
      <c r="D1915">
        <v>1362.3260498</v>
      </c>
      <c r="E1915">
        <v>1292.3825684000001</v>
      </c>
      <c r="F1915">
        <v>1273.1241454999999</v>
      </c>
      <c r="G1915">
        <v>80</v>
      </c>
      <c r="H1915">
        <v>79.962348938000005</v>
      </c>
      <c r="I1915">
        <v>50</v>
      </c>
      <c r="J1915">
        <v>51.402610779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1606.2612590000001</v>
      </c>
      <c r="B1916" s="1">
        <f>DATE(2014,9,23) + TIME(6,16,12)</f>
        <v>41905.261250000003</v>
      </c>
      <c r="C1916">
        <v>1375.7023925999999</v>
      </c>
      <c r="D1916">
        <v>1362.2733154</v>
      </c>
      <c r="E1916">
        <v>1292.4681396000001</v>
      </c>
      <c r="F1916">
        <v>1273.2911377</v>
      </c>
      <c r="G1916">
        <v>80</v>
      </c>
      <c r="H1916">
        <v>79.962387085000003</v>
      </c>
      <c r="I1916">
        <v>50</v>
      </c>
      <c r="J1916">
        <v>51.762252808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1608.9125309999999</v>
      </c>
      <c r="B1917" s="1">
        <f>DATE(2014,9,25) + TIME(21,54,2)</f>
        <v>41907.912523148145</v>
      </c>
      <c r="C1917">
        <v>1375.6435547000001</v>
      </c>
      <c r="D1917">
        <v>1362.2214355000001</v>
      </c>
      <c r="E1917">
        <v>1292.5526123</v>
      </c>
      <c r="F1917">
        <v>1273.4569091999999</v>
      </c>
      <c r="G1917">
        <v>80</v>
      </c>
      <c r="H1917">
        <v>79.962425232000001</v>
      </c>
      <c r="I1917">
        <v>50</v>
      </c>
      <c r="J1917">
        <v>52.119468689000001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1611.588667</v>
      </c>
      <c r="B1918" s="1">
        <f>DATE(2014,9,28) + TIME(14,7,40)</f>
        <v>41910.58865740741</v>
      </c>
      <c r="C1918">
        <v>1375.5856934000001</v>
      </c>
      <c r="D1918">
        <v>1362.1704102000001</v>
      </c>
      <c r="E1918">
        <v>1292.6356201000001</v>
      </c>
      <c r="F1918">
        <v>1273.6202393000001</v>
      </c>
      <c r="G1918">
        <v>80</v>
      </c>
      <c r="H1918">
        <v>79.962463378999999</v>
      </c>
      <c r="I1918">
        <v>50</v>
      </c>
      <c r="J1918">
        <v>52.472335815000001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1614</v>
      </c>
      <c r="B1919" s="1">
        <f>DATE(2014,10,1) + TIME(0,0,0)</f>
        <v>41913</v>
      </c>
      <c r="C1919">
        <v>1375.5291748</v>
      </c>
      <c r="D1919">
        <v>1362.1204834</v>
      </c>
      <c r="E1919">
        <v>1292.7166748</v>
      </c>
      <c r="F1919">
        <v>1273.7775879000001</v>
      </c>
      <c r="G1919">
        <v>80</v>
      </c>
      <c r="H1919">
        <v>79.962493895999998</v>
      </c>
      <c r="I1919">
        <v>50</v>
      </c>
      <c r="J1919">
        <v>52.808811188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1616.7115429999999</v>
      </c>
      <c r="B1920" s="1">
        <f>DATE(2014,10,3) + TIME(17,4,37)</f>
        <v>41915.711539351854</v>
      </c>
      <c r="C1920">
        <v>1375.4796143000001</v>
      </c>
      <c r="D1920">
        <v>1362.0769043</v>
      </c>
      <c r="E1920">
        <v>1292.7862548999999</v>
      </c>
      <c r="F1920">
        <v>1273.9205322</v>
      </c>
      <c r="G1920">
        <v>80</v>
      </c>
      <c r="H1920">
        <v>79.962532042999996</v>
      </c>
      <c r="I1920">
        <v>50</v>
      </c>
      <c r="J1920">
        <v>53.125202178999999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1619.503387</v>
      </c>
      <c r="B1921" s="1">
        <f>DATE(2014,10,6) + TIME(12,4,52)</f>
        <v>41918.503379629627</v>
      </c>
      <c r="C1921">
        <v>1375.4255370999999</v>
      </c>
      <c r="D1921">
        <v>1362.0292969</v>
      </c>
      <c r="E1921">
        <v>1292.8598632999999</v>
      </c>
      <c r="F1921">
        <v>1274.0664062000001</v>
      </c>
      <c r="G1921">
        <v>80</v>
      </c>
      <c r="H1921">
        <v>79.962577820000007</v>
      </c>
      <c r="I1921">
        <v>50</v>
      </c>
      <c r="J1921">
        <v>53.448825835999997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1622.3492450000001</v>
      </c>
      <c r="B1922" s="1">
        <f>DATE(2014,10,9) + TIME(8,22,54)</f>
        <v>41921.349236111113</v>
      </c>
      <c r="C1922">
        <v>1375.371582</v>
      </c>
      <c r="D1922">
        <v>1361.9818115</v>
      </c>
      <c r="E1922">
        <v>1292.9318848</v>
      </c>
      <c r="F1922">
        <v>1274.2100829999999</v>
      </c>
      <c r="G1922">
        <v>80</v>
      </c>
      <c r="H1922">
        <v>79.962615967000005</v>
      </c>
      <c r="I1922">
        <v>50</v>
      </c>
      <c r="J1922">
        <v>53.769920349000003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1625.2588040000001</v>
      </c>
      <c r="B1923" s="1">
        <f>DATE(2014,10,12) + TIME(6,12,40)</f>
        <v>41924.258796296293</v>
      </c>
      <c r="C1923">
        <v>1375.3183594</v>
      </c>
      <c r="D1923">
        <v>1361.9349365</v>
      </c>
      <c r="E1923">
        <v>1293.0009766000001</v>
      </c>
      <c r="F1923">
        <v>1274.3487548999999</v>
      </c>
      <c r="G1923">
        <v>80</v>
      </c>
      <c r="H1923">
        <v>79.962661742999998</v>
      </c>
      <c r="I1923">
        <v>50</v>
      </c>
      <c r="J1923">
        <v>54.083824157999999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1628.2419729999999</v>
      </c>
      <c r="B1924" s="1">
        <f>DATE(2014,10,15) + TIME(5,48,26)</f>
        <v>41927.241967592592</v>
      </c>
      <c r="C1924">
        <v>1375.265625</v>
      </c>
      <c r="D1924">
        <v>1361.8886719</v>
      </c>
      <c r="E1924">
        <v>1293.0668945</v>
      </c>
      <c r="F1924">
        <v>1274.4818115</v>
      </c>
      <c r="G1924">
        <v>80</v>
      </c>
      <c r="H1924">
        <v>79.962699889999996</v>
      </c>
      <c r="I1924">
        <v>50</v>
      </c>
      <c r="J1924">
        <v>54.389656066999997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1631.309487</v>
      </c>
      <c r="B1925" s="1">
        <f>DATE(2014,10,18) + TIME(7,25,39)</f>
        <v>41930.309479166666</v>
      </c>
      <c r="C1925">
        <v>1375.2132568</v>
      </c>
      <c r="D1925">
        <v>1361.8427733999999</v>
      </c>
      <c r="E1925">
        <v>1293.1297606999999</v>
      </c>
      <c r="F1925">
        <v>1274.6090088000001</v>
      </c>
      <c r="G1925">
        <v>80</v>
      </c>
      <c r="H1925">
        <v>79.962745666999993</v>
      </c>
      <c r="I1925">
        <v>50</v>
      </c>
      <c r="J1925">
        <v>54.687187195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1634.4115670000001</v>
      </c>
      <c r="B1926" s="1">
        <f>DATE(2014,10,21) + TIME(9,52,39)</f>
        <v>41933.411562499998</v>
      </c>
      <c r="C1926">
        <v>1375.1611327999999</v>
      </c>
      <c r="D1926">
        <v>1361.7969971</v>
      </c>
      <c r="E1926">
        <v>1293.1894531</v>
      </c>
      <c r="F1926">
        <v>1274.7301024999999</v>
      </c>
      <c r="G1926">
        <v>80</v>
      </c>
      <c r="H1926">
        <v>79.962791443</v>
      </c>
      <c r="I1926">
        <v>50</v>
      </c>
      <c r="J1926">
        <v>54.975597381999997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1637.5557510000001</v>
      </c>
      <c r="B1927" s="1">
        <f>DATE(2014,10,24) + TIME(13,20,16)</f>
        <v>41936.55574074074</v>
      </c>
      <c r="C1927">
        <v>1375.1101074000001</v>
      </c>
      <c r="D1927">
        <v>1361.7523193</v>
      </c>
      <c r="E1927">
        <v>1293.2449951000001</v>
      </c>
      <c r="F1927">
        <v>1274.84375</v>
      </c>
      <c r="G1927">
        <v>80</v>
      </c>
      <c r="H1927">
        <v>79.962837218999994</v>
      </c>
      <c r="I1927">
        <v>50</v>
      </c>
      <c r="J1927">
        <v>55.251934052000003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1640.7417170000001</v>
      </c>
      <c r="B1928" s="1">
        <f>DATE(2014,10,27) + TIME(17,48,4)</f>
        <v>41939.741712962961</v>
      </c>
      <c r="C1928">
        <v>1375.0601807</v>
      </c>
      <c r="D1928">
        <v>1361.7084961</v>
      </c>
      <c r="E1928">
        <v>1293.2965088000001</v>
      </c>
      <c r="F1928">
        <v>1274.949707</v>
      </c>
      <c r="G1928">
        <v>80</v>
      </c>
      <c r="H1928">
        <v>79.962882996000005</v>
      </c>
      <c r="I1928">
        <v>50</v>
      </c>
      <c r="J1928">
        <v>55.515953064000001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1643.971423</v>
      </c>
      <c r="B1929" s="1">
        <f>DATE(2014,10,30) + TIME(23,18,50)</f>
        <v>41942.971412037034</v>
      </c>
      <c r="C1929">
        <v>1375.0111084</v>
      </c>
      <c r="D1929">
        <v>1361.6655272999999</v>
      </c>
      <c r="E1929">
        <v>1293.3439940999999</v>
      </c>
      <c r="F1929">
        <v>1275.0482178</v>
      </c>
      <c r="G1929">
        <v>80</v>
      </c>
      <c r="H1929">
        <v>79.962928771999998</v>
      </c>
      <c r="I1929">
        <v>50</v>
      </c>
      <c r="J1929">
        <v>55.768093108999999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1645</v>
      </c>
      <c r="B1930" s="1">
        <f>DATE(2014,11,1) + TIME(0,0,0)</f>
        <v>41944</v>
      </c>
      <c r="C1930">
        <v>1374.9632568</v>
      </c>
      <c r="D1930">
        <v>1361.6237793</v>
      </c>
      <c r="E1930">
        <v>1293.3923339999999</v>
      </c>
      <c r="F1930">
        <v>1275.1270752</v>
      </c>
      <c r="G1930">
        <v>80</v>
      </c>
      <c r="H1930">
        <v>79.962936400999993</v>
      </c>
      <c r="I1930">
        <v>50</v>
      </c>
      <c r="J1930">
        <v>55.936630248999997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1645.0000010000001</v>
      </c>
      <c r="B1931" s="1">
        <f>DATE(2014,11,1) + TIME(0,0,0)</f>
        <v>41944</v>
      </c>
      <c r="C1931">
        <v>1360.7519531</v>
      </c>
      <c r="D1931">
        <v>1348.777832</v>
      </c>
      <c r="E1931">
        <v>1312.7905272999999</v>
      </c>
      <c r="F1931">
        <v>1294.3134766000001</v>
      </c>
      <c r="G1931">
        <v>80</v>
      </c>
      <c r="H1931">
        <v>79.962806701999995</v>
      </c>
      <c r="I1931">
        <v>50</v>
      </c>
      <c r="J1931">
        <v>55.936744689999998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1645.000004</v>
      </c>
      <c r="B1932" s="1">
        <f>DATE(2014,11,1) + TIME(0,0,0)</f>
        <v>41944</v>
      </c>
      <c r="C1932">
        <v>1358.5491943</v>
      </c>
      <c r="D1932">
        <v>1346.574707</v>
      </c>
      <c r="E1932">
        <v>1315.1390381000001</v>
      </c>
      <c r="F1932">
        <v>1296.7492675999999</v>
      </c>
      <c r="G1932">
        <v>80</v>
      </c>
      <c r="H1932">
        <v>79.962493895999998</v>
      </c>
      <c r="I1932">
        <v>50</v>
      </c>
      <c r="J1932">
        <v>55.937038422000001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1645.0000130000001</v>
      </c>
      <c r="B1933" s="1">
        <f>DATE(2014,11,1) + TIME(0,0,1)</f>
        <v>41944.000011574077</v>
      </c>
      <c r="C1933">
        <v>1354.1030272999999</v>
      </c>
      <c r="D1933">
        <v>1342.1280518000001</v>
      </c>
      <c r="E1933">
        <v>1320.3822021000001</v>
      </c>
      <c r="F1933">
        <v>1302.1245117000001</v>
      </c>
      <c r="G1933">
        <v>80</v>
      </c>
      <c r="H1933">
        <v>79.961860657000003</v>
      </c>
      <c r="I1933">
        <v>50</v>
      </c>
      <c r="J1933">
        <v>55.937671661000003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1645.0000399999999</v>
      </c>
      <c r="B1934" s="1">
        <f>DATE(2014,11,1) + TIME(0,0,3)</f>
        <v>41944.000034722223</v>
      </c>
      <c r="C1934">
        <v>1347.6079102000001</v>
      </c>
      <c r="D1934">
        <v>1335.6345214999999</v>
      </c>
      <c r="E1934">
        <v>1328.9927978999999</v>
      </c>
      <c r="F1934">
        <v>1310.7900391000001</v>
      </c>
      <c r="G1934">
        <v>80</v>
      </c>
      <c r="H1934">
        <v>79.9609375</v>
      </c>
      <c r="I1934">
        <v>50</v>
      </c>
      <c r="J1934">
        <v>55.938591002999999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1645.000121</v>
      </c>
      <c r="B1935" s="1">
        <f>DATE(2014,11,1) + TIME(0,0,10)</f>
        <v>41944.000115740739</v>
      </c>
      <c r="C1935">
        <v>1340.3804932</v>
      </c>
      <c r="D1935">
        <v>1328.4113769999999</v>
      </c>
      <c r="E1935">
        <v>1339.4589844</v>
      </c>
      <c r="F1935">
        <v>1321.2401123</v>
      </c>
      <c r="G1935">
        <v>80</v>
      </c>
      <c r="H1935">
        <v>79.959899902000004</v>
      </c>
      <c r="I1935">
        <v>50</v>
      </c>
      <c r="J1935">
        <v>55.939338683999999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1645.000364</v>
      </c>
      <c r="B1936" s="1">
        <f>DATE(2014,11,1) + TIME(0,0,31)</f>
        <v>41944.000358796293</v>
      </c>
      <c r="C1936">
        <v>1333.1166992000001</v>
      </c>
      <c r="D1936">
        <v>1321.1508789</v>
      </c>
      <c r="E1936">
        <v>1350.4086914</v>
      </c>
      <c r="F1936">
        <v>1332.1721190999999</v>
      </c>
      <c r="G1936">
        <v>80</v>
      </c>
      <c r="H1936">
        <v>79.958824157999999</v>
      </c>
      <c r="I1936">
        <v>50</v>
      </c>
      <c r="J1936">
        <v>55.938930511000002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1645.0010930000001</v>
      </c>
      <c r="B1937" s="1">
        <f>DATE(2014,11,1) + TIME(0,1,34)</f>
        <v>41944.001087962963</v>
      </c>
      <c r="C1937">
        <v>1325.8706055</v>
      </c>
      <c r="D1937">
        <v>1313.8687743999999</v>
      </c>
      <c r="E1937">
        <v>1361.5509033000001</v>
      </c>
      <c r="F1937">
        <v>1343.2797852000001</v>
      </c>
      <c r="G1937">
        <v>80</v>
      </c>
      <c r="H1937">
        <v>79.957672118999994</v>
      </c>
      <c r="I1937">
        <v>50</v>
      </c>
      <c r="J1937">
        <v>55.934894561999997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1645.0032799999999</v>
      </c>
      <c r="B1938" s="1">
        <f>DATE(2014,11,1) + TIME(0,4,43)</f>
        <v>41944.003275462965</v>
      </c>
      <c r="C1938">
        <v>1318.8840332</v>
      </c>
      <c r="D1938">
        <v>1306.7470702999999</v>
      </c>
      <c r="E1938">
        <v>1372.3369141000001</v>
      </c>
      <c r="F1938">
        <v>1353.9768065999999</v>
      </c>
      <c r="G1938">
        <v>80</v>
      </c>
      <c r="H1938">
        <v>79.956298828000001</v>
      </c>
      <c r="I1938">
        <v>50</v>
      </c>
      <c r="J1938">
        <v>55.919826508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1645.0098410000001</v>
      </c>
      <c r="B1939" s="1">
        <f>DATE(2014,11,1) + TIME(0,14,10)</f>
        <v>41944.009837962964</v>
      </c>
      <c r="C1939">
        <v>1312.9519043</v>
      </c>
      <c r="D1939">
        <v>1300.6737060999999</v>
      </c>
      <c r="E1939">
        <v>1381.1645507999999</v>
      </c>
      <c r="F1939">
        <v>1362.6811522999999</v>
      </c>
      <c r="G1939">
        <v>80</v>
      </c>
      <c r="H1939">
        <v>79.954307556000003</v>
      </c>
      <c r="I1939">
        <v>50</v>
      </c>
      <c r="J1939">
        <v>55.871704102000002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1645.029524</v>
      </c>
      <c r="B1940" s="1">
        <f>DATE(2014,11,1) + TIME(0,42,30)</f>
        <v>41944.029513888891</v>
      </c>
      <c r="C1940">
        <v>1308.9075928</v>
      </c>
      <c r="D1940">
        <v>1296.5751952999999</v>
      </c>
      <c r="E1940">
        <v>1386.5791016000001</v>
      </c>
      <c r="F1940">
        <v>1367.9858397999999</v>
      </c>
      <c r="G1940">
        <v>80</v>
      </c>
      <c r="H1940">
        <v>79.950340271000002</v>
      </c>
      <c r="I1940">
        <v>50</v>
      </c>
      <c r="J1940">
        <v>55.727733612000002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1645.088573</v>
      </c>
      <c r="B1941" s="1">
        <f>DATE(2014,11,1) + TIME(2,7,32)</f>
        <v>41944.088564814818</v>
      </c>
      <c r="C1941">
        <v>1307.0310059000001</v>
      </c>
      <c r="D1941">
        <v>1294.6889647999999</v>
      </c>
      <c r="E1941">
        <v>1388.6611327999999</v>
      </c>
      <c r="F1941">
        <v>1369.9499512</v>
      </c>
      <c r="G1941">
        <v>80</v>
      </c>
      <c r="H1941">
        <v>79.940399170000006</v>
      </c>
      <c r="I1941">
        <v>50</v>
      </c>
      <c r="J1941">
        <v>55.324497223000002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1645.1764089999999</v>
      </c>
      <c r="B1942" s="1">
        <f>DATE(2014,11,1) + TIME(4,14,1)</f>
        <v>41944.176400462966</v>
      </c>
      <c r="C1942">
        <v>1306.6043701000001</v>
      </c>
      <c r="D1942">
        <v>1294.2612305</v>
      </c>
      <c r="E1942">
        <v>1389.0391846</v>
      </c>
      <c r="F1942">
        <v>1370.2138672000001</v>
      </c>
      <c r="G1942">
        <v>80</v>
      </c>
      <c r="H1942">
        <v>79.926620482999994</v>
      </c>
      <c r="I1942">
        <v>50</v>
      </c>
      <c r="J1942">
        <v>54.786258697999997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1645.2751949999999</v>
      </c>
      <c r="B1943" s="1">
        <f>DATE(2014,11,1) + TIME(6,36,16)</f>
        <v>41944.275185185186</v>
      </c>
      <c r="C1943">
        <v>1306.5184326000001</v>
      </c>
      <c r="D1943">
        <v>1294.1750488</v>
      </c>
      <c r="E1943">
        <v>1389.1298827999999</v>
      </c>
      <c r="F1943">
        <v>1370.2005615</v>
      </c>
      <c r="G1943">
        <v>80</v>
      </c>
      <c r="H1943">
        <v>79.911712645999998</v>
      </c>
      <c r="I1943">
        <v>50</v>
      </c>
      <c r="J1943">
        <v>54.250251769999998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1645.3877560000001</v>
      </c>
      <c r="B1944" s="1">
        <f>DATE(2014,11,1) + TIME(9,18,22)</f>
        <v>41944.387754629628</v>
      </c>
      <c r="C1944">
        <v>1306.4960937999999</v>
      </c>
      <c r="D1944">
        <v>1294.1525879000001</v>
      </c>
      <c r="E1944">
        <v>1389.1990966999999</v>
      </c>
      <c r="F1944">
        <v>1370.166626</v>
      </c>
      <c r="G1944">
        <v>80</v>
      </c>
      <c r="H1944">
        <v>79.895362853999998</v>
      </c>
      <c r="I1944">
        <v>50</v>
      </c>
      <c r="J1944">
        <v>53.717590332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1645.517967</v>
      </c>
      <c r="B1945" s="1">
        <f>DATE(2014,11,1) + TIME(12,25,52)</f>
        <v>41944.517962962964</v>
      </c>
      <c r="C1945">
        <v>1306.4862060999999</v>
      </c>
      <c r="D1945">
        <v>1294.1425781</v>
      </c>
      <c r="E1945">
        <v>1389.2701416</v>
      </c>
      <c r="F1945">
        <v>1370.1356201000001</v>
      </c>
      <c r="G1945">
        <v>80</v>
      </c>
      <c r="H1945">
        <v>79.877227782999995</v>
      </c>
      <c r="I1945">
        <v>50</v>
      </c>
      <c r="J1945">
        <v>53.190265656000001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1645.6595050000001</v>
      </c>
      <c r="B1946" s="1">
        <f>DATE(2014,11,1) + TIME(15,49,41)</f>
        <v>41944.659502314818</v>
      </c>
      <c r="C1946">
        <v>1306.4783935999999</v>
      </c>
      <c r="D1946">
        <v>1294.1345214999999</v>
      </c>
      <c r="E1946">
        <v>1389.3344727000001</v>
      </c>
      <c r="F1946">
        <v>1370.1075439000001</v>
      </c>
      <c r="G1946">
        <v>80</v>
      </c>
      <c r="H1946">
        <v>79.858161925999994</v>
      </c>
      <c r="I1946">
        <v>50</v>
      </c>
      <c r="J1946">
        <v>52.705402374000002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1645.8039100000001</v>
      </c>
      <c r="B1947" s="1">
        <f>DATE(2014,11,1) + TIME(19,17,37)</f>
        <v>41944.803900462961</v>
      </c>
      <c r="C1947">
        <v>1306.4707031</v>
      </c>
      <c r="D1947">
        <v>1294.1265868999999</v>
      </c>
      <c r="E1947">
        <v>1389.3889160000001</v>
      </c>
      <c r="F1947">
        <v>1370.0838623</v>
      </c>
      <c r="G1947">
        <v>80</v>
      </c>
      <c r="H1947">
        <v>79.839157103999995</v>
      </c>
      <c r="I1947">
        <v>50</v>
      </c>
      <c r="J1947">
        <v>52.287887572999999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1645.952988</v>
      </c>
      <c r="B1948" s="1">
        <f>DATE(2014,11,1) + TIME(22,52,18)</f>
        <v>41944.952986111108</v>
      </c>
      <c r="C1948">
        <v>1306.4630127</v>
      </c>
      <c r="D1948">
        <v>1294.1186522999999</v>
      </c>
      <c r="E1948">
        <v>1389.4378661999999</v>
      </c>
      <c r="F1948">
        <v>1370.0649414</v>
      </c>
      <c r="G1948">
        <v>80</v>
      </c>
      <c r="H1948">
        <v>79.819984435999999</v>
      </c>
      <c r="I1948">
        <v>50</v>
      </c>
      <c r="J1948">
        <v>51.925621032999999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1646.107755</v>
      </c>
      <c r="B1949" s="1">
        <f>DATE(2014,11,2) + TIME(2,35,9)</f>
        <v>41945.107743055552</v>
      </c>
      <c r="C1949">
        <v>1306.4553223</v>
      </c>
      <c r="D1949">
        <v>1294.1104736</v>
      </c>
      <c r="E1949">
        <v>1389.4815673999999</v>
      </c>
      <c r="F1949">
        <v>1370.0501709</v>
      </c>
      <c r="G1949">
        <v>80</v>
      </c>
      <c r="H1949">
        <v>79.800514221</v>
      </c>
      <c r="I1949">
        <v>50</v>
      </c>
      <c r="J1949">
        <v>51.611186981000003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1646.2693750000001</v>
      </c>
      <c r="B1950" s="1">
        <f>DATE(2014,11,2) + TIME(6,27,53)</f>
        <v>41945.269363425927</v>
      </c>
      <c r="C1950">
        <v>1306.4473877</v>
      </c>
      <c r="D1950">
        <v>1294.1021728999999</v>
      </c>
      <c r="E1950">
        <v>1389.5206298999999</v>
      </c>
      <c r="F1950">
        <v>1370.0389404</v>
      </c>
      <c r="G1950">
        <v>80</v>
      </c>
      <c r="H1950">
        <v>79.780616760000001</v>
      </c>
      <c r="I1950">
        <v>50</v>
      </c>
      <c r="J1950">
        <v>51.338436127000001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1646.439134</v>
      </c>
      <c r="B1951" s="1">
        <f>DATE(2014,11,2) + TIME(10,32,21)</f>
        <v>41945.439131944448</v>
      </c>
      <c r="C1951">
        <v>1306.4392089999999</v>
      </c>
      <c r="D1951">
        <v>1294.0933838000001</v>
      </c>
      <c r="E1951">
        <v>1389.5556641000001</v>
      </c>
      <c r="F1951">
        <v>1370.0311279</v>
      </c>
      <c r="G1951">
        <v>80</v>
      </c>
      <c r="H1951">
        <v>79.760154724000003</v>
      </c>
      <c r="I1951">
        <v>50</v>
      </c>
      <c r="J1951">
        <v>51.102317810000002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1646.618475</v>
      </c>
      <c r="B1952" s="1">
        <f>DATE(2014,11,2) + TIME(14,50,36)</f>
        <v>41945.618472222224</v>
      </c>
      <c r="C1952">
        <v>1306.4306641000001</v>
      </c>
      <c r="D1952">
        <v>1294.0842285000001</v>
      </c>
      <c r="E1952">
        <v>1389.5872803</v>
      </c>
      <c r="F1952">
        <v>1370.0261230000001</v>
      </c>
      <c r="G1952">
        <v>80</v>
      </c>
      <c r="H1952">
        <v>79.738983153999996</v>
      </c>
      <c r="I1952">
        <v>50</v>
      </c>
      <c r="J1952">
        <v>50.898616791000002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1646.809113</v>
      </c>
      <c r="B1953" s="1">
        <f>DATE(2014,11,2) + TIME(19,25,7)</f>
        <v>41945.809108796297</v>
      </c>
      <c r="C1953">
        <v>1306.4217529</v>
      </c>
      <c r="D1953">
        <v>1294.074707</v>
      </c>
      <c r="E1953">
        <v>1389.6159668</v>
      </c>
      <c r="F1953">
        <v>1370.0240478999999</v>
      </c>
      <c r="G1953">
        <v>80</v>
      </c>
      <c r="H1953">
        <v>79.716926575000002</v>
      </c>
      <c r="I1953">
        <v>50</v>
      </c>
      <c r="J1953">
        <v>50.723701476999999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1647.013103</v>
      </c>
      <c r="B1954" s="1">
        <f>DATE(2014,11,3) + TIME(0,18,52)</f>
        <v>41946.013101851851</v>
      </c>
      <c r="C1954">
        <v>1306.4124756000001</v>
      </c>
      <c r="D1954">
        <v>1294.0645752</v>
      </c>
      <c r="E1954">
        <v>1389.6419678</v>
      </c>
      <c r="F1954">
        <v>1370.0245361</v>
      </c>
      <c r="G1954">
        <v>80</v>
      </c>
      <c r="H1954">
        <v>79.693809509000005</v>
      </c>
      <c r="I1954">
        <v>50</v>
      </c>
      <c r="J1954">
        <v>50.574436188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1647.2329460000001</v>
      </c>
      <c r="B1955" s="1">
        <f>DATE(2014,11,3) + TIME(5,35,26)</f>
        <v>41946.232939814814</v>
      </c>
      <c r="C1955">
        <v>1306.4025879000001</v>
      </c>
      <c r="D1955">
        <v>1294.0538329999999</v>
      </c>
      <c r="E1955">
        <v>1389.6658935999999</v>
      </c>
      <c r="F1955">
        <v>1370.0274658000001</v>
      </c>
      <c r="G1955">
        <v>80</v>
      </c>
      <c r="H1955">
        <v>79.669387817</v>
      </c>
      <c r="I1955">
        <v>50</v>
      </c>
      <c r="J1955">
        <v>50.448055267000001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1647.471683</v>
      </c>
      <c r="B1956" s="1">
        <f>DATE(2014,11,3) + TIME(11,19,13)</f>
        <v>41946.471678240741</v>
      </c>
      <c r="C1956">
        <v>1306.3920897999999</v>
      </c>
      <c r="D1956">
        <v>1294.0423584</v>
      </c>
      <c r="E1956">
        <v>1389.6879882999999</v>
      </c>
      <c r="F1956">
        <v>1370.0329589999999</v>
      </c>
      <c r="G1956">
        <v>80</v>
      </c>
      <c r="H1956">
        <v>79.643409728999998</v>
      </c>
      <c r="I1956">
        <v>50</v>
      </c>
      <c r="J1956">
        <v>50.342121124000002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1647.7334780000001</v>
      </c>
      <c r="B1957" s="1">
        <f>DATE(2014,11,3) + TIME(17,36,12)</f>
        <v>41946.733472222222</v>
      </c>
      <c r="C1957">
        <v>1306.3808594</v>
      </c>
      <c r="D1957">
        <v>1294.0300293</v>
      </c>
      <c r="E1957">
        <v>1389.7086182</v>
      </c>
      <c r="F1957">
        <v>1370.0406493999999</v>
      </c>
      <c r="G1957">
        <v>80</v>
      </c>
      <c r="H1957">
        <v>79.615531920999999</v>
      </c>
      <c r="I1957">
        <v>50</v>
      </c>
      <c r="J1957">
        <v>50.254341125000003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1648.023629</v>
      </c>
      <c r="B1958" s="1">
        <f>DATE(2014,11,4) + TIME(0,34,1)</f>
        <v>41947.023622685185</v>
      </c>
      <c r="C1958">
        <v>1306.3686522999999</v>
      </c>
      <c r="D1958">
        <v>1294.0164795000001</v>
      </c>
      <c r="E1958">
        <v>1389.7282714999999</v>
      </c>
      <c r="F1958">
        <v>1370.0506591999999</v>
      </c>
      <c r="G1958">
        <v>80</v>
      </c>
      <c r="H1958">
        <v>79.58531189</v>
      </c>
      <c r="I1958">
        <v>50</v>
      </c>
      <c r="J1958">
        <v>50.182674407999997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1648.332373</v>
      </c>
      <c r="B1959" s="1">
        <f>DATE(2014,11,4) + TIME(7,58,37)</f>
        <v>41947.332372685189</v>
      </c>
      <c r="C1959">
        <v>1306.3551024999999</v>
      </c>
      <c r="D1959">
        <v>1294.0017089999999</v>
      </c>
      <c r="E1959">
        <v>1389.7468262</v>
      </c>
      <c r="F1959">
        <v>1370.0631103999999</v>
      </c>
      <c r="G1959">
        <v>80</v>
      </c>
      <c r="H1959">
        <v>79.553451538000004</v>
      </c>
      <c r="I1959">
        <v>50</v>
      </c>
      <c r="J1959">
        <v>50.127391815000003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1648.6447430000001</v>
      </c>
      <c r="B1960" s="1">
        <f>DATE(2014,11,4) + TIME(15,28,25)</f>
        <v>41947.644733796296</v>
      </c>
      <c r="C1960">
        <v>1306.3409423999999</v>
      </c>
      <c r="D1960">
        <v>1293.9862060999999</v>
      </c>
      <c r="E1960">
        <v>1389.7640381000001</v>
      </c>
      <c r="F1960">
        <v>1370.0770264</v>
      </c>
      <c r="G1960">
        <v>80</v>
      </c>
      <c r="H1960">
        <v>79.521072387999993</v>
      </c>
      <c r="I1960">
        <v>50</v>
      </c>
      <c r="J1960">
        <v>50.086956024000003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1648.9633739999999</v>
      </c>
      <c r="B1961" s="1">
        <f>DATE(2014,11,4) + TIME(23,7,15)</f>
        <v>41947.963368055556</v>
      </c>
      <c r="C1961">
        <v>1306.3266602000001</v>
      </c>
      <c r="D1961">
        <v>1293.9704589999999</v>
      </c>
      <c r="E1961">
        <v>1389.7797852000001</v>
      </c>
      <c r="F1961">
        <v>1370.0911865</v>
      </c>
      <c r="G1961">
        <v>80</v>
      </c>
      <c r="H1961">
        <v>79.488098144999995</v>
      </c>
      <c r="I1961">
        <v>50</v>
      </c>
      <c r="J1961">
        <v>50.057277679000002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1649.2910529999999</v>
      </c>
      <c r="B1962" s="1">
        <f>DATE(2014,11,5) + TIME(6,59,7)</f>
        <v>41948.29105324074</v>
      </c>
      <c r="C1962">
        <v>1306.3121338000001</v>
      </c>
      <c r="D1962">
        <v>1293.9545897999999</v>
      </c>
      <c r="E1962">
        <v>1389.7943115</v>
      </c>
      <c r="F1962">
        <v>1370.1055908000001</v>
      </c>
      <c r="G1962">
        <v>80</v>
      </c>
      <c r="H1962">
        <v>79.454376221000004</v>
      </c>
      <c r="I1962">
        <v>50</v>
      </c>
      <c r="J1962">
        <v>50.03547287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1649.6305970000001</v>
      </c>
      <c r="B1963" s="1">
        <f>DATE(2014,11,5) + TIME(15,8,3)</f>
        <v>41948.630590277775</v>
      </c>
      <c r="C1963">
        <v>1306.2974853999999</v>
      </c>
      <c r="D1963">
        <v>1293.9383545000001</v>
      </c>
      <c r="E1963">
        <v>1389.8081055</v>
      </c>
      <c r="F1963">
        <v>1370.1201172000001</v>
      </c>
      <c r="G1963">
        <v>80</v>
      </c>
      <c r="H1963">
        <v>79.419738769999995</v>
      </c>
      <c r="I1963">
        <v>50</v>
      </c>
      <c r="J1963">
        <v>50.019485474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1649.9848959999999</v>
      </c>
      <c r="B1964" s="1">
        <f>DATE(2014,11,5) + TIME(23,38,14)</f>
        <v>41948.984884259262</v>
      </c>
      <c r="C1964">
        <v>1306.2823486</v>
      </c>
      <c r="D1964">
        <v>1293.9216309000001</v>
      </c>
      <c r="E1964">
        <v>1389.8212891000001</v>
      </c>
      <c r="F1964">
        <v>1370.1346435999999</v>
      </c>
      <c r="G1964">
        <v>80</v>
      </c>
      <c r="H1964">
        <v>79.383987426999994</v>
      </c>
      <c r="I1964">
        <v>50</v>
      </c>
      <c r="J1964">
        <v>50.007816314999999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1650.357215</v>
      </c>
      <c r="B1965" s="1">
        <f>DATE(2014,11,6) + TIME(8,34,23)</f>
        <v>41949.357210648152</v>
      </c>
      <c r="C1965">
        <v>1306.2667236</v>
      </c>
      <c r="D1965">
        <v>1293.9042969</v>
      </c>
      <c r="E1965">
        <v>1389.8339844</v>
      </c>
      <c r="F1965">
        <v>1370.1492920000001</v>
      </c>
      <c r="G1965">
        <v>80</v>
      </c>
      <c r="H1965">
        <v>79.346893311000002</v>
      </c>
      <c r="I1965">
        <v>50</v>
      </c>
      <c r="J1965">
        <v>49.999359130999999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1650.7513309999999</v>
      </c>
      <c r="B1966" s="1">
        <f>DATE(2014,11,6) + TIME(18,1,54)</f>
        <v>41949.751319444447</v>
      </c>
      <c r="C1966">
        <v>1306.2504882999999</v>
      </c>
      <c r="D1966">
        <v>1293.8861084</v>
      </c>
      <c r="E1966">
        <v>1389.8463135</v>
      </c>
      <c r="F1966">
        <v>1370.1640625</v>
      </c>
      <c r="G1966">
        <v>80</v>
      </c>
      <c r="H1966">
        <v>79.308166503999999</v>
      </c>
      <c r="I1966">
        <v>50</v>
      </c>
      <c r="J1966">
        <v>49.993282317999999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1651.1717369999999</v>
      </c>
      <c r="B1967" s="1">
        <f>DATE(2014,11,7) + TIME(4,7,18)</f>
        <v>41950.171736111108</v>
      </c>
      <c r="C1967">
        <v>1306.2332764</v>
      </c>
      <c r="D1967">
        <v>1293.8670654</v>
      </c>
      <c r="E1967">
        <v>1389.8583983999999</v>
      </c>
      <c r="F1967">
        <v>1370.1788329999999</v>
      </c>
      <c r="G1967">
        <v>80</v>
      </c>
      <c r="H1967">
        <v>79.267478943</v>
      </c>
      <c r="I1967">
        <v>50</v>
      </c>
      <c r="J1967">
        <v>49.988967895999998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1651.6237249999999</v>
      </c>
      <c r="B1968" s="1">
        <f>DATE(2014,11,7) + TIME(14,58,9)</f>
        <v>41950.623715277776</v>
      </c>
      <c r="C1968">
        <v>1306.2150879000001</v>
      </c>
      <c r="D1968">
        <v>1293.8468018000001</v>
      </c>
      <c r="E1968">
        <v>1389.8706055</v>
      </c>
      <c r="F1968">
        <v>1370.1937256000001</v>
      </c>
      <c r="G1968">
        <v>80</v>
      </c>
      <c r="H1968">
        <v>79.224441528</v>
      </c>
      <c r="I1968">
        <v>50</v>
      </c>
      <c r="J1968">
        <v>49.985950469999999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1652.1145650000001</v>
      </c>
      <c r="B1969" s="1">
        <f>DATE(2014,11,8) + TIME(2,44,58)</f>
        <v>41951.114560185182</v>
      </c>
      <c r="C1969">
        <v>1306.1956786999999</v>
      </c>
      <c r="D1969">
        <v>1293.8250731999999</v>
      </c>
      <c r="E1969">
        <v>1389.8826904</v>
      </c>
      <c r="F1969">
        <v>1370.2088623</v>
      </c>
      <c r="G1969">
        <v>80</v>
      </c>
      <c r="H1969">
        <v>79.178550720000004</v>
      </c>
      <c r="I1969">
        <v>50</v>
      </c>
      <c r="J1969">
        <v>49.983871460000003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1652.612263</v>
      </c>
      <c r="B1970" s="1">
        <f>DATE(2014,11,8) + TIME(14,41,39)</f>
        <v>41951.612256944441</v>
      </c>
      <c r="C1970">
        <v>1306.1746826000001</v>
      </c>
      <c r="D1970">
        <v>1293.8017577999999</v>
      </c>
      <c r="E1970">
        <v>1389.8948975000001</v>
      </c>
      <c r="F1970">
        <v>1370.2243652</v>
      </c>
      <c r="G1970">
        <v>80</v>
      </c>
      <c r="H1970">
        <v>79.131515503000003</v>
      </c>
      <c r="I1970">
        <v>50</v>
      </c>
      <c r="J1970">
        <v>49.982536316000001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1653.117522</v>
      </c>
      <c r="B1971" s="1">
        <f>DATE(2014,11,9) + TIME(2,49,13)</f>
        <v>41952.117511574077</v>
      </c>
      <c r="C1971">
        <v>1306.1534423999999</v>
      </c>
      <c r="D1971">
        <v>1293.7780762</v>
      </c>
      <c r="E1971">
        <v>1389.9063721</v>
      </c>
      <c r="F1971">
        <v>1370.2388916</v>
      </c>
      <c r="G1971">
        <v>80</v>
      </c>
      <c r="H1971">
        <v>79.083648682000003</v>
      </c>
      <c r="I1971">
        <v>50</v>
      </c>
      <c r="J1971">
        <v>49.981681823999999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1653.6344529999999</v>
      </c>
      <c r="B1972" s="1">
        <f>DATE(2014,11,9) + TIME(15,13,36)</f>
        <v>41952.634444444448</v>
      </c>
      <c r="C1972">
        <v>1306.1319579999999</v>
      </c>
      <c r="D1972">
        <v>1293.7541504000001</v>
      </c>
      <c r="E1972">
        <v>1389.9172363</v>
      </c>
      <c r="F1972">
        <v>1370.2528076000001</v>
      </c>
      <c r="G1972">
        <v>80</v>
      </c>
      <c r="H1972">
        <v>79.034904479999994</v>
      </c>
      <c r="I1972">
        <v>50</v>
      </c>
      <c r="J1972">
        <v>49.981132506999998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1654.167232</v>
      </c>
      <c r="B1973" s="1">
        <f>DATE(2014,11,10) + TIME(4,0,48)</f>
        <v>41953.167222222219</v>
      </c>
      <c r="C1973">
        <v>1306.1101074000001</v>
      </c>
      <c r="D1973">
        <v>1293.7297363</v>
      </c>
      <c r="E1973">
        <v>1389.9277344</v>
      </c>
      <c r="F1973">
        <v>1370.2662353999999</v>
      </c>
      <c r="G1973">
        <v>80</v>
      </c>
      <c r="H1973">
        <v>78.985122681000007</v>
      </c>
      <c r="I1973">
        <v>50</v>
      </c>
      <c r="J1973">
        <v>49.980777740000001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1654.718936</v>
      </c>
      <c r="B1974" s="1">
        <f>DATE(2014,11,10) + TIME(17,15,16)</f>
        <v>41953.718935185185</v>
      </c>
      <c r="C1974">
        <v>1306.0876464999999</v>
      </c>
      <c r="D1974">
        <v>1293.7045897999999</v>
      </c>
      <c r="E1974">
        <v>1389.9377440999999</v>
      </c>
      <c r="F1974">
        <v>1370.2791748</v>
      </c>
      <c r="G1974">
        <v>80</v>
      </c>
      <c r="H1974">
        <v>78.934143066000004</v>
      </c>
      <c r="I1974">
        <v>50</v>
      </c>
      <c r="J1974">
        <v>49.980548859000002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1655.293707</v>
      </c>
      <c r="B1975" s="1">
        <f>DATE(2014,11,11) + TIME(7,2,56)</f>
        <v>41954.293703703705</v>
      </c>
      <c r="C1975">
        <v>1306.0645752</v>
      </c>
      <c r="D1975">
        <v>1293.6784668</v>
      </c>
      <c r="E1975">
        <v>1389.9476318</v>
      </c>
      <c r="F1975">
        <v>1370.2917480000001</v>
      </c>
      <c r="G1975">
        <v>80</v>
      </c>
      <c r="H1975">
        <v>78.881713867000002</v>
      </c>
      <c r="I1975">
        <v>50</v>
      </c>
      <c r="J1975">
        <v>49.980403899999999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1655.896759</v>
      </c>
      <c r="B1976" s="1">
        <f>DATE(2014,11,11) + TIME(21,31,19)</f>
        <v>41954.896747685183</v>
      </c>
      <c r="C1976">
        <v>1306.0405272999999</v>
      </c>
      <c r="D1976">
        <v>1293.6514893000001</v>
      </c>
      <c r="E1976">
        <v>1389.9573975000001</v>
      </c>
      <c r="F1976">
        <v>1370.3041992000001</v>
      </c>
      <c r="G1976">
        <v>80</v>
      </c>
      <c r="H1976">
        <v>78.827491760000001</v>
      </c>
      <c r="I1976">
        <v>50</v>
      </c>
      <c r="J1976">
        <v>49.980312347000002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1656.5341739999999</v>
      </c>
      <c r="B1977" s="1">
        <f>DATE(2014,11,12) + TIME(12,49,12)</f>
        <v>41955.534166666665</v>
      </c>
      <c r="C1977">
        <v>1306.0153809000001</v>
      </c>
      <c r="D1977">
        <v>1293.6230469</v>
      </c>
      <c r="E1977">
        <v>1389.9669189000001</v>
      </c>
      <c r="F1977">
        <v>1370.3165283000001</v>
      </c>
      <c r="G1977">
        <v>80</v>
      </c>
      <c r="H1977">
        <v>78.771072387999993</v>
      </c>
      <c r="I1977">
        <v>50</v>
      </c>
      <c r="J1977">
        <v>49.980255127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1657.2130810000001</v>
      </c>
      <c r="B1978" s="1">
        <f>DATE(2014,11,13) + TIME(5,6,50)</f>
        <v>41956.213078703702</v>
      </c>
      <c r="C1978">
        <v>1305.9887695</v>
      </c>
      <c r="D1978">
        <v>1293.5930175999999</v>
      </c>
      <c r="E1978">
        <v>1389.9765625</v>
      </c>
      <c r="F1978">
        <v>1370.3287353999999</v>
      </c>
      <c r="G1978">
        <v>80</v>
      </c>
      <c r="H1978">
        <v>78.711975097999996</v>
      </c>
      <c r="I1978">
        <v>50</v>
      </c>
      <c r="J1978">
        <v>49.980216980000002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1657.920666</v>
      </c>
      <c r="B1979" s="1">
        <f>DATE(2014,11,13) + TIME(22,5,45)</f>
        <v>41956.920659722222</v>
      </c>
      <c r="C1979">
        <v>1305.9604492000001</v>
      </c>
      <c r="D1979">
        <v>1293.5611572</v>
      </c>
      <c r="E1979">
        <v>1389.9862060999999</v>
      </c>
      <c r="F1979">
        <v>1370.3411865</v>
      </c>
      <c r="G1979">
        <v>80</v>
      </c>
      <c r="H1979">
        <v>78.650642395000006</v>
      </c>
      <c r="I1979">
        <v>50</v>
      </c>
      <c r="J1979">
        <v>49.980197906000001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1658.6354429999999</v>
      </c>
      <c r="B1980" s="1">
        <f>DATE(2014,11,14) + TIME(15,15,2)</f>
        <v>41957.635439814818</v>
      </c>
      <c r="C1980">
        <v>1305.9309082</v>
      </c>
      <c r="D1980">
        <v>1293.527832</v>
      </c>
      <c r="E1980">
        <v>1389.9956055</v>
      </c>
      <c r="F1980">
        <v>1370.3532714999999</v>
      </c>
      <c r="G1980">
        <v>80</v>
      </c>
      <c r="H1980">
        <v>78.588203429999993</v>
      </c>
      <c r="I1980">
        <v>50</v>
      </c>
      <c r="J1980">
        <v>49.980186461999999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1659.362985</v>
      </c>
      <c r="B1981" s="1">
        <f>DATE(2014,11,15) + TIME(8,42,41)</f>
        <v>41958.362974537034</v>
      </c>
      <c r="C1981">
        <v>1305.9011230000001</v>
      </c>
      <c r="D1981">
        <v>1293.4940185999999</v>
      </c>
      <c r="E1981">
        <v>1390.0046387</v>
      </c>
      <c r="F1981">
        <v>1370.3648682</v>
      </c>
      <c r="G1981">
        <v>80</v>
      </c>
      <c r="H1981">
        <v>78.524894713999998</v>
      </c>
      <c r="I1981">
        <v>50</v>
      </c>
      <c r="J1981">
        <v>49.980182648000003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1660.1088070000001</v>
      </c>
      <c r="B1982" s="1">
        <f>DATE(2014,11,16) + TIME(2,36,40)</f>
        <v>41959.108796296299</v>
      </c>
      <c r="C1982">
        <v>1305.8707274999999</v>
      </c>
      <c r="D1982">
        <v>1293.4593506000001</v>
      </c>
      <c r="E1982">
        <v>1390.0133057</v>
      </c>
      <c r="F1982">
        <v>1370.3760986</v>
      </c>
      <c r="G1982">
        <v>80</v>
      </c>
      <c r="H1982">
        <v>78.460639954000001</v>
      </c>
      <c r="I1982">
        <v>50</v>
      </c>
      <c r="J1982">
        <v>49.980178832999997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1660.8785069999999</v>
      </c>
      <c r="B1983" s="1">
        <f>DATE(2014,11,16) + TIME(21,5,3)</f>
        <v>41959.878506944442</v>
      </c>
      <c r="C1983">
        <v>1305.8394774999999</v>
      </c>
      <c r="D1983">
        <v>1293.4238281</v>
      </c>
      <c r="E1983">
        <v>1390.0217285000001</v>
      </c>
      <c r="F1983">
        <v>1370.3868408000001</v>
      </c>
      <c r="G1983">
        <v>80</v>
      </c>
      <c r="H1983">
        <v>78.395187378000003</v>
      </c>
      <c r="I1983">
        <v>50</v>
      </c>
      <c r="J1983">
        <v>49.980178832999997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1661.6781040000001</v>
      </c>
      <c r="B1984" s="1">
        <f>DATE(2014,11,17) + TIME(16,16,28)</f>
        <v>41960.678101851852</v>
      </c>
      <c r="C1984">
        <v>1305.807251</v>
      </c>
      <c r="D1984">
        <v>1293.3869629000001</v>
      </c>
      <c r="E1984">
        <v>1390.0300293</v>
      </c>
      <c r="F1984">
        <v>1370.3975829999999</v>
      </c>
      <c r="G1984">
        <v>80</v>
      </c>
      <c r="H1984">
        <v>78.328201293999996</v>
      </c>
      <c r="I1984">
        <v>50</v>
      </c>
      <c r="J1984">
        <v>49.980182648000003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1662.5119970000001</v>
      </c>
      <c r="B1985" s="1">
        <f>DATE(2014,11,18) + TIME(12,17,16)</f>
        <v>41961.511990740742</v>
      </c>
      <c r="C1985">
        <v>1305.7736815999999</v>
      </c>
      <c r="D1985">
        <v>1293.3483887</v>
      </c>
      <c r="E1985">
        <v>1390.0382079999999</v>
      </c>
      <c r="F1985">
        <v>1370.4080810999999</v>
      </c>
      <c r="G1985">
        <v>80</v>
      </c>
      <c r="H1985">
        <v>78.259353637999993</v>
      </c>
      <c r="I1985">
        <v>50</v>
      </c>
      <c r="J1985">
        <v>49.980182648000003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1663.3874430000001</v>
      </c>
      <c r="B1986" s="1">
        <f>DATE(2014,11,19) + TIME(9,17,55)</f>
        <v>41962.387442129628</v>
      </c>
      <c r="C1986">
        <v>1305.7385254000001</v>
      </c>
      <c r="D1986">
        <v>1293.3079834</v>
      </c>
      <c r="E1986">
        <v>1390.0462646000001</v>
      </c>
      <c r="F1986">
        <v>1370.418457</v>
      </c>
      <c r="G1986">
        <v>80</v>
      </c>
      <c r="H1986">
        <v>78.188217163000004</v>
      </c>
      <c r="I1986">
        <v>50</v>
      </c>
      <c r="J1986">
        <v>49.980186461999999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1664.313535</v>
      </c>
      <c r="B1987" s="1">
        <f>DATE(2014,11,20) + TIME(7,31,29)</f>
        <v>41963.313530092593</v>
      </c>
      <c r="C1987">
        <v>1305.7014160000001</v>
      </c>
      <c r="D1987">
        <v>1293.2652588000001</v>
      </c>
      <c r="E1987">
        <v>1390.0543213000001</v>
      </c>
      <c r="F1987">
        <v>1370.4288329999999</v>
      </c>
      <c r="G1987">
        <v>80</v>
      </c>
      <c r="H1987">
        <v>78.114257812000005</v>
      </c>
      <c r="I1987">
        <v>50</v>
      </c>
      <c r="J1987">
        <v>49.980190276999998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1665.2528870000001</v>
      </c>
      <c r="B1988" s="1">
        <f>DATE(2014,11,21) + TIME(6,4,9)</f>
        <v>41964.252881944441</v>
      </c>
      <c r="C1988">
        <v>1305.6619873</v>
      </c>
      <c r="D1988">
        <v>1293.2197266000001</v>
      </c>
      <c r="E1988">
        <v>1390.0623779</v>
      </c>
      <c r="F1988">
        <v>1370.4393310999999</v>
      </c>
      <c r="G1988">
        <v>80</v>
      </c>
      <c r="H1988">
        <v>78.038619995000005</v>
      </c>
      <c r="I1988">
        <v>50</v>
      </c>
      <c r="J1988">
        <v>49.980194091999998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1666.2040770000001</v>
      </c>
      <c r="B1989" s="1">
        <f>DATE(2014,11,22) + TIME(4,53,52)</f>
        <v>41965.204074074078</v>
      </c>
      <c r="C1989">
        <v>1305.621582</v>
      </c>
      <c r="D1989">
        <v>1293.1730957</v>
      </c>
      <c r="E1989">
        <v>1390.0701904</v>
      </c>
      <c r="F1989">
        <v>1370.4493408000001</v>
      </c>
      <c r="G1989">
        <v>80</v>
      </c>
      <c r="H1989">
        <v>77.962104796999995</v>
      </c>
      <c r="I1989">
        <v>50</v>
      </c>
      <c r="J1989">
        <v>49.980197906000001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1667.1740629999999</v>
      </c>
      <c r="B1990" s="1">
        <f>DATE(2014,11,23) + TIME(4,10,39)</f>
        <v>41966.174062500002</v>
      </c>
      <c r="C1990">
        <v>1305.5805664</v>
      </c>
      <c r="D1990">
        <v>1293.1252440999999</v>
      </c>
      <c r="E1990">
        <v>1390.0776367000001</v>
      </c>
      <c r="F1990">
        <v>1370.4591064000001</v>
      </c>
      <c r="G1990">
        <v>80</v>
      </c>
      <c r="H1990">
        <v>77.884841918999996</v>
      </c>
      <c r="I1990">
        <v>50</v>
      </c>
      <c r="J1990">
        <v>49.980201721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1668.1700229999999</v>
      </c>
      <c r="B1991" s="1">
        <f>DATE(2014,11,24) + TIME(4,4,49)</f>
        <v>41967.170011574075</v>
      </c>
      <c r="C1991">
        <v>1305.5383300999999</v>
      </c>
      <c r="D1991">
        <v>1293.0760498</v>
      </c>
      <c r="E1991">
        <v>1390.0848389</v>
      </c>
      <c r="F1991">
        <v>1370.4685059000001</v>
      </c>
      <c r="G1991">
        <v>80</v>
      </c>
      <c r="H1991">
        <v>77.806610106999997</v>
      </c>
      <c r="I1991">
        <v>50</v>
      </c>
      <c r="J1991">
        <v>49.980209350999999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1669.199179</v>
      </c>
      <c r="B1992" s="1">
        <f>DATE(2014,11,25) + TIME(4,46,49)</f>
        <v>41968.199178240742</v>
      </c>
      <c r="C1992">
        <v>1305.4946289</v>
      </c>
      <c r="D1992">
        <v>1293.0249022999999</v>
      </c>
      <c r="E1992">
        <v>1390.0919189000001</v>
      </c>
      <c r="F1992">
        <v>1370.4776611</v>
      </c>
      <c r="G1992">
        <v>80</v>
      </c>
      <c r="H1992">
        <v>77.727035521999994</v>
      </c>
      <c r="I1992">
        <v>50</v>
      </c>
      <c r="J1992">
        <v>49.980213165000002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1670.2697370000001</v>
      </c>
      <c r="B1993" s="1">
        <f>DATE(2014,11,26) + TIME(6,28,25)</f>
        <v>41969.269733796296</v>
      </c>
      <c r="C1993">
        <v>1305.4490966999999</v>
      </c>
      <c r="D1993">
        <v>1292.9713135</v>
      </c>
      <c r="E1993">
        <v>1390.0987548999999</v>
      </c>
      <c r="F1993">
        <v>1370.4866943</v>
      </c>
      <c r="G1993">
        <v>80</v>
      </c>
      <c r="H1993">
        <v>77.645645142000006</v>
      </c>
      <c r="I1993">
        <v>50</v>
      </c>
      <c r="J1993">
        <v>49.980216980000002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1671.3872389999999</v>
      </c>
      <c r="B1994" s="1">
        <f>DATE(2014,11,27) + TIME(9,17,37)</f>
        <v>41970.387233796297</v>
      </c>
      <c r="C1994">
        <v>1305.4013672000001</v>
      </c>
      <c r="D1994">
        <v>1292.9150391000001</v>
      </c>
      <c r="E1994">
        <v>1390.1055908000001</v>
      </c>
      <c r="F1994">
        <v>1370.4957274999999</v>
      </c>
      <c r="G1994">
        <v>80</v>
      </c>
      <c r="H1994">
        <v>77.562019348000007</v>
      </c>
      <c r="I1994">
        <v>50</v>
      </c>
      <c r="J1994">
        <v>49.980220795000001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1672.552531</v>
      </c>
      <c r="B1995" s="1">
        <f>DATE(2014,11,28) + TIME(13,15,38)</f>
        <v>41971.552523148152</v>
      </c>
      <c r="C1995">
        <v>1305.3509521000001</v>
      </c>
      <c r="D1995">
        <v>1292.8553466999999</v>
      </c>
      <c r="E1995">
        <v>1390.1124268000001</v>
      </c>
      <c r="F1995">
        <v>1370.5046387</v>
      </c>
      <c r="G1995">
        <v>80</v>
      </c>
      <c r="H1995">
        <v>77.475914001000007</v>
      </c>
      <c r="I1995">
        <v>50</v>
      </c>
      <c r="J1995">
        <v>49.980228424000003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1673.7310660000001</v>
      </c>
      <c r="B1996" s="1">
        <f>DATE(2014,11,29) + TIME(17,32,44)</f>
        <v>41972.731064814812</v>
      </c>
      <c r="C1996">
        <v>1305.2978516000001</v>
      </c>
      <c r="D1996">
        <v>1292.7923584</v>
      </c>
      <c r="E1996">
        <v>1390.1191406</v>
      </c>
      <c r="F1996">
        <v>1370.5135498</v>
      </c>
      <c r="G1996">
        <v>80</v>
      </c>
      <c r="H1996">
        <v>77.388336182000003</v>
      </c>
      <c r="I1996">
        <v>50</v>
      </c>
      <c r="J1996">
        <v>49.980232239000003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1674.926449</v>
      </c>
      <c r="B1997" s="1">
        <f>DATE(2014,11,30) + TIME(22,14,5)</f>
        <v>41973.926446759258</v>
      </c>
      <c r="C1997">
        <v>1305.2434082</v>
      </c>
      <c r="D1997">
        <v>1292.7275391000001</v>
      </c>
      <c r="E1997">
        <v>1390.1256103999999</v>
      </c>
      <c r="F1997">
        <v>1370.5220947</v>
      </c>
      <c r="G1997">
        <v>80</v>
      </c>
      <c r="H1997">
        <v>77.300025939999998</v>
      </c>
      <c r="I1997">
        <v>50</v>
      </c>
      <c r="J1997">
        <v>49.980239867999998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1675</v>
      </c>
      <c r="B1998" s="1">
        <f>DATE(2014,12,1) + TIME(0,0,0)</f>
        <v>41974</v>
      </c>
      <c r="C1998">
        <v>1305.1895752</v>
      </c>
      <c r="D1998">
        <v>1292.6717529</v>
      </c>
      <c r="E1998">
        <v>1390.1309814000001</v>
      </c>
      <c r="F1998">
        <v>1370.5296631000001</v>
      </c>
      <c r="G1998">
        <v>80</v>
      </c>
      <c r="H1998">
        <v>77.287994385000005</v>
      </c>
      <c r="I1998">
        <v>50</v>
      </c>
      <c r="J1998">
        <v>49.980239867999998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1676.219591</v>
      </c>
      <c r="B1999" s="1">
        <f>DATE(2014,12,2) + TIME(5,16,12)</f>
        <v>41975.219583333332</v>
      </c>
      <c r="C1999">
        <v>1305.1837158000001</v>
      </c>
      <c r="D1999">
        <v>1292.6556396000001</v>
      </c>
      <c r="E1999">
        <v>1390.1320800999999</v>
      </c>
      <c r="F1999">
        <v>1370.5307617000001</v>
      </c>
      <c r="G1999">
        <v>80</v>
      </c>
      <c r="H1999">
        <v>77.202941894999995</v>
      </c>
      <c r="I1999">
        <v>50</v>
      </c>
      <c r="J1999">
        <v>49.980243682999998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1677.4745800000001</v>
      </c>
      <c r="B2000" s="1">
        <f>DATE(2014,12,3) + TIME(11,23,23)</f>
        <v>41976.47457175926</v>
      </c>
      <c r="C2000">
        <v>1305.1263428</v>
      </c>
      <c r="D2000">
        <v>1292.5867920000001</v>
      </c>
      <c r="E2000">
        <v>1390.1380615</v>
      </c>
      <c r="F2000">
        <v>1370.5388184000001</v>
      </c>
      <c r="G2000">
        <v>80</v>
      </c>
      <c r="H2000">
        <v>77.114578246999997</v>
      </c>
      <c r="I2000">
        <v>50</v>
      </c>
      <c r="J2000">
        <v>49.980251312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1678.7721469999999</v>
      </c>
      <c r="B2001" s="1">
        <f>DATE(2014,12,4) + TIME(18,31,53)</f>
        <v>41977.772141203706</v>
      </c>
      <c r="C2001">
        <v>1305.0661620999999</v>
      </c>
      <c r="D2001">
        <v>1292.5141602000001</v>
      </c>
      <c r="E2001">
        <v>1390.1439209</v>
      </c>
      <c r="F2001">
        <v>1370.5466309000001</v>
      </c>
      <c r="G2001">
        <v>80</v>
      </c>
      <c r="H2001">
        <v>77.023757935000006</v>
      </c>
      <c r="I2001">
        <v>50</v>
      </c>
      <c r="J2001">
        <v>49.980255127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1680.122777</v>
      </c>
      <c r="B2002" s="1">
        <f>DATE(2014,12,6) + TIME(2,56,47)</f>
        <v>41979.122766203705</v>
      </c>
      <c r="C2002">
        <v>1305.0030518000001</v>
      </c>
      <c r="D2002">
        <v>1292.4377440999999</v>
      </c>
      <c r="E2002">
        <v>1390.1496582</v>
      </c>
      <c r="F2002">
        <v>1370.5544434000001</v>
      </c>
      <c r="G2002">
        <v>80</v>
      </c>
      <c r="H2002">
        <v>76.930480957</v>
      </c>
      <c r="I2002">
        <v>50</v>
      </c>
      <c r="J2002">
        <v>49.980262756000002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1681.5214249999999</v>
      </c>
      <c r="B2003" s="1">
        <f>DATE(2014,12,7) + TIME(12,30,51)</f>
        <v>41980.521423611113</v>
      </c>
      <c r="C2003">
        <v>1304.9364014</v>
      </c>
      <c r="D2003">
        <v>1292.3566894999999</v>
      </c>
      <c r="E2003">
        <v>1390.1553954999999</v>
      </c>
      <c r="F2003">
        <v>1370.5621338000001</v>
      </c>
      <c r="G2003">
        <v>80</v>
      </c>
      <c r="H2003">
        <v>76.834770203000005</v>
      </c>
      <c r="I2003">
        <v>50</v>
      </c>
      <c r="J2003">
        <v>49.980270386000001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1682.9353349999999</v>
      </c>
      <c r="B2004" s="1">
        <f>DATE(2014,12,8) + TIME(22,26,52)</f>
        <v>41981.935324074075</v>
      </c>
      <c r="C2004">
        <v>1304.8663329999999</v>
      </c>
      <c r="D2004">
        <v>1292.2712402</v>
      </c>
      <c r="E2004">
        <v>1390.1608887</v>
      </c>
      <c r="F2004">
        <v>1370.5698242000001</v>
      </c>
      <c r="G2004">
        <v>80</v>
      </c>
      <c r="H2004">
        <v>76.737609863000003</v>
      </c>
      <c r="I2004">
        <v>50</v>
      </c>
      <c r="J2004">
        <v>49.980278015000003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1684.372157</v>
      </c>
      <c r="B2005" s="1">
        <f>DATE(2014,12,10) + TIME(8,55,54)</f>
        <v>41983.372152777774</v>
      </c>
      <c r="C2005">
        <v>1304.7944336</v>
      </c>
      <c r="D2005">
        <v>1292.1829834</v>
      </c>
      <c r="E2005">
        <v>1390.1662598</v>
      </c>
      <c r="F2005">
        <v>1370.5771483999999</v>
      </c>
      <c r="G2005">
        <v>80</v>
      </c>
      <c r="H2005">
        <v>76.639762877999999</v>
      </c>
      <c r="I2005">
        <v>50</v>
      </c>
      <c r="J2005">
        <v>49.980285645000002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1685.83626</v>
      </c>
      <c r="B2006" s="1">
        <f>DATE(2014,12,11) + TIME(20,4,12)</f>
        <v>41984.83625</v>
      </c>
      <c r="C2006">
        <v>1304.7200928</v>
      </c>
      <c r="D2006">
        <v>1292.0913086</v>
      </c>
      <c r="E2006">
        <v>1390.1713867000001</v>
      </c>
      <c r="F2006">
        <v>1370.5842285000001</v>
      </c>
      <c r="G2006">
        <v>80</v>
      </c>
      <c r="H2006">
        <v>76.541275024000001</v>
      </c>
      <c r="I2006">
        <v>50</v>
      </c>
      <c r="J2006">
        <v>49.980289458999998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1687.337984</v>
      </c>
      <c r="B2007" s="1">
        <f>DATE(2014,12,13) + TIME(8,6,41)</f>
        <v>41986.33797453704</v>
      </c>
      <c r="C2007">
        <v>1304.6430664</v>
      </c>
      <c r="D2007">
        <v>1291.9960937999999</v>
      </c>
      <c r="E2007">
        <v>1390.1762695</v>
      </c>
      <c r="F2007">
        <v>1370.5911865</v>
      </c>
      <c r="G2007">
        <v>80</v>
      </c>
      <c r="H2007">
        <v>76.441864014000004</v>
      </c>
      <c r="I2007">
        <v>50</v>
      </c>
      <c r="J2007">
        <v>49.980297088999997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1688.888115</v>
      </c>
      <c r="B2008" s="1">
        <f>DATE(2014,12,14) + TIME(21,18,53)</f>
        <v>41987.888113425928</v>
      </c>
      <c r="C2008">
        <v>1304.5627440999999</v>
      </c>
      <c r="D2008">
        <v>1291.8963623</v>
      </c>
      <c r="E2008">
        <v>1390.1811522999999</v>
      </c>
      <c r="F2008">
        <v>1370.5979004000001</v>
      </c>
      <c r="G2008">
        <v>80</v>
      </c>
      <c r="H2008">
        <v>76.340995789000004</v>
      </c>
      <c r="I2008">
        <v>50</v>
      </c>
      <c r="J2008">
        <v>49.980304717999999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1690.498873</v>
      </c>
      <c r="B2009" s="1">
        <f>DATE(2014,12,16) + TIME(11,58,22)</f>
        <v>41989.498865740738</v>
      </c>
      <c r="C2009">
        <v>1304.4785156</v>
      </c>
      <c r="D2009">
        <v>1291.7912598</v>
      </c>
      <c r="E2009">
        <v>1390.1859131000001</v>
      </c>
      <c r="F2009">
        <v>1370.6046143000001</v>
      </c>
      <c r="G2009">
        <v>80</v>
      </c>
      <c r="H2009">
        <v>76.238044739000003</v>
      </c>
      <c r="I2009">
        <v>50</v>
      </c>
      <c r="J2009">
        <v>49.980316162000001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1692.134575</v>
      </c>
      <c r="B2010" s="1">
        <f>DATE(2014,12,18) + TIME(3,13,47)</f>
        <v>41991.134571759256</v>
      </c>
      <c r="C2010">
        <v>1304.3894043</v>
      </c>
      <c r="D2010">
        <v>1291.6798096</v>
      </c>
      <c r="E2010">
        <v>1390.1905518000001</v>
      </c>
      <c r="F2010">
        <v>1370.6112060999999</v>
      </c>
      <c r="G2010">
        <v>80</v>
      </c>
      <c r="H2010">
        <v>76.133346558</v>
      </c>
      <c r="I2010">
        <v>50</v>
      </c>
      <c r="J2010">
        <v>49.980323792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1693.793582</v>
      </c>
      <c r="B2011" s="1">
        <f>DATE(2014,12,19) + TIME(19,2,45)</f>
        <v>41992.793576388889</v>
      </c>
      <c r="C2011">
        <v>1304.2971190999999</v>
      </c>
      <c r="D2011">
        <v>1291.5639647999999</v>
      </c>
      <c r="E2011">
        <v>1390.1949463000001</v>
      </c>
      <c r="F2011">
        <v>1370.6175536999999</v>
      </c>
      <c r="G2011">
        <v>80</v>
      </c>
      <c r="H2011">
        <v>76.027801514000004</v>
      </c>
      <c r="I2011">
        <v>50</v>
      </c>
      <c r="J2011">
        <v>49.980331421000002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1695.481436</v>
      </c>
      <c r="B2012" s="1">
        <f>DATE(2014,12,21) + TIME(11,33,16)</f>
        <v>41994.481435185182</v>
      </c>
      <c r="C2012">
        <v>1304.2019043</v>
      </c>
      <c r="D2012">
        <v>1291.4437256000001</v>
      </c>
      <c r="E2012">
        <v>1390.1992187999999</v>
      </c>
      <c r="F2012">
        <v>1370.6237793</v>
      </c>
      <c r="G2012">
        <v>80</v>
      </c>
      <c r="H2012">
        <v>75.921623229999994</v>
      </c>
      <c r="I2012">
        <v>50</v>
      </c>
      <c r="J2012">
        <v>49.980339049999998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1697.2055949999999</v>
      </c>
      <c r="B2013" s="1">
        <f>DATE(2014,12,23) + TIME(4,56,3)</f>
        <v>41996.205590277779</v>
      </c>
      <c r="C2013">
        <v>1304.1030272999999</v>
      </c>
      <c r="D2013">
        <v>1291.3184814000001</v>
      </c>
      <c r="E2013">
        <v>1390.2033690999999</v>
      </c>
      <c r="F2013">
        <v>1370.6298827999999</v>
      </c>
      <c r="G2013">
        <v>80</v>
      </c>
      <c r="H2013">
        <v>75.814613342000001</v>
      </c>
      <c r="I2013">
        <v>50</v>
      </c>
      <c r="J2013">
        <v>49.980350494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1698.9778879999999</v>
      </c>
      <c r="B2014" s="1">
        <f>DATE(2014,12,24) + TIME(23,28,9)</f>
        <v>41997.977881944447</v>
      </c>
      <c r="C2014">
        <v>1304.0001221</v>
      </c>
      <c r="D2014">
        <v>1291.1876221</v>
      </c>
      <c r="E2014">
        <v>1390.2072754000001</v>
      </c>
      <c r="F2014">
        <v>1370.6357422000001</v>
      </c>
      <c r="G2014">
        <v>80</v>
      </c>
      <c r="H2014">
        <v>75.706298828000001</v>
      </c>
      <c r="I2014">
        <v>50</v>
      </c>
      <c r="J2014">
        <v>49.980358123999999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1700.8115789999999</v>
      </c>
      <c r="B2015" s="1">
        <f>DATE(2014,12,26) + TIME(19,28,40)</f>
        <v>41999.811574074076</v>
      </c>
      <c r="C2015">
        <v>1303.8924560999999</v>
      </c>
      <c r="D2015">
        <v>1291.0500488</v>
      </c>
      <c r="E2015">
        <v>1390.2111815999999</v>
      </c>
      <c r="F2015">
        <v>1370.6414795000001</v>
      </c>
      <c r="G2015">
        <v>80</v>
      </c>
      <c r="H2015">
        <v>75.596038817999997</v>
      </c>
      <c r="I2015">
        <v>50</v>
      </c>
      <c r="J2015">
        <v>49.980365753000001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1702.6699940000001</v>
      </c>
      <c r="B2016" s="1">
        <f>DATE(2014,12,28) + TIME(16,4,47)</f>
        <v>42001.669988425929</v>
      </c>
      <c r="C2016">
        <v>1303.7788086</v>
      </c>
      <c r="D2016">
        <v>1290.9046631000001</v>
      </c>
      <c r="E2016">
        <v>1390.2149658000001</v>
      </c>
      <c r="F2016">
        <v>1370.6472168</v>
      </c>
      <c r="G2016">
        <v>80</v>
      </c>
      <c r="H2016">
        <v>75.483985900999997</v>
      </c>
      <c r="I2016">
        <v>50</v>
      </c>
      <c r="J2016">
        <v>49.980377197000003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1704.554926</v>
      </c>
      <c r="B2017" s="1">
        <f>DATE(2014,12,30) + TIME(13,19,5)</f>
        <v>42003.554918981485</v>
      </c>
      <c r="C2017">
        <v>1303.6611327999999</v>
      </c>
      <c r="D2017">
        <v>1290.753418</v>
      </c>
      <c r="E2017">
        <v>1390.2186279</v>
      </c>
      <c r="F2017">
        <v>1370.6527100000001</v>
      </c>
      <c r="G2017">
        <v>80</v>
      </c>
      <c r="H2017">
        <v>75.370979309000006</v>
      </c>
      <c r="I2017">
        <v>50</v>
      </c>
      <c r="J2017">
        <v>49.980388640999998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1706</v>
      </c>
      <c r="B2018" s="1">
        <f>DATE(2015,1,1) + TIME(0,0,0)</f>
        <v>42005</v>
      </c>
      <c r="C2018">
        <v>1303.5400391000001</v>
      </c>
      <c r="D2018">
        <v>1290.5988769999999</v>
      </c>
      <c r="E2018">
        <v>1390.2218018000001</v>
      </c>
      <c r="F2018">
        <v>1370.6578368999999</v>
      </c>
      <c r="G2018">
        <v>80</v>
      </c>
      <c r="H2018">
        <v>75.267448424999998</v>
      </c>
      <c r="I2018">
        <v>50</v>
      </c>
      <c r="J2018">
        <v>49.980392455999997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1707.917815</v>
      </c>
      <c r="B2019" s="1">
        <f>DATE(2015,1,2) + TIME(22,1,39)</f>
        <v>42006.917812500003</v>
      </c>
      <c r="C2019">
        <v>1303.4420166</v>
      </c>
      <c r="D2019">
        <v>1290.46875</v>
      </c>
      <c r="E2019">
        <v>1390.2246094</v>
      </c>
      <c r="F2019">
        <v>1370.6619873</v>
      </c>
      <c r="G2019">
        <v>80</v>
      </c>
      <c r="H2019">
        <v>75.165367126000007</v>
      </c>
      <c r="I2019">
        <v>50</v>
      </c>
      <c r="J2019">
        <v>49.980403899999999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1709.915385</v>
      </c>
      <c r="B2020" s="1">
        <f>DATE(2015,1,4) + TIME(21,58,9)</f>
        <v>42008.915381944447</v>
      </c>
      <c r="C2020">
        <v>1303.3146973</v>
      </c>
      <c r="D2020">
        <v>1290.3039550999999</v>
      </c>
      <c r="E2020">
        <v>1390.2277832</v>
      </c>
      <c r="F2020">
        <v>1370.6671143000001</v>
      </c>
      <c r="G2020">
        <v>80</v>
      </c>
      <c r="H2020">
        <v>75.053588867000002</v>
      </c>
      <c r="I2020">
        <v>50</v>
      </c>
      <c r="J2020">
        <v>49.980415344000001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1711.967157</v>
      </c>
      <c r="B2021" s="1">
        <f>DATE(2015,1,6) + TIME(23,12,42)</f>
        <v>42010.967152777775</v>
      </c>
      <c r="C2021">
        <v>1303.1784668</v>
      </c>
      <c r="D2021">
        <v>1290.1267089999999</v>
      </c>
      <c r="E2021">
        <v>1390.2308350000001</v>
      </c>
      <c r="F2021">
        <v>1370.6721190999999</v>
      </c>
      <c r="G2021">
        <v>80</v>
      </c>
      <c r="H2021">
        <v>74.936317443999997</v>
      </c>
      <c r="I2021">
        <v>50</v>
      </c>
      <c r="J2021">
        <v>49.980426788000003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1714.0425990000001</v>
      </c>
      <c r="B2022" s="1">
        <f>DATE(2015,1,9) + TIME(1,1,20)</f>
        <v>42013.042592592596</v>
      </c>
      <c r="C2022">
        <v>1303.0352783000001</v>
      </c>
      <c r="D2022">
        <v>1289.9393310999999</v>
      </c>
      <c r="E2022">
        <v>1390.2338867000001</v>
      </c>
      <c r="F2022">
        <v>1370.6770019999999</v>
      </c>
      <c r="G2022">
        <v>80</v>
      </c>
      <c r="H2022">
        <v>74.815879821999999</v>
      </c>
      <c r="I2022">
        <v>50</v>
      </c>
      <c r="J2022">
        <v>49.980438231999997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1716.15085</v>
      </c>
      <c r="B2023" s="1">
        <f>DATE(2015,1,11) + TIME(3,37,13)</f>
        <v>42015.15084490741</v>
      </c>
      <c r="C2023">
        <v>1302.8867187999999</v>
      </c>
      <c r="D2023">
        <v>1289.7442627</v>
      </c>
      <c r="E2023">
        <v>1390.2368164</v>
      </c>
      <c r="F2023">
        <v>1370.6817627</v>
      </c>
      <c r="G2023">
        <v>80</v>
      </c>
      <c r="H2023">
        <v>74.693557738999999</v>
      </c>
      <c r="I2023">
        <v>50</v>
      </c>
      <c r="J2023">
        <v>49.980449677000003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1718.2940229999999</v>
      </c>
      <c r="B2024" s="1">
        <f>DATE(2015,1,13) + TIME(7,3,23)</f>
        <v>42017.294016203705</v>
      </c>
      <c r="C2024">
        <v>1302.7325439000001</v>
      </c>
      <c r="D2024">
        <v>1289.5406493999999</v>
      </c>
      <c r="E2024">
        <v>1390.2395019999999</v>
      </c>
      <c r="F2024">
        <v>1370.6864014</v>
      </c>
      <c r="G2024">
        <v>80</v>
      </c>
      <c r="H2024">
        <v>74.569252014</v>
      </c>
      <c r="I2024">
        <v>50</v>
      </c>
      <c r="J2024">
        <v>49.980461120999998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1720.483457</v>
      </c>
      <c r="B2025" s="1">
        <f>DATE(2015,1,15) + TIME(11,36,10)</f>
        <v>42019.483449074076</v>
      </c>
      <c r="C2025">
        <v>1302.5721435999999</v>
      </c>
      <c r="D2025">
        <v>1289.3282471</v>
      </c>
      <c r="E2025">
        <v>1390.2420654</v>
      </c>
      <c r="F2025">
        <v>1370.690918</v>
      </c>
      <c r="G2025">
        <v>80</v>
      </c>
      <c r="H2025">
        <v>74.442497252999999</v>
      </c>
      <c r="I2025">
        <v>50</v>
      </c>
      <c r="J2025">
        <v>49.980472564999999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1722.730272</v>
      </c>
      <c r="B2026" s="1">
        <f>DATE(2015,1,17) + TIME(17,31,35)</f>
        <v>42021.730266203704</v>
      </c>
      <c r="C2026">
        <v>1302.4045410000001</v>
      </c>
      <c r="D2026">
        <v>1289.1053466999999</v>
      </c>
      <c r="E2026">
        <v>1390.2446289</v>
      </c>
      <c r="F2026">
        <v>1370.6953125</v>
      </c>
      <c r="G2026">
        <v>80</v>
      </c>
      <c r="H2026">
        <v>74.312454224000007</v>
      </c>
      <c r="I2026">
        <v>50</v>
      </c>
      <c r="J2026">
        <v>49.980484009000001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1725.0011730000001</v>
      </c>
      <c r="B2027" s="1">
        <f>DATE(2015,1,20) + TIME(0,1,41)</f>
        <v>42024.001168981478</v>
      </c>
      <c r="C2027">
        <v>1302.2288818</v>
      </c>
      <c r="D2027">
        <v>1288.8708495999999</v>
      </c>
      <c r="E2027">
        <v>1390.2469481999999</v>
      </c>
      <c r="F2027">
        <v>1370.6995850000001</v>
      </c>
      <c r="G2027">
        <v>80</v>
      </c>
      <c r="H2027">
        <v>74.178817749000004</v>
      </c>
      <c r="I2027">
        <v>50</v>
      </c>
      <c r="J2027">
        <v>49.980495453000003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1727.3070740000001</v>
      </c>
      <c r="B2028" s="1">
        <f>DATE(2015,1,22) + TIME(7,22,11)</f>
        <v>42026.307071759256</v>
      </c>
      <c r="C2028">
        <v>1302.046875</v>
      </c>
      <c r="D2028">
        <v>1288.6268310999999</v>
      </c>
      <c r="E2028">
        <v>1390.2491454999999</v>
      </c>
      <c r="F2028">
        <v>1370.7036132999999</v>
      </c>
      <c r="G2028">
        <v>80</v>
      </c>
      <c r="H2028">
        <v>74.041908264</v>
      </c>
      <c r="I2028">
        <v>50</v>
      </c>
      <c r="J2028">
        <v>49.980506896999998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1729.6488810000001</v>
      </c>
      <c r="B2029" s="1">
        <f>DATE(2015,1,24) + TIME(15,34,23)</f>
        <v>42028.648877314816</v>
      </c>
      <c r="C2029">
        <v>1301.8577881000001</v>
      </c>
      <c r="D2029">
        <v>1288.3723144999999</v>
      </c>
      <c r="E2029">
        <v>1390.2510986</v>
      </c>
      <c r="F2029">
        <v>1370.7076416</v>
      </c>
      <c r="G2029">
        <v>80</v>
      </c>
      <c r="H2029">
        <v>73.901138306000007</v>
      </c>
      <c r="I2029">
        <v>50</v>
      </c>
      <c r="J2029">
        <v>49.980518341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1732.038765</v>
      </c>
      <c r="B2030" s="1">
        <f>DATE(2015,1,27) + TIME(0,55,49)</f>
        <v>42031.038761574076</v>
      </c>
      <c r="C2030">
        <v>1301.661499</v>
      </c>
      <c r="D2030">
        <v>1288.1068115</v>
      </c>
      <c r="E2030">
        <v>1390.2529297000001</v>
      </c>
      <c r="F2030">
        <v>1370.7114257999999</v>
      </c>
      <c r="G2030">
        <v>80</v>
      </c>
      <c r="H2030">
        <v>73.755706786999994</v>
      </c>
      <c r="I2030">
        <v>50</v>
      </c>
      <c r="J2030">
        <v>49.980533600000001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1734.475715</v>
      </c>
      <c r="B2031" s="1">
        <f>DATE(2015,1,29) + TIME(11,25,1)</f>
        <v>42033.475706018522</v>
      </c>
      <c r="C2031">
        <v>1301.4566649999999</v>
      </c>
      <c r="D2031">
        <v>1287.8287353999999</v>
      </c>
      <c r="E2031">
        <v>1390.2546387</v>
      </c>
      <c r="F2031">
        <v>1370.7149658000001</v>
      </c>
      <c r="G2031">
        <v>80</v>
      </c>
      <c r="H2031">
        <v>73.604576111</v>
      </c>
      <c r="I2031">
        <v>50</v>
      </c>
      <c r="J2031">
        <v>49.980545044000003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1735.7378570000001</v>
      </c>
      <c r="B2032" s="1">
        <f>DATE(2015,1,30) + TIME(17,42,30)</f>
        <v>42034.737847222219</v>
      </c>
      <c r="C2032">
        <v>1301.2485352000001</v>
      </c>
      <c r="D2032">
        <v>1287.5520019999999</v>
      </c>
      <c r="E2032">
        <v>1390.2553711</v>
      </c>
      <c r="F2032">
        <v>1370.7177733999999</v>
      </c>
      <c r="G2032">
        <v>80</v>
      </c>
      <c r="H2032">
        <v>73.477516174000002</v>
      </c>
      <c r="I2032">
        <v>50</v>
      </c>
      <c r="J2032">
        <v>49.980552672999998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1737</v>
      </c>
      <c r="B2033" s="1">
        <f>DATE(2015,2,1) + TIME(0,0,0)</f>
        <v>42036</v>
      </c>
      <c r="C2033">
        <v>1301.1256103999999</v>
      </c>
      <c r="D2033">
        <v>1287.3778076000001</v>
      </c>
      <c r="E2033">
        <v>1390.2561035000001</v>
      </c>
      <c r="F2033">
        <v>1370.7194824000001</v>
      </c>
      <c r="G2033">
        <v>80</v>
      </c>
      <c r="H2033">
        <v>73.376129149999997</v>
      </c>
      <c r="I2033">
        <v>50</v>
      </c>
      <c r="J2033">
        <v>49.980560302999997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1738.9135100000001</v>
      </c>
      <c r="B2034" s="1">
        <f>DATE(2015,2,2) + TIME(21,55,27)</f>
        <v>42037.913506944446</v>
      </c>
      <c r="C2034">
        <v>1301.0048827999999</v>
      </c>
      <c r="D2034">
        <v>1287.2062988</v>
      </c>
      <c r="E2034">
        <v>1390.2570800999999</v>
      </c>
      <c r="F2034">
        <v>1370.7214355000001</v>
      </c>
      <c r="G2034">
        <v>80</v>
      </c>
      <c r="H2034">
        <v>73.269813537999994</v>
      </c>
      <c r="I2034">
        <v>50</v>
      </c>
      <c r="J2034">
        <v>49.980567932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1741.4290129999999</v>
      </c>
      <c r="B2035" s="1">
        <f>DATE(2015,2,5) + TIME(10,17,46)</f>
        <v>42040.42900462963</v>
      </c>
      <c r="C2035">
        <v>1300.8322754000001</v>
      </c>
      <c r="D2035">
        <v>1286.9689940999999</v>
      </c>
      <c r="E2035">
        <v>1390.2579346</v>
      </c>
      <c r="F2035">
        <v>1370.7238769999999</v>
      </c>
      <c r="G2035">
        <v>80</v>
      </c>
      <c r="H2035">
        <v>73.135589600000003</v>
      </c>
      <c r="I2035">
        <v>50</v>
      </c>
      <c r="J2035">
        <v>49.980583191000001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1743.9939959999999</v>
      </c>
      <c r="B2036" s="1">
        <f>DATE(2015,2,7) + TIME(23,51,21)</f>
        <v>42042.993993055556</v>
      </c>
      <c r="C2036">
        <v>1300.6054687999999</v>
      </c>
      <c r="D2036">
        <v>1286.6590576000001</v>
      </c>
      <c r="E2036">
        <v>1390.2585449000001</v>
      </c>
      <c r="F2036">
        <v>1370.7265625</v>
      </c>
      <c r="G2036">
        <v>80</v>
      </c>
      <c r="H2036">
        <v>72.967300414999997</v>
      </c>
      <c r="I2036">
        <v>50</v>
      </c>
      <c r="J2036">
        <v>49.980598450000002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1746.615031</v>
      </c>
      <c r="B2037" s="1">
        <f>DATE(2015,2,10) + TIME(14,45,38)</f>
        <v>42045.615023148152</v>
      </c>
      <c r="C2037">
        <v>1300.3643798999999</v>
      </c>
      <c r="D2037">
        <v>1286.3255615</v>
      </c>
      <c r="E2037">
        <v>1390.2587891000001</v>
      </c>
      <c r="F2037">
        <v>1370.7288818</v>
      </c>
      <c r="G2037">
        <v>80</v>
      </c>
      <c r="H2037">
        <v>72.782936096</v>
      </c>
      <c r="I2037">
        <v>50</v>
      </c>
      <c r="J2037">
        <v>49.980609893999997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1749.2755360000001</v>
      </c>
      <c r="B2038" s="1">
        <f>DATE(2015,2,13) + TIME(6,36,46)</f>
        <v>42048.27553240741</v>
      </c>
      <c r="C2038">
        <v>1300.1124268000001</v>
      </c>
      <c r="D2038">
        <v>1285.9748535000001</v>
      </c>
      <c r="E2038">
        <v>1390.2587891000001</v>
      </c>
      <c r="F2038">
        <v>1370.7310791</v>
      </c>
      <c r="G2038">
        <v>80</v>
      </c>
      <c r="H2038">
        <v>72.586296082000004</v>
      </c>
      <c r="I2038">
        <v>50</v>
      </c>
      <c r="J2038">
        <v>49.980625152999998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1751.9750280000001</v>
      </c>
      <c r="B2039" s="1">
        <f>DATE(2015,2,15) + TIME(23,24,2)</f>
        <v>42050.975023148145</v>
      </c>
      <c r="C2039">
        <v>1299.8518065999999</v>
      </c>
      <c r="D2039">
        <v>1285.6102295000001</v>
      </c>
      <c r="E2039">
        <v>1390.2584228999999</v>
      </c>
      <c r="F2039">
        <v>1370.7327881000001</v>
      </c>
      <c r="G2039">
        <v>80</v>
      </c>
      <c r="H2039">
        <v>72.37828064</v>
      </c>
      <c r="I2039">
        <v>50</v>
      </c>
      <c r="J2039">
        <v>49.980640411000003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1754.722317</v>
      </c>
      <c r="B2040" s="1">
        <f>DATE(2015,2,18) + TIME(17,20,8)</f>
        <v>42053.722314814811</v>
      </c>
      <c r="C2040">
        <v>1299.5831298999999</v>
      </c>
      <c r="D2040">
        <v>1285.2324219</v>
      </c>
      <c r="E2040">
        <v>1390.2575684000001</v>
      </c>
      <c r="F2040">
        <v>1370.7341309000001</v>
      </c>
      <c r="G2040">
        <v>80</v>
      </c>
      <c r="H2040">
        <v>72.158332825000002</v>
      </c>
      <c r="I2040">
        <v>50</v>
      </c>
      <c r="J2040">
        <v>49.980651854999998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1757.5002669999999</v>
      </c>
      <c r="B2041" s="1">
        <f>DATE(2015,2,21) + TIME(12,0,23)</f>
        <v>42056.5002662037</v>
      </c>
      <c r="C2041">
        <v>1299.3057861</v>
      </c>
      <c r="D2041">
        <v>1284.8409423999999</v>
      </c>
      <c r="E2041">
        <v>1390.2562256000001</v>
      </c>
      <c r="F2041">
        <v>1370.7351074000001</v>
      </c>
      <c r="G2041">
        <v>80</v>
      </c>
      <c r="H2041">
        <v>71.925613403</v>
      </c>
      <c r="I2041">
        <v>50</v>
      </c>
      <c r="J2041">
        <v>49.980667113999999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1760.319389</v>
      </c>
      <c r="B2042" s="1">
        <f>DATE(2015,2,24) + TIME(7,39,55)</f>
        <v>42059.319386574076</v>
      </c>
      <c r="C2042">
        <v>1299.0216064000001</v>
      </c>
      <c r="D2042">
        <v>1284.4377440999999</v>
      </c>
      <c r="E2042">
        <v>1390.2542725000001</v>
      </c>
      <c r="F2042">
        <v>1370.7354736</v>
      </c>
      <c r="G2042">
        <v>80</v>
      </c>
      <c r="H2042">
        <v>71.679969787999994</v>
      </c>
      <c r="I2042">
        <v>50</v>
      </c>
      <c r="J2042">
        <v>49.980682373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1763.1765399999999</v>
      </c>
      <c r="B2043" s="1">
        <f>DATE(2015,2,27) + TIME(4,14,13)</f>
        <v>42062.176539351851</v>
      </c>
      <c r="C2043">
        <v>1298.7299805</v>
      </c>
      <c r="D2043">
        <v>1284.0223389</v>
      </c>
      <c r="E2043">
        <v>1390.2518310999999</v>
      </c>
      <c r="F2043">
        <v>1370.7354736</v>
      </c>
      <c r="G2043">
        <v>80</v>
      </c>
      <c r="H2043">
        <v>71.420471191000004</v>
      </c>
      <c r="I2043">
        <v>50</v>
      </c>
      <c r="J2043">
        <v>49.980697632000002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1765</v>
      </c>
      <c r="B2044" s="1">
        <f>DATE(2015,3,1) + TIME(0,0,0)</f>
        <v>42064</v>
      </c>
      <c r="C2044">
        <v>1298.4364014</v>
      </c>
      <c r="D2044">
        <v>1283.6096190999999</v>
      </c>
      <c r="E2044">
        <v>1390.2481689000001</v>
      </c>
      <c r="F2044">
        <v>1370.7342529</v>
      </c>
      <c r="G2044">
        <v>80</v>
      </c>
      <c r="H2044">
        <v>71.177124023000005</v>
      </c>
      <c r="I2044">
        <v>50</v>
      </c>
      <c r="J2044">
        <v>49.980705260999997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1767.9039720000001</v>
      </c>
      <c r="B2045" s="1">
        <f>DATE(2015,3,3) + TIME(21,41,43)</f>
        <v>42066.903969907406</v>
      </c>
      <c r="C2045">
        <v>1298.2280272999999</v>
      </c>
      <c r="D2045">
        <v>1283.296875</v>
      </c>
      <c r="E2045">
        <v>1390.2464600000001</v>
      </c>
      <c r="F2045">
        <v>1370.7340088000001</v>
      </c>
      <c r="G2045">
        <v>80</v>
      </c>
      <c r="H2045">
        <v>70.950050353999998</v>
      </c>
      <c r="I2045">
        <v>50</v>
      </c>
      <c r="J2045">
        <v>49.980720519999998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1770.870674</v>
      </c>
      <c r="B2046" s="1">
        <f>DATE(2015,3,6) + TIME(20,53,46)</f>
        <v>42069.870671296296</v>
      </c>
      <c r="C2046">
        <v>1297.9304199000001</v>
      </c>
      <c r="D2046">
        <v>1282.8725586</v>
      </c>
      <c r="E2046">
        <v>1390.2421875</v>
      </c>
      <c r="F2046">
        <v>1370.7321777</v>
      </c>
      <c r="G2046">
        <v>80</v>
      </c>
      <c r="H2046">
        <v>70.664764403999996</v>
      </c>
      <c r="I2046">
        <v>50</v>
      </c>
      <c r="J2046">
        <v>49.980739593999999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1773.884303</v>
      </c>
      <c r="B2047" s="1">
        <f>DATE(2015,3,9) + TIME(21,13,23)</f>
        <v>42072.884293981479</v>
      </c>
      <c r="C2047">
        <v>1297.6179199000001</v>
      </c>
      <c r="D2047">
        <v>1282.4213867000001</v>
      </c>
      <c r="E2047">
        <v>1390.2370605000001</v>
      </c>
      <c r="F2047">
        <v>1370.7296143000001</v>
      </c>
      <c r="G2047">
        <v>80</v>
      </c>
      <c r="H2047">
        <v>70.353225707999997</v>
      </c>
      <c r="I2047">
        <v>50</v>
      </c>
      <c r="J2047">
        <v>49.980754851999997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1776.9574889999999</v>
      </c>
      <c r="B2048" s="1">
        <f>DATE(2015,3,12) + TIME(22,58,47)</f>
        <v>42075.957488425927</v>
      </c>
      <c r="C2048">
        <v>1297.2978516000001</v>
      </c>
      <c r="D2048">
        <v>1281.9562988</v>
      </c>
      <c r="E2048">
        <v>1390.2312012</v>
      </c>
      <c r="F2048">
        <v>1370.7264404</v>
      </c>
      <c r="G2048">
        <v>80</v>
      </c>
      <c r="H2048">
        <v>70.023124695000007</v>
      </c>
      <c r="I2048">
        <v>50</v>
      </c>
      <c r="J2048">
        <v>49.980770110999998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1780.067227</v>
      </c>
      <c r="B2049" s="1">
        <f>DATE(2015,3,16) + TIME(1,36,48)</f>
        <v>42079.06722222222</v>
      </c>
      <c r="C2049">
        <v>1296.9710693</v>
      </c>
      <c r="D2049">
        <v>1281.4793701000001</v>
      </c>
      <c r="E2049">
        <v>1390.2244873</v>
      </c>
      <c r="F2049">
        <v>1370.7224120999999</v>
      </c>
      <c r="G2049">
        <v>80</v>
      </c>
      <c r="H2049">
        <v>69.675140381000006</v>
      </c>
      <c r="I2049">
        <v>50</v>
      </c>
      <c r="J2049">
        <v>49.98078537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1783.2289490000001</v>
      </c>
      <c r="B2050" s="1">
        <f>DATE(2015,3,19) + TIME(5,29,41)</f>
        <v>42082.228946759256</v>
      </c>
      <c r="C2050">
        <v>1296.6402588000001</v>
      </c>
      <c r="D2050">
        <v>1280.9946289</v>
      </c>
      <c r="E2050">
        <v>1390.2167969</v>
      </c>
      <c r="F2050">
        <v>1370.7174072</v>
      </c>
      <c r="G2050">
        <v>80</v>
      </c>
      <c r="H2050">
        <v>69.311370850000003</v>
      </c>
      <c r="I2050">
        <v>50</v>
      </c>
      <c r="J2050">
        <v>49.980800629000001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1786.4639990000001</v>
      </c>
      <c r="B2051" s="1">
        <f>DATE(2015,3,22) + TIME(11,8,9)</f>
        <v>42085.463993055557</v>
      </c>
      <c r="C2051">
        <v>1296.3051757999999</v>
      </c>
      <c r="D2051">
        <v>1280.5013428</v>
      </c>
      <c r="E2051">
        <v>1390.2081298999999</v>
      </c>
      <c r="F2051">
        <v>1370.7115478999999</v>
      </c>
      <c r="G2051">
        <v>80</v>
      </c>
      <c r="H2051">
        <v>68.930763244999994</v>
      </c>
      <c r="I2051">
        <v>50</v>
      </c>
      <c r="J2051">
        <v>49.980819701999998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1789.7631630000001</v>
      </c>
      <c r="B2052" s="1">
        <f>DATE(2015,3,25) + TIME(18,18,57)</f>
        <v>42088.763159722221</v>
      </c>
      <c r="C2052">
        <v>1295.9643555</v>
      </c>
      <c r="D2052">
        <v>1279.9979248</v>
      </c>
      <c r="E2052">
        <v>1390.1983643000001</v>
      </c>
      <c r="F2052">
        <v>1370.7047118999999</v>
      </c>
      <c r="G2052">
        <v>80</v>
      </c>
      <c r="H2052">
        <v>68.532112122000001</v>
      </c>
      <c r="I2052">
        <v>50</v>
      </c>
      <c r="J2052">
        <v>49.980834960999999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1793.1297999999999</v>
      </c>
      <c r="B2053" s="1">
        <f>DATE(2015,3,29) + TIME(3,6,54)</f>
        <v>42092.129791666666</v>
      </c>
      <c r="C2053">
        <v>1295.6192627</v>
      </c>
      <c r="D2053">
        <v>1279.4860839999999</v>
      </c>
      <c r="E2053">
        <v>1390.1873779</v>
      </c>
      <c r="F2053">
        <v>1370.6967772999999</v>
      </c>
      <c r="G2053">
        <v>80</v>
      </c>
      <c r="H2053">
        <v>68.116188049000002</v>
      </c>
      <c r="I2053">
        <v>50</v>
      </c>
      <c r="J2053">
        <v>49.980850220000001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1796</v>
      </c>
      <c r="B2054" s="1">
        <f>DATE(2015,4,1) + TIME(0,0,0)</f>
        <v>42095</v>
      </c>
      <c r="C2054">
        <v>1295.2719727000001</v>
      </c>
      <c r="D2054">
        <v>1278.9727783000001</v>
      </c>
      <c r="E2054">
        <v>1390.1751709</v>
      </c>
      <c r="F2054">
        <v>1370.6875</v>
      </c>
      <c r="G2054">
        <v>80</v>
      </c>
      <c r="H2054">
        <v>67.698440551999994</v>
      </c>
      <c r="I2054">
        <v>50</v>
      </c>
      <c r="J2054">
        <v>49.980865479000002</v>
      </c>
      <c r="K2054">
        <v>0</v>
      </c>
      <c r="L2054">
        <v>2400</v>
      </c>
      <c r="M2054">
        <v>2400</v>
      </c>
      <c r="N205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2022-05-30T10:35:12Z</dcterms:created>
  <dcterms:modified xsi:type="dcterms:W3CDTF">2022-05-30T10:35:52Z</dcterms:modified>
</cp:coreProperties>
</file>