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3_large_well_spacing/"/>
    </mc:Choice>
  </mc:AlternateContent>
  <xr:revisionPtr revIDLastSave="0" documentId="8_{22BF6046-33D8-42EE-8623-1ED0126CE8AE}" xr6:coauthVersionLast="47" xr6:coauthVersionMax="47" xr10:uidLastSave="{00000000-0000-0000-0000-000000000000}"/>
  <bookViews>
    <workbookView xWindow="1140" yWindow="960" windowWidth="18915" windowHeight="9960" xr2:uid="{F9F9F6FB-BF77-4776-B8B1-7459AAFA3CD2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31" i="1" l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<sst xmlns="http://schemas.openxmlformats.org/spreadsheetml/2006/main" count="15" uniqueCount="15">
  <si>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MODEL\SCENARIOS\2022\S3_large_well_spacing\S3_large_well_spacing.sr3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</si>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</sst>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4A67D-E553-42A7-941E-790FAD0EE403}" name="Table1" displayName="Table1" ref="A3:N2131" totalsRowShown="0">
  <autoFilter ref="A3:N2131" xr:uid="{1A04A67D-E553-42A7-941E-790FAD0EE403}"/>
  <tableColumns count="14">
    <tableColumn id="1" xr3:uid="{CC59269C-936F-4B6D-8B5C-2B0FECE9C170}" name="Time (day)"/>
    <tableColumn id="2" xr3:uid="{2D23A538-8EC6-4574-8510-6614EF4F9618}" name="Date" dataDxfId="0"/>
    <tableColumn id="3" xr3:uid="{B5B9CD2B-52A3-4A4C-8EC4-96CB55F3406B}" name="Hot well INJ-Well bottom hole temperature (C)"/>
    <tableColumn id="4" xr3:uid="{8E518FDA-6097-4CC8-AB9A-3843CDB3E785}" name="Hot well PROD-Well bottom hole temperature (C)"/>
    <tableColumn id="5" xr3:uid="{AE520997-278C-488B-B652-4F82F555A213}" name="Warm well INJ-Well bottom hole temperature (C)"/>
    <tableColumn id="6" xr3:uid="{B935B373-8456-4BC2-9330-47472AB09539}" name="Warm well PROD-Well bottom hole temperature (C)"/>
    <tableColumn id="7" xr3:uid="{D6B73DFD-DA13-4305-8036-569C9B3B8EB8}" name="Hot well INJ-Well Bottom-hole Pressure (kPa)"/>
    <tableColumn id="8" xr3:uid="{222D9F1B-CA6C-4941-BFC7-70A345D0DA46}" name="Hot well PROD-Well Bottom-hole Pressure (kPa)"/>
    <tableColumn id="9" xr3:uid="{3C5EEEBC-9896-4C0A-A22C-509D8EC422E0}" name="Warm well INJ-Well Bottom-hole Pressure (kPa)"/>
    <tableColumn id="10" xr3:uid="{40F7C672-044A-4BCA-9252-9ECAFFABC12A}" name="Warm well PROD-Well Bottom-hole Pressure (kPa)"/>
    <tableColumn id="11" xr3:uid="{930F29CE-32E8-43B1-9E71-E9BC484E915B}" name="Hot well INJ-Fluid Rate SC (m³/day)"/>
    <tableColumn id="12" xr3:uid="{10761BAB-8F12-4A6B-ABA9-339682D1433D}" name="Hot well PROD-Fluid Rate SC (m³/day)"/>
    <tableColumn id="13" xr3:uid="{5D4958AD-4042-469D-B8EB-BD5DD13AFA26}" name="Warm well INJ-Fluid Rate SC (m³/day)"/>
    <tableColumn id="14" xr3:uid="{C1C0883E-9221-4E71-92E7-449E0988B321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12DB-99FF-4048-AF33-16C9325CA62E}">
  <dimension ref="A1:N2131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15.000118256</v>
      </c>
      <c r="E4">
        <v>50</v>
      </c>
      <c r="F4">
        <v>14.999955177</v>
      </c>
      <c r="G4">
        <v>1369.2735596</v>
      </c>
      <c r="H4">
        <v>1329.8488769999999</v>
      </c>
      <c r="I4">
        <v>1328.9722899999999</v>
      </c>
      <c r="J4">
        <v>1289.5467529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15.000466347</v>
      </c>
      <c r="E5">
        <v>50</v>
      </c>
      <c r="F5">
        <v>14.999827385</v>
      </c>
      <c r="G5">
        <v>1370.5152588000001</v>
      </c>
      <c r="H5">
        <v>1331.0908202999999</v>
      </c>
      <c r="I5">
        <v>1327.7358397999999</v>
      </c>
      <c r="J5">
        <v>1288.3100586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15.001453400000001</v>
      </c>
      <c r="E6">
        <v>50</v>
      </c>
      <c r="F6">
        <v>14.999503136</v>
      </c>
      <c r="G6">
        <v>1373.6901855000001</v>
      </c>
      <c r="H6">
        <v>1334.2667236</v>
      </c>
      <c r="I6">
        <v>1324.5737305</v>
      </c>
      <c r="J6">
        <v>1285.1474608999999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15.004107475</v>
      </c>
      <c r="E7">
        <v>50</v>
      </c>
      <c r="F7">
        <v>14.998830795</v>
      </c>
      <c r="G7">
        <v>1380.2470702999999</v>
      </c>
      <c r="H7">
        <v>1340.8262939000001</v>
      </c>
      <c r="I7">
        <v>1318.0427245999999</v>
      </c>
      <c r="J7">
        <v>1278.6156006000001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15.011060714999999</v>
      </c>
      <c r="E8">
        <v>50</v>
      </c>
      <c r="F8">
        <v>14.997821807999999</v>
      </c>
      <c r="G8">
        <v>1390.0941161999999</v>
      </c>
      <c r="H8">
        <v>1350.6802978999999</v>
      </c>
      <c r="I8">
        <v>1308.2297363</v>
      </c>
      <c r="J8">
        <v>1268.8012695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15.030023575</v>
      </c>
      <c r="E9">
        <v>50</v>
      </c>
      <c r="F9">
        <v>14.996678352</v>
      </c>
      <c r="G9">
        <v>1401.2493896000001</v>
      </c>
      <c r="H9">
        <v>1361.8554687999999</v>
      </c>
      <c r="I9">
        <v>1297.0947266000001</v>
      </c>
      <c r="J9">
        <v>1257.6650391000001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15.084579467999999</v>
      </c>
      <c r="E10">
        <v>50</v>
      </c>
      <c r="F10">
        <v>14.995523453000001</v>
      </c>
      <c r="G10">
        <v>1412.4664307</v>
      </c>
      <c r="H10">
        <v>1373.1290283000001</v>
      </c>
      <c r="I10">
        <v>1285.8405762</v>
      </c>
      <c r="J10">
        <v>1246.4095459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15.245540619</v>
      </c>
      <c r="E11">
        <v>50</v>
      </c>
      <c r="F11">
        <v>14.994379044</v>
      </c>
      <c r="G11">
        <v>1423.4780272999999</v>
      </c>
      <c r="H11">
        <v>1384.3065185999999</v>
      </c>
      <c r="I11">
        <v>1274.621582</v>
      </c>
      <c r="J11">
        <v>1235.1894531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15.722728729</v>
      </c>
      <c r="E12">
        <v>50</v>
      </c>
      <c r="F12">
        <v>14.993279457</v>
      </c>
      <c r="G12">
        <v>1433.7188721</v>
      </c>
      <c r="H12">
        <v>1395.0319824000001</v>
      </c>
      <c r="I12">
        <v>1263.6898193</v>
      </c>
      <c r="J12">
        <v>1224.2564697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2.359E-2</v>
      </c>
      <c r="B13" s="1">
        <f>DATE(2010,5,1) + TIME(0,33,58)</f>
        <v>40299.023587962962</v>
      </c>
      <c r="C13">
        <v>80</v>
      </c>
      <c r="D13">
        <v>16.708295822</v>
      </c>
      <c r="E13">
        <v>50</v>
      </c>
      <c r="F13">
        <v>14.992524146999999</v>
      </c>
      <c r="G13">
        <v>1440.1995850000001</v>
      </c>
      <c r="H13">
        <v>1402.4802245999999</v>
      </c>
      <c r="I13">
        <v>1255.895874</v>
      </c>
      <c r="J13">
        <v>1216.4616699000001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3.7540999999999998E-2</v>
      </c>
      <c r="B14" s="1">
        <f>DATE(2010,5,1) + TIME(0,54,3)</f>
        <v>40299.037534722222</v>
      </c>
      <c r="C14">
        <v>80</v>
      </c>
      <c r="D14">
        <v>17.694498062000001</v>
      </c>
      <c r="E14">
        <v>50</v>
      </c>
      <c r="F14">
        <v>14.992208481</v>
      </c>
      <c r="G14">
        <v>1442.4742432</v>
      </c>
      <c r="H14">
        <v>1405.6754149999999</v>
      </c>
      <c r="I14">
        <v>1252.4448242000001</v>
      </c>
      <c r="J14">
        <v>1213.010376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5.1686999999999997E-2</v>
      </c>
      <c r="B15" s="1">
        <f>DATE(2010,5,1) + TIME(1,14,25)</f>
        <v>40299.051678240743</v>
      </c>
      <c r="C15">
        <v>80</v>
      </c>
      <c r="D15">
        <v>18.680984497000001</v>
      </c>
      <c r="E15">
        <v>50</v>
      </c>
      <c r="F15">
        <v>14.992071151999999</v>
      </c>
      <c r="G15">
        <v>1443.0731201000001</v>
      </c>
      <c r="H15">
        <v>1407.1568603999999</v>
      </c>
      <c r="I15">
        <v>1250.7596435999999</v>
      </c>
      <c r="J15">
        <v>1211.3250731999999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6.6026000000000001E-2</v>
      </c>
      <c r="B16" s="1">
        <f>DATE(2010,5,1) + TIME(1,35,4)</f>
        <v>40299.066018518519</v>
      </c>
      <c r="C16">
        <v>80</v>
      </c>
      <c r="D16">
        <v>19.6673069</v>
      </c>
      <c r="E16">
        <v>50</v>
      </c>
      <c r="F16">
        <v>14.992018699999999</v>
      </c>
      <c r="G16">
        <v>1442.8879394999999</v>
      </c>
      <c r="H16">
        <v>1407.817749</v>
      </c>
      <c r="I16">
        <v>1249.9101562000001</v>
      </c>
      <c r="J16">
        <v>1210.4754639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8.0564999999999998E-2</v>
      </c>
      <c r="B17" s="1">
        <f>DATE(2010,5,1) + TIME(1,56,0)</f>
        <v>40299.080555555556</v>
      </c>
      <c r="C17">
        <v>80</v>
      </c>
      <c r="D17">
        <v>20.653985977000001</v>
      </c>
      <c r="E17">
        <v>50</v>
      </c>
      <c r="F17">
        <v>14.992009163000001</v>
      </c>
      <c r="G17">
        <v>1442.3066406</v>
      </c>
      <c r="H17">
        <v>1408.0485839999999</v>
      </c>
      <c r="I17">
        <v>1249.4838867000001</v>
      </c>
      <c r="J17">
        <v>1210.0490723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9.5298999999999995E-2</v>
      </c>
      <c r="B18" s="1">
        <f>DATE(2010,5,1) + TIME(2,17,13)</f>
        <v>40299.095289351855</v>
      </c>
      <c r="C18">
        <v>80</v>
      </c>
      <c r="D18">
        <v>21.640148162999999</v>
      </c>
      <c r="E18">
        <v>50</v>
      </c>
      <c r="F18">
        <v>14.992021561</v>
      </c>
      <c r="G18">
        <v>1441.5219727000001</v>
      </c>
      <c r="H18">
        <v>1408.0432129000001</v>
      </c>
      <c r="I18">
        <v>1249.2774658000001</v>
      </c>
      <c r="J18">
        <v>1209.8426514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0.11024100000000001</v>
      </c>
      <c r="B19" s="1">
        <f>DATE(2010,5,1) + TIME(2,38,44)</f>
        <v>40299.110231481478</v>
      </c>
      <c r="C19">
        <v>80</v>
      </c>
      <c r="D19">
        <v>22.625755309999999</v>
      </c>
      <c r="E19">
        <v>50</v>
      </c>
      <c r="F19">
        <v>14.992045403000001</v>
      </c>
      <c r="G19">
        <v>1440.6365966999999</v>
      </c>
      <c r="H19">
        <v>1407.9057617000001</v>
      </c>
      <c r="I19">
        <v>1249.1849365</v>
      </c>
      <c r="J19">
        <v>1209.7501221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0.12540100000000001</v>
      </c>
      <c r="B20" s="1">
        <f>DATE(2010,5,1) + TIME(3,0,34)</f>
        <v>40299.125393518516</v>
      </c>
      <c r="C20">
        <v>80</v>
      </c>
      <c r="D20">
        <v>23.611078261999999</v>
      </c>
      <c r="E20">
        <v>50</v>
      </c>
      <c r="F20">
        <v>14.992074966000001</v>
      </c>
      <c r="G20">
        <v>1439.7069091999999</v>
      </c>
      <c r="H20">
        <v>1407.6945800999999</v>
      </c>
      <c r="I20">
        <v>1249.1502685999999</v>
      </c>
      <c r="J20">
        <v>1209.7154541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0.14078599999999999</v>
      </c>
      <c r="B21" s="1">
        <f>DATE(2010,5,1) + TIME(3,22,43)</f>
        <v>40299.140775462962</v>
      </c>
      <c r="C21">
        <v>80</v>
      </c>
      <c r="D21">
        <v>24.596109389999999</v>
      </c>
      <c r="E21">
        <v>50</v>
      </c>
      <c r="F21">
        <v>14.992107390999999</v>
      </c>
      <c r="G21">
        <v>1438.7652588000001</v>
      </c>
      <c r="H21">
        <v>1407.4433594</v>
      </c>
      <c r="I21">
        <v>1249.1435547000001</v>
      </c>
      <c r="J21">
        <v>1209.7087402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0.15640499999999999</v>
      </c>
      <c r="B22" s="1">
        <f>DATE(2010,5,1) + TIME(3,45,13)</f>
        <v>40299.156400462962</v>
      </c>
      <c r="C22">
        <v>80</v>
      </c>
      <c r="D22">
        <v>25.581226349000001</v>
      </c>
      <c r="E22">
        <v>50</v>
      </c>
      <c r="F22">
        <v>14.992141724</v>
      </c>
      <c r="G22">
        <v>1437.8297118999999</v>
      </c>
      <c r="H22">
        <v>1407.1719971</v>
      </c>
      <c r="I22">
        <v>1249.1492920000001</v>
      </c>
      <c r="J22">
        <v>1209.7145995999999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0.172261</v>
      </c>
      <c r="B23" s="1">
        <f>DATE(2010,5,1) + TIME(4,8,3)</f>
        <v>40299.172256944446</v>
      </c>
      <c r="C23">
        <v>80</v>
      </c>
      <c r="D23">
        <v>26.565927505000001</v>
      </c>
      <c r="E23">
        <v>50</v>
      </c>
      <c r="F23">
        <v>14.992176056</v>
      </c>
      <c r="G23">
        <v>1436.9110106999999</v>
      </c>
      <c r="H23">
        <v>1406.8919678</v>
      </c>
      <c r="I23">
        <v>1249.1595459</v>
      </c>
      <c r="J23">
        <v>1209.7248535000001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0.188362</v>
      </c>
      <c r="B24" s="1">
        <f>DATE(2010,5,1) + TIME(4,31,14)</f>
        <v>40299.188356481478</v>
      </c>
      <c r="C24">
        <v>80</v>
      </c>
      <c r="D24">
        <v>27.550039291000001</v>
      </c>
      <c r="E24">
        <v>50</v>
      </c>
      <c r="F24">
        <v>14.992210388</v>
      </c>
      <c r="G24">
        <v>1436.0147704999999</v>
      </c>
      <c r="H24">
        <v>1406.6103516000001</v>
      </c>
      <c r="I24">
        <v>1249.1706543</v>
      </c>
      <c r="J24">
        <v>1209.7359618999999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0.20472399999999999</v>
      </c>
      <c r="B25" s="1">
        <f>DATE(2010,5,1) + TIME(4,54,48)</f>
        <v>40299.204722222225</v>
      </c>
      <c r="C25">
        <v>80</v>
      </c>
      <c r="D25">
        <v>28.533815384</v>
      </c>
      <c r="E25">
        <v>50</v>
      </c>
      <c r="F25">
        <v>14.99224472</v>
      </c>
      <c r="G25">
        <v>1435.1437988</v>
      </c>
      <c r="H25">
        <v>1406.3311768000001</v>
      </c>
      <c r="I25">
        <v>1249.1809082</v>
      </c>
      <c r="J25">
        <v>1209.7460937999999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0.221355</v>
      </c>
      <c r="B26" s="1">
        <f>DATE(2010,5,1) + TIME(5,18,45)</f>
        <v>40299.221354166664</v>
      </c>
      <c r="C26">
        <v>80</v>
      </c>
      <c r="D26">
        <v>29.517240524000002</v>
      </c>
      <c r="E26">
        <v>50</v>
      </c>
      <c r="F26">
        <v>14.992279053000001</v>
      </c>
      <c r="G26">
        <v>1434.2995605000001</v>
      </c>
      <c r="H26">
        <v>1406.0567627</v>
      </c>
      <c r="I26">
        <v>1249.1895752</v>
      </c>
      <c r="J26">
        <v>1209.7548827999999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0.23826700000000001</v>
      </c>
      <c r="B27" s="1">
        <f>DATE(2010,5,1) + TIME(5,43,6)</f>
        <v>40299.238263888888</v>
      </c>
      <c r="C27">
        <v>80</v>
      </c>
      <c r="D27">
        <v>30.500419616999999</v>
      </c>
      <c r="E27">
        <v>50</v>
      </c>
      <c r="F27">
        <v>14.992313384999999</v>
      </c>
      <c r="G27">
        <v>1433.4821777</v>
      </c>
      <c r="H27">
        <v>1405.7885742000001</v>
      </c>
      <c r="I27">
        <v>1249.1968993999999</v>
      </c>
      <c r="J27">
        <v>1209.7620850000001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0.25546799999999997</v>
      </c>
      <c r="B28" s="1">
        <f>DATE(2010,5,1) + TIME(6,7,52)</f>
        <v>40299.255462962959</v>
      </c>
      <c r="C28">
        <v>80</v>
      </c>
      <c r="D28">
        <v>31.483226775999999</v>
      </c>
      <c r="E28">
        <v>50</v>
      </c>
      <c r="F28">
        <v>14.992347716999999</v>
      </c>
      <c r="G28">
        <v>1432.6916504000001</v>
      </c>
      <c r="H28">
        <v>1405.5273437999999</v>
      </c>
      <c r="I28">
        <v>1249.2027588000001</v>
      </c>
      <c r="J28">
        <v>1209.7680664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0.27296999999999999</v>
      </c>
      <c r="B29" s="1">
        <f>DATE(2010,5,1) + TIME(6,33,4)</f>
        <v>40299.272962962961</v>
      </c>
      <c r="C29">
        <v>80</v>
      </c>
      <c r="D29">
        <v>32.465538025000001</v>
      </c>
      <c r="E29">
        <v>50</v>
      </c>
      <c r="F29">
        <v>14.992381096000001</v>
      </c>
      <c r="G29">
        <v>1431.9272461</v>
      </c>
      <c r="H29">
        <v>1405.2734375</v>
      </c>
      <c r="I29">
        <v>1249.2076416</v>
      </c>
      <c r="J29">
        <v>1209.7728271000001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0.29078700000000002</v>
      </c>
      <c r="B30" s="1">
        <f>DATE(2010,5,1) + TIME(6,58,43)</f>
        <v>40299.290775462963</v>
      </c>
      <c r="C30">
        <v>80</v>
      </c>
      <c r="D30">
        <v>33.447444916000002</v>
      </c>
      <c r="E30">
        <v>50</v>
      </c>
      <c r="F30">
        <v>14.992415427999999</v>
      </c>
      <c r="G30">
        <v>1431.1882324000001</v>
      </c>
      <c r="H30">
        <v>1405.0268555</v>
      </c>
      <c r="I30">
        <v>1249.2115478999999</v>
      </c>
      <c r="J30">
        <v>1209.7767334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0.30893199999999998</v>
      </c>
      <c r="B31" s="1">
        <f>DATE(2010,5,1) + TIME(7,24,51)</f>
        <v>40299.308923611112</v>
      </c>
      <c r="C31">
        <v>80</v>
      </c>
      <c r="D31">
        <v>34.428932189999998</v>
      </c>
      <c r="E31">
        <v>50</v>
      </c>
      <c r="F31">
        <v>14.99244976</v>
      </c>
      <c r="G31">
        <v>1430.4737548999999</v>
      </c>
      <c r="H31">
        <v>1404.7874756000001</v>
      </c>
      <c r="I31">
        <v>1249.2147216999999</v>
      </c>
      <c r="J31">
        <v>1209.7799072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0.32741999999999999</v>
      </c>
      <c r="B32" s="1">
        <f>DATE(2010,5,1) + TIME(7,51,29)</f>
        <v>40299.327418981484</v>
      </c>
      <c r="C32">
        <v>80</v>
      </c>
      <c r="D32">
        <v>35.409984588999997</v>
      </c>
      <c r="E32">
        <v>50</v>
      </c>
      <c r="F32">
        <v>14.992483139000001</v>
      </c>
      <c r="G32">
        <v>1429.7828368999999</v>
      </c>
      <c r="H32">
        <v>1404.5552978999999</v>
      </c>
      <c r="I32">
        <v>1249.2174072</v>
      </c>
      <c r="J32">
        <v>1209.7825928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0.34626499999999999</v>
      </c>
      <c r="B33" s="1">
        <f>DATE(2010,5,1) + TIME(8,18,37)</f>
        <v>40299.346261574072</v>
      </c>
      <c r="C33">
        <v>80</v>
      </c>
      <c r="D33">
        <v>36.390579224</v>
      </c>
      <c r="E33">
        <v>50</v>
      </c>
      <c r="F33">
        <v>14.992517470999999</v>
      </c>
      <c r="G33">
        <v>1429.1145019999999</v>
      </c>
      <c r="H33">
        <v>1404.3298339999999</v>
      </c>
      <c r="I33">
        <v>1249.2196045000001</v>
      </c>
      <c r="J33">
        <v>1209.7847899999999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0.36548199999999997</v>
      </c>
      <c r="B34" s="1">
        <f>DATE(2010,5,1) + TIME(8,46,17)</f>
        <v>40299.365474537037</v>
      </c>
      <c r="C34">
        <v>80</v>
      </c>
      <c r="D34">
        <v>37.370697020999998</v>
      </c>
      <c r="E34">
        <v>50</v>
      </c>
      <c r="F34">
        <v>14.992551804</v>
      </c>
      <c r="G34">
        <v>1428.4677733999999</v>
      </c>
      <c r="H34">
        <v>1404.1110839999999</v>
      </c>
      <c r="I34">
        <v>1249.2215576000001</v>
      </c>
      <c r="J34">
        <v>1209.7867432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0.38508999999999999</v>
      </c>
      <c r="B35" s="1">
        <f>DATE(2010,5,1) + TIME(9,14,31)</f>
        <v>40299.385081018518</v>
      </c>
      <c r="C35">
        <v>80</v>
      </c>
      <c r="D35">
        <v>38.350318909000002</v>
      </c>
      <c r="E35">
        <v>50</v>
      </c>
      <c r="F35">
        <v>14.992586136</v>
      </c>
      <c r="G35">
        <v>1427.8417969</v>
      </c>
      <c r="H35">
        <v>1403.8986815999999</v>
      </c>
      <c r="I35">
        <v>1249.2232666</v>
      </c>
      <c r="J35">
        <v>1209.7884521000001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0.40510499999999999</v>
      </c>
      <c r="B36" s="1">
        <f>DATE(2010,5,1) + TIME(9,43,21)</f>
        <v>40299.405104166668</v>
      </c>
      <c r="C36">
        <v>80</v>
      </c>
      <c r="D36">
        <v>39.329418181999998</v>
      </c>
      <c r="E36">
        <v>50</v>
      </c>
      <c r="F36">
        <v>14.992620468</v>
      </c>
      <c r="G36">
        <v>1427.2354736</v>
      </c>
      <c r="H36">
        <v>1403.6921387</v>
      </c>
      <c r="I36">
        <v>1249.2247314000001</v>
      </c>
      <c r="J36">
        <v>1209.7899170000001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0.42554799999999998</v>
      </c>
      <c r="B37" s="1">
        <f>DATE(2010,5,1) + TIME(10,12,47)</f>
        <v>40299.425543981481</v>
      </c>
      <c r="C37">
        <v>80</v>
      </c>
      <c r="D37">
        <v>40.308048247999999</v>
      </c>
      <c r="E37">
        <v>50</v>
      </c>
      <c r="F37">
        <v>14.9926548</v>
      </c>
      <c r="G37">
        <v>1426.6480713000001</v>
      </c>
      <c r="H37">
        <v>1403.4912108999999</v>
      </c>
      <c r="I37">
        <v>1249.2261963000001</v>
      </c>
      <c r="J37">
        <v>1209.7911377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0.44643699999999997</v>
      </c>
      <c r="B38" s="1">
        <f>DATE(2010,5,1) + TIME(10,42,52)</f>
        <v>40299.446435185186</v>
      </c>
      <c r="C38">
        <v>80</v>
      </c>
      <c r="D38">
        <v>41.286197661999999</v>
      </c>
      <c r="E38">
        <v>50</v>
      </c>
      <c r="F38">
        <v>14.992689133000001</v>
      </c>
      <c r="G38">
        <v>1426.0786132999999</v>
      </c>
      <c r="H38">
        <v>1403.2957764</v>
      </c>
      <c r="I38">
        <v>1249.2274170000001</v>
      </c>
      <c r="J38">
        <v>1209.7923584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0.46779199999999999</v>
      </c>
      <c r="B39" s="1">
        <f>DATE(2010,5,1) + TIME(11,13,37)</f>
        <v>40299.467789351853</v>
      </c>
      <c r="C39">
        <v>80</v>
      </c>
      <c r="D39">
        <v>42.263599395999996</v>
      </c>
      <c r="E39">
        <v>50</v>
      </c>
      <c r="F39">
        <v>14.992723464999999</v>
      </c>
      <c r="G39">
        <v>1425.5263672000001</v>
      </c>
      <c r="H39">
        <v>1403.1053466999999</v>
      </c>
      <c r="I39">
        <v>1249.2285156</v>
      </c>
      <c r="J39">
        <v>1209.793457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0.48964200000000002</v>
      </c>
      <c r="B40" s="1">
        <f>DATE(2010,5,1) + TIME(11,45,5)</f>
        <v>40299.489641203705</v>
      </c>
      <c r="C40">
        <v>80</v>
      </c>
      <c r="D40">
        <v>43.240375518999997</v>
      </c>
      <c r="E40">
        <v>50</v>
      </c>
      <c r="F40">
        <v>14.992757796999999</v>
      </c>
      <c r="G40">
        <v>1424.9904785000001</v>
      </c>
      <c r="H40">
        <v>1402.9195557</v>
      </c>
      <c r="I40">
        <v>1249.2294922000001</v>
      </c>
      <c r="J40">
        <v>1209.7944336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0.51201099999999999</v>
      </c>
      <c r="B41" s="1">
        <f>DATE(2010,5,1) + TIME(12,17,17)</f>
        <v>40299.512002314812</v>
      </c>
      <c r="C41">
        <v>80</v>
      </c>
      <c r="D41">
        <v>44.216487884999999</v>
      </c>
      <c r="E41">
        <v>50</v>
      </c>
      <c r="F41">
        <v>14.992793083</v>
      </c>
      <c r="G41">
        <v>1424.4702147999999</v>
      </c>
      <c r="H41">
        <v>1402.7381591999999</v>
      </c>
      <c r="I41">
        <v>1249.2304687999999</v>
      </c>
      <c r="J41">
        <v>1209.7954102000001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0.53492700000000004</v>
      </c>
      <c r="B42" s="1">
        <f>DATE(2010,5,1) + TIME(12,50,17)</f>
        <v>40299.534918981481</v>
      </c>
      <c r="C42">
        <v>80</v>
      </c>
      <c r="D42">
        <v>45.191909789999997</v>
      </c>
      <c r="E42">
        <v>50</v>
      </c>
      <c r="F42">
        <v>14.992827415000001</v>
      </c>
      <c r="G42">
        <v>1423.9647216999999</v>
      </c>
      <c r="H42">
        <v>1402.5609131000001</v>
      </c>
      <c r="I42">
        <v>1249.2313231999999</v>
      </c>
      <c r="J42">
        <v>1209.7962646000001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0.55842099999999995</v>
      </c>
      <c r="B43" s="1">
        <f>DATE(2010,5,1) + TIME(13,24,7)</f>
        <v>40299.55841435185</v>
      </c>
      <c r="C43">
        <v>80</v>
      </c>
      <c r="D43">
        <v>46.166595459</v>
      </c>
      <c r="E43">
        <v>50</v>
      </c>
      <c r="F43">
        <v>14.992862701</v>
      </c>
      <c r="G43">
        <v>1423.4733887</v>
      </c>
      <c r="H43">
        <v>1402.3875731999999</v>
      </c>
      <c r="I43">
        <v>1249.2321777</v>
      </c>
      <c r="J43">
        <v>1209.7969971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0.58252499999999996</v>
      </c>
      <c r="B44" s="1">
        <f>DATE(2010,5,1) + TIME(13,58,50)</f>
        <v>40299.58252314815</v>
      </c>
      <c r="C44">
        <v>80</v>
      </c>
      <c r="D44">
        <v>47.140506744</v>
      </c>
      <c r="E44">
        <v>50</v>
      </c>
      <c r="F44">
        <v>14.992897986999999</v>
      </c>
      <c r="G44">
        <v>1422.9954834</v>
      </c>
      <c r="H44">
        <v>1402.2176514</v>
      </c>
      <c r="I44">
        <v>1249.2329102000001</v>
      </c>
      <c r="J44">
        <v>1209.7977295000001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0.60727399999999998</v>
      </c>
      <c r="B45" s="1">
        <f>DATE(2010,5,1) + TIME(14,34,28)</f>
        <v>40299.607268518521</v>
      </c>
      <c r="C45">
        <v>80</v>
      </c>
      <c r="D45">
        <v>48.113601684999999</v>
      </c>
      <c r="E45">
        <v>50</v>
      </c>
      <c r="F45">
        <v>14.992933273</v>
      </c>
      <c r="G45">
        <v>1422.5302733999999</v>
      </c>
      <c r="H45">
        <v>1402.0509033000001</v>
      </c>
      <c r="I45">
        <v>1249.2336425999999</v>
      </c>
      <c r="J45">
        <v>1209.7983397999999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0.63270800000000005</v>
      </c>
      <c r="B46" s="1">
        <f>DATE(2010,5,1) + TIME(15,11,6)</f>
        <v>40299.632708333331</v>
      </c>
      <c r="C46">
        <v>80</v>
      </c>
      <c r="D46">
        <v>49.085826873999999</v>
      </c>
      <c r="E46">
        <v>50</v>
      </c>
      <c r="F46">
        <v>14.992968558999999</v>
      </c>
      <c r="G46">
        <v>1422.0772704999999</v>
      </c>
      <c r="H46">
        <v>1401.887207</v>
      </c>
      <c r="I46">
        <v>1249.2342529</v>
      </c>
      <c r="J46">
        <v>1209.7990723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0.65886900000000004</v>
      </c>
      <c r="B47" s="1">
        <f>DATE(2010,5,1) + TIME(15,48,46)</f>
        <v>40299.658865740741</v>
      </c>
      <c r="C47">
        <v>80</v>
      </c>
      <c r="D47">
        <v>50.057102202999999</v>
      </c>
      <c r="E47">
        <v>50</v>
      </c>
      <c r="F47">
        <v>14.993004798999999</v>
      </c>
      <c r="G47">
        <v>1421.6358643000001</v>
      </c>
      <c r="H47">
        <v>1401.7260742000001</v>
      </c>
      <c r="I47">
        <v>1249.2349853999999</v>
      </c>
      <c r="J47">
        <v>1209.7995605000001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0.68580300000000005</v>
      </c>
      <c r="B48" s="1">
        <f>DATE(2010,5,1) + TIME(16,27,33)</f>
        <v>40299.685798611114</v>
      </c>
      <c r="C48">
        <v>80</v>
      </c>
      <c r="D48">
        <v>51.026996613000001</v>
      </c>
      <c r="E48">
        <v>50</v>
      </c>
      <c r="F48">
        <v>14.993041039</v>
      </c>
      <c r="G48">
        <v>1421.2053223</v>
      </c>
      <c r="H48">
        <v>1401.5673827999999</v>
      </c>
      <c r="I48">
        <v>1249.2354736</v>
      </c>
      <c r="J48">
        <v>1209.8001709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0.71357300000000001</v>
      </c>
      <c r="B49" s="1">
        <f>DATE(2010,5,1) + TIME(17,7,32)</f>
        <v>40299.713564814818</v>
      </c>
      <c r="C49">
        <v>80</v>
      </c>
      <c r="D49">
        <v>51.996246337999999</v>
      </c>
      <c r="E49">
        <v>50</v>
      </c>
      <c r="F49">
        <v>14.993077277999999</v>
      </c>
      <c r="G49">
        <v>1420.7849120999999</v>
      </c>
      <c r="H49">
        <v>1401.4106445</v>
      </c>
      <c r="I49">
        <v>1249.2360839999999</v>
      </c>
      <c r="J49">
        <v>1209.8006591999999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0.74222500000000002</v>
      </c>
      <c r="B50" s="1">
        <f>DATE(2010,5,1) + TIME(17,48,48)</f>
        <v>40299.742222222223</v>
      </c>
      <c r="C50">
        <v>80</v>
      </c>
      <c r="D50">
        <v>52.964385986000003</v>
      </c>
      <c r="E50">
        <v>50</v>
      </c>
      <c r="F50">
        <v>14.993113517999999</v>
      </c>
      <c r="G50">
        <v>1420.3743896000001</v>
      </c>
      <c r="H50">
        <v>1401.2558594</v>
      </c>
      <c r="I50">
        <v>1249.2366943</v>
      </c>
      <c r="J50">
        <v>1209.8011475000001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0.77181900000000003</v>
      </c>
      <c r="B51" s="1">
        <f>DATE(2010,5,1) + TIME(18,31,25)</f>
        <v>40299.771817129629</v>
      </c>
      <c r="C51">
        <v>80</v>
      </c>
      <c r="D51">
        <v>53.931339264000002</v>
      </c>
      <c r="E51">
        <v>50</v>
      </c>
      <c r="F51">
        <v>14.993150711</v>
      </c>
      <c r="G51">
        <v>1419.9730225000001</v>
      </c>
      <c r="H51">
        <v>1401.1026611</v>
      </c>
      <c r="I51">
        <v>1249.2371826000001</v>
      </c>
      <c r="J51">
        <v>1209.8016356999999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0.80242400000000003</v>
      </c>
      <c r="B52" s="1">
        <f>DATE(2010,5,1) + TIME(19,15,29)</f>
        <v>40299.802418981482</v>
      </c>
      <c r="C52">
        <v>80</v>
      </c>
      <c r="D52">
        <v>54.897014618</v>
      </c>
      <c r="E52">
        <v>50</v>
      </c>
      <c r="F52">
        <v>14.993186951</v>
      </c>
      <c r="G52">
        <v>1419.5802002</v>
      </c>
      <c r="H52">
        <v>1400.9505615</v>
      </c>
      <c r="I52">
        <v>1249.2376709</v>
      </c>
      <c r="J52">
        <v>1209.802124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0.83411800000000003</v>
      </c>
      <c r="B53" s="1">
        <f>DATE(2010,5,1) + TIME(20,1,7)</f>
        <v>40299.834108796298</v>
      </c>
      <c r="C53">
        <v>80</v>
      </c>
      <c r="D53">
        <v>55.861316680999998</v>
      </c>
      <c r="E53">
        <v>50</v>
      </c>
      <c r="F53">
        <v>14.993225098</v>
      </c>
      <c r="G53">
        <v>1419.1955565999999</v>
      </c>
      <c r="H53">
        <v>1400.7994385</v>
      </c>
      <c r="I53">
        <v>1249.2381591999999</v>
      </c>
      <c r="J53">
        <v>1209.8024902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0.86698399999999998</v>
      </c>
      <c r="B54" s="1">
        <f>DATE(2010,5,1) + TIME(20,48,27)</f>
        <v>40299.866979166669</v>
      </c>
      <c r="C54">
        <v>80</v>
      </c>
      <c r="D54">
        <v>56.824150084999999</v>
      </c>
      <c r="E54">
        <v>50</v>
      </c>
      <c r="F54">
        <v>14.993262291000001</v>
      </c>
      <c r="G54">
        <v>1418.8184814000001</v>
      </c>
      <c r="H54">
        <v>1400.6490478999999</v>
      </c>
      <c r="I54">
        <v>1249.2386475000001</v>
      </c>
      <c r="J54">
        <v>1209.8029785000001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0.90112000000000003</v>
      </c>
      <c r="B55" s="1">
        <f>DATE(2010,5,1) + TIME(21,37,36)</f>
        <v>40299.90111111111</v>
      </c>
      <c r="C55">
        <v>80</v>
      </c>
      <c r="D55">
        <v>57.785388947000001</v>
      </c>
      <c r="E55">
        <v>50</v>
      </c>
      <c r="F55">
        <v>14.993301391999999</v>
      </c>
      <c r="G55">
        <v>1418.4483643000001</v>
      </c>
      <c r="H55">
        <v>1400.4989014</v>
      </c>
      <c r="I55">
        <v>1249.2391356999999</v>
      </c>
      <c r="J55">
        <v>1209.8033447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0.93663200000000002</v>
      </c>
      <c r="B56" s="1">
        <f>DATE(2010,5,1) + TIME(22,28,44)</f>
        <v>40299.936620370368</v>
      </c>
      <c r="C56">
        <v>80</v>
      </c>
      <c r="D56">
        <v>58.744907378999997</v>
      </c>
      <c r="E56">
        <v>50</v>
      </c>
      <c r="F56">
        <v>14.993339539000001</v>
      </c>
      <c r="G56">
        <v>1418.0847168</v>
      </c>
      <c r="H56">
        <v>1400.3488769999999</v>
      </c>
      <c r="I56">
        <v>1249.239624</v>
      </c>
      <c r="J56">
        <v>1209.8038329999999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0.97364200000000001</v>
      </c>
      <c r="B57" s="1">
        <f>DATE(2010,5,1) + TIME(23,22,2)</f>
        <v>40299.973634259259</v>
      </c>
      <c r="C57">
        <v>80</v>
      </c>
      <c r="D57">
        <v>59.702556610000002</v>
      </c>
      <c r="E57">
        <v>50</v>
      </c>
      <c r="F57">
        <v>14.993378638999999</v>
      </c>
      <c r="G57">
        <v>1417.7270507999999</v>
      </c>
      <c r="H57">
        <v>1400.1983643000001</v>
      </c>
      <c r="I57">
        <v>1249.2401123</v>
      </c>
      <c r="J57">
        <v>1209.8041992000001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1.012289</v>
      </c>
      <c r="B58" s="1">
        <f>DATE(2010,5,2) + TIME(0,17,41)</f>
        <v>40300.012280092589</v>
      </c>
      <c r="C58">
        <v>80</v>
      </c>
      <c r="D58">
        <v>60.657688141000001</v>
      </c>
      <c r="E58">
        <v>50</v>
      </c>
      <c r="F58">
        <v>14.993418694000001</v>
      </c>
      <c r="G58">
        <v>1417.3748779</v>
      </c>
      <c r="H58">
        <v>1400.0471190999999</v>
      </c>
      <c r="I58">
        <v>1249.2406006000001</v>
      </c>
      <c r="J58">
        <v>1209.8046875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1.052751</v>
      </c>
      <c r="B59" s="1">
        <f>DATE(2010,5,2) + TIME(1,15,57)</f>
        <v>40300.052743055552</v>
      </c>
      <c r="C59">
        <v>80</v>
      </c>
      <c r="D59">
        <v>61.610805511000002</v>
      </c>
      <c r="E59">
        <v>50</v>
      </c>
      <c r="F59">
        <v>14.993458748</v>
      </c>
      <c r="G59">
        <v>1417.0272216999999</v>
      </c>
      <c r="H59">
        <v>1399.8946533000001</v>
      </c>
      <c r="I59">
        <v>1249.2410889</v>
      </c>
      <c r="J59">
        <v>1209.8050536999999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1.0952029999999999</v>
      </c>
      <c r="B60" s="1">
        <f>DATE(2010,5,2) + TIME(2,17,5)</f>
        <v>40300.095196759263</v>
      </c>
      <c r="C60">
        <v>80</v>
      </c>
      <c r="D60">
        <v>62.561672211000001</v>
      </c>
      <c r="E60">
        <v>50</v>
      </c>
      <c r="F60">
        <v>14.993499756</v>
      </c>
      <c r="G60">
        <v>1416.6839600000001</v>
      </c>
      <c r="H60">
        <v>1399.7407227000001</v>
      </c>
      <c r="I60">
        <v>1249.2415771000001</v>
      </c>
      <c r="J60">
        <v>1209.8055420000001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1.13985</v>
      </c>
      <c r="B61" s="1">
        <f>DATE(2010,5,2) + TIME(3,21,22)</f>
        <v>40300.139837962961</v>
      </c>
      <c r="C61">
        <v>80</v>
      </c>
      <c r="D61">
        <v>63.509841919000003</v>
      </c>
      <c r="E61">
        <v>50</v>
      </c>
      <c r="F61">
        <v>14.993540764</v>
      </c>
      <c r="G61">
        <v>1416.3442382999999</v>
      </c>
      <c r="H61">
        <v>1399.5848389</v>
      </c>
      <c r="I61">
        <v>1249.2420654</v>
      </c>
      <c r="J61">
        <v>1209.8060303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1.186936</v>
      </c>
      <c r="B62" s="1">
        <f>DATE(2010,5,2) + TIME(4,29,11)</f>
        <v>40300.186932870369</v>
      </c>
      <c r="C62">
        <v>80</v>
      </c>
      <c r="D62">
        <v>64.455017089999998</v>
      </c>
      <c r="E62">
        <v>50</v>
      </c>
      <c r="F62">
        <v>14.993583679</v>
      </c>
      <c r="G62">
        <v>1416.0074463000001</v>
      </c>
      <c r="H62">
        <v>1399.4262695</v>
      </c>
      <c r="I62">
        <v>1249.2426757999999</v>
      </c>
      <c r="J62">
        <v>1209.8065185999999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1.2367539999999999</v>
      </c>
      <c r="B63" s="1">
        <f>DATE(2010,5,2) + TIME(5,40,55)</f>
        <v>40300.236747685187</v>
      </c>
      <c r="C63">
        <v>80</v>
      </c>
      <c r="D63">
        <v>65.396972656000003</v>
      </c>
      <c r="E63">
        <v>50</v>
      </c>
      <c r="F63">
        <v>14.993626595</v>
      </c>
      <c r="G63">
        <v>1415.6728516000001</v>
      </c>
      <c r="H63">
        <v>1399.2646483999999</v>
      </c>
      <c r="I63">
        <v>1249.2432861</v>
      </c>
      <c r="J63">
        <v>1209.8070068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1.289642</v>
      </c>
      <c r="B64" s="1">
        <f>DATE(2010,5,2) + TIME(6,57,5)</f>
        <v>40300.289641203701</v>
      </c>
      <c r="C64">
        <v>80</v>
      </c>
      <c r="D64">
        <v>66.335258483999993</v>
      </c>
      <c r="E64">
        <v>50</v>
      </c>
      <c r="F64">
        <v>14.993670463999999</v>
      </c>
      <c r="G64">
        <v>1415.3397216999999</v>
      </c>
      <c r="H64">
        <v>1399.0992432</v>
      </c>
      <c r="I64">
        <v>1249.2438964999999</v>
      </c>
      <c r="J64">
        <v>1209.8076172000001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1.317825</v>
      </c>
      <c r="B65" s="1">
        <f>DATE(2010,5,2) + TIME(7,37,40)</f>
        <v>40300.317824074074</v>
      </c>
      <c r="C65">
        <v>80</v>
      </c>
      <c r="D65">
        <v>66.819053650000001</v>
      </c>
      <c r="E65">
        <v>50</v>
      </c>
      <c r="F65">
        <v>14.993694305</v>
      </c>
      <c r="G65">
        <v>1415.1484375</v>
      </c>
      <c r="H65">
        <v>1398.9675293</v>
      </c>
      <c r="I65">
        <v>1249.2445068</v>
      </c>
      <c r="J65">
        <v>1209.8081055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1.346009</v>
      </c>
      <c r="B66" s="1">
        <f>DATE(2010,5,2) + TIME(8,18,15)</f>
        <v>40300.346006944441</v>
      </c>
      <c r="C66">
        <v>80</v>
      </c>
      <c r="D66">
        <v>67.286293029999996</v>
      </c>
      <c r="E66">
        <v>50</v>
      </c>
      <c r="F66">
        <v>14.993717194</v>
      </c>
      <c r="G66">
        <v>1414.9805908000001</v>
      </c>
      <c r="H66">
        <v>1398.880249</v>
      </c>
      <c r="I66">
        <v>1249.2449951000001</v>
      </c>
      <c r="J66">
        <v>1209.8084716999999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1.3741920000000001</v>
      </c>
      <c r="B67" s="1">
        <f>DATE(2010,5,2) + TIME(8,58,50)</f>
        <v>40300.374189814815</v>
      </c>
      <c r="C67">
        <v>80</v>
      </c>
      <c r="D67">
        <v>67.737510681000003</v>
      </c>
      <c r="E67">
        <v>50</v>
      </c>
      <c r="F67">
        <v>14.993739128</v>
      </c>
      <c r="G67">
        <v>1414.8188477000001</v>
      </c>
      <c r="H67">
        <v>1398.7946777</v>
      </c>
      <c r="I67">
        <v>1249.2453613</v>
      </c>
      <c r="J67">
        <v>1209.8088379000001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1.4023749999999999</v>
      </c>
      <c r="B68" s="1">
        <f>DATE(2010,5,2) + TIME(9,39,25)</f>
        <v>40300.402372685188</v>
      </c>
      <c r="C68">
        <v>80</v>
      </c>
      <c r="D68">
        <v>68.173194885000001</v>
      </c>
      <c r="E68">
        <v>50</v>
      </c>
      <c r="F68">
        <v>14.993761063000001</v>
      </c>
      <c r="G68">
        <v>1414.6618652</v>
      </c>
      <c r="H68">
        <v>1398.7105713000001</v>
      </c>
      <c r="I68">
        <v>1249.2457274999999</v>
      </c>
      <c r="J68">
        <v>1209.8092041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1.4305589999999999</v>
      </c>
      <c r="B69" s="1">
        <f>DATE(2010,5,2) + TIME(10,20,0)</f>
        <v>40300.430555555555</v>
      </c>
      <c r="C69">
        <v>80</v>
      </c>
      <c r="D69">
        <v>68.593856811999999</v>
      </c>
      <c r="E69">
        <v>50</v>
      </c>
      <c r="F69">
        <v>14.993782997</v>
      </c>
      <c r="G69">
        <v>1414.5096435999999</v>
      </c>
      <c r="H69">
        <v>1398.6275635</v>
      </c>
      <c r="I69">
        <v>1249.2460937999999</v>
      </c>
      <c r="J69">
        <v>1209.8095702999999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1.458742</v>
      </c>
      <c r="B70" s="1">
        <f>DATE(2010,5,2) + TIME(11,0,35)</f>
        <v>40300.458738425928</v>
      </c>
      <c r="C70">
        <v>80</v>
      </c>
      <c r="D70">
        <v>68.999954224000007</v>
      </c>
      <c r="E70">
        <v>50</v>
      </c>
      <c r="F70">
        <v>14.993803978000001</v>
      </c>
      <c r="G70">
        <v>1414.3616943</v>
      </c>
      <c r="H70">
        <v>1398.5457764</v>
      </c>
      <c r="I70">
        <v>1249.2464600000001</v>
      </c>
      <c r="J70">
        <v>1209.8099365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1.4869250000000001</v>
      </c>
      <c r="B71" s="1">
        <f>DATE(2010,5,2) + TIME(11,41,10)</f>
        <v>40300.486921296295</v>
      </c>
      <c r="C71">
        <v>80</v>
      </c>
      <c r="D71">
        <v>69.391975403000004</v>
      </c>
      <c r="E71">
        <v>50</v>
      </c>
      <c r="F71">
        <v>14.993824005</v>
      </c>
      <c r="G71">
        <v>1414.2178954999999</v>
      </c>
      <c r="H71">
        <v>1398.4650879000001</v>
      </c>
      <c r="I71">
        <v>1249.2468262</v>
      </c>
      <c r="J71">
        <v>1209.8101807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1.515109</v>
      </c>
      <c r="B72" s="1">
        <f>DATE(2010,5,2) + TIME(12,21,45)</f>
        <v>40300.515104166669</v>
      </c>
      <c r="C72">
        <v>80</v>
      </c>
      <c r="D72">
        <v>69.770355225000003</v>
      </c>
      <c r="E72">
        <v>50</v>
      </c>
      <c r="F72">
        <v>14.993844985999999</v>
      </c>
      <c r="G72">
        <v>1414.078125</v>
      </c>
      <c r="H72">
        <v>1398.3854980000001</v>
      </c>
      <c r="I72">
        <v>1249.2471923999999</v>
      </c>
      <c r="J72">
        <v>1209.8105469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1.571475</v>
      </c>
      <c r="B73" s="1">
        <f>DATE(2010,5,2) + TIME(13,42,55)</f>
        <v>40300.571469907409</v>
      </c>
      <c r="C73">
        <v>80</v>
      </c>
      <c r="D73">
        <v>70.474700928000004</v>
      </c>
      <c r="E73">
        <v>50</v>
      </c>
      <c r="F73">
        <v>14.993883133000001</v>
      </c>
      <c r="G73">
        <v>1413.8431396000001</v>
      </c>
      <c r="H73">
        <v>1398.2817382999999</v>
      </c>
      <c r="I73">
        <v>1249.2476807</v>
      </c>
      <c r="J73">
        <v>1209.8110352000001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1.627947</v>
      </c>
      <c r="B74" s="1">
        <f>DATE(2010,5,2) + TIME(15,4,14)</f>
        <v>40300.627939814818</v>
      </c>
      <c r="C74">
        <v>80</v>
      </c>
      <c r="D74">
        <v>71.132392882999994</v>
      </c>
      <c r="E74">
        <v>50</v>
      </c>
      <c r="F74">
        <v>14.993920326</v>
      </c>
      <c r="G74">
        <v>1413.5909423999999</v>
      </c>
      <c r="H74">
        <v>1398.1292725000001</v>
      </c>
      <c r="I74">
        <v>1249.2484131000001</v>
      </c>
      <c r="J74">
        <v>1209.8116454999999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1.6847749999999999</v>
      </c>
      <c r="B75" s="1">
        <f>DATE(2010,5,2) + TIME(16,26,4)</f>
        <v>40300.68476851852</v>
      </c>
      <c r="C75">
        <v>80</v>
      </c>
      <c r="D75">
        <v>71.748916625999996</v>
      </c>
      <c r="E75">
        <v>50</v>
      </c>
      <c r="F75">
        <v>14.99395752</v>
      </c>
      <c r="G75">
        <v>1413.348999</v>
      </c>
      <c r="H75">
        <v>1397.9792480000001</v>
      </c>
      <c r="I75">
        <v>1249.2491454999999</v>
      </c>
      <c r="J75">
        <v>1209.8122559000001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1.742038</v>
      </c>
      <c r="B76" s="1">
        <f>DATE(2010,5,2) + TIME(17,48,32)</f>
        <v>40300.742037037038</v>
      </c>
      <c r="C76">
        <v>80</v>
      </c>
      <c r="D76">
        <v>72.327140807999996</v>
      </c>
      <c r="E76">
        <v>50</v>
      </c>
      <c r="F76">
        <v>14.993992805</v>
      </c>
      <c r="G76">
        <v>1413.1166992000001</v>
      </c>
      <c r="H76">
        <v>1397.8316649999999</v>
      </c>
      <c r="I76">
        <v>1249.2498779</v>
      </c>
      <c r="J76">
        <v>1209.8129882999999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1.799817</v>
      </c>
      <c r="B77" s="1">
        <f>DATE(2010,5,2) + TIME(19,11,44)</f>
        <v>40300.799814814818</v>
      </c>
      <c r="C77">
        <v>80</v>
      </c>
      <c r="D77">
        <v>72.869697571000003</v>
      </c>
      <c r="E77">
        <v>50</v>
      </c>
      <c r="F77">
        <v>14.994027138</v>
      </c>
      <c r="G77">
        <v>1412.8928223</v>
      </c>
      <c r="H77">
        <v>1397.6859131000001</v>
      </c>
      <c r="I77">
        <v>1249.2506103999999</v>
      </c>
      <c r="J77">
        <v>1209.8137207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1.858195</v>
      </c>
      <c r="B78" s="1">
        <f>DATE(2010,5,2) + TIME(20,35,48)</f>
        <v>40300.858194444445</v>
      </c>
      <c r="C78">
        <v>80</v>
      </c>
      <c r="D78">
        <v>73.378952025999993</v>
      </c>
      <c r="E78">
        <v>50</v>
      </c>
      <c r="F78">
        <v>14.994060515999999</v>
      </c>
      <c r="G78">
        <v>1412.6766356999999</v>
      </c>
      <c r="H78">
        <v>1397.5417480000001</v>
      </c>
      <c r="I78">
        <v>1249.2513428</v>
      </c>
      <c r="J78">
        <v>1209.8144531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1.9172469999999999</v>
      </c>
      <c r="B79" s="1">
        <f>DATE(2010,5,2) + TIME(22,0,50)</f>
        <v>40300.917245370372</v>
      </c>
      <c r="C79">
        <v>80</v>
      </c>
      <c r="D79">
        <v>73.856987000000004</v>
      </c>
      <c r="E79">
        <v>50</v>
      </c>
      <c r="F79">
        <v>14.994093895000001</v>
      </c>
      <c r="G79">
        <v>1412.4672852000001</v>
      </c>
      <c r="H79">
        <v>1397.3989257999999</v>
      </c>
      <c r="I79">
        <v>1249.2521973</v>
      </c>
      <c r="J79">
        <v>1209.8151855000001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1.9770559999999999</v>
      </c>
      <c r="B80" s="1">
        <f>DATE(2010,5,2) + TIME(23,26,57)</f>
        <v>40300.977048611108</v>
      </c>
      <c r="C80">
        <v>80</v>
      </c>
      <c r="D80">
        <v>74.305755614999995</v>
      </c>
      <c r="E80">
        <v>50</v>
      </c>
      <c r="F80">
        <v>14.994125366</v>
      </c>
      <c r="G80">
        <v>1412.2639160000001</v>
      </c>
      <c r="H80">
        <v>1397.2572021000001</v>
      </c>
      <c r="I80">
        <v>1249.2529297000001</v>
      </c>
      <c r="J80">
        <v>1209.815918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2.0377130000000001</v>
      </c>
      <c r="B81" s="1">
        <f>DATE(2010,5,3) + TIME(0,54,18)</f>
        <v>40301.037708333337</v>
      </c>
      <c r="C81">
        <v>80</v>
      </c>
      <c r="D81">
        <v>74.727081299000005</v>
      </c>
      <c r="E81">
        <v>50</v>
      </c>
      <c r="F81">
        <v>14.994157790999999</v>
      </c>
      <c r="G81">
        <v>1412.0660399999999</v>
      </c>
      <c r="H81">
        <v>1397.1162108999999</v>
      </c>
      <c r="I81">
        <v>1249.2537841999999</v>
      </c>
      <c r="J81">
        <v>1209.8166504000001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2.099307</v>
      </c>
      <c r="B82" s="1">
        <f>DATE(2010,5,3) + TIME(2,23,0)</f>
        <v>40301.099305555559</v>
      </c>
      <c r="C82">
        <v>80</v>
      </c>
      <c r="D82">
        <v>75.122497558999996</v>
      </c>
      <c r="E82">
        <v>50</v>
      </c>
      <c r="F82">
        <v>14.994188309</v>
      </c>
      <c r="G82">
        <v>1411.8730469</v>
      </c>
      <c r="H82">
        <v>1396.9759521000001</v>
      </c>
      <c r="I82">
        <v>1249.2545166</v>
      </c>
      <c r="J82">
        <v>1209.8173827999999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2.1619280000000001</v>
      </c>
      <c r="B83" s="1">
        <f>DATE(2010,5,3) + TIME(3,53,10)</f>
        <v>40301.161921296298</v>
      </c>
      <c r="C83">
        <v>80</v>
      </c>
      <c r="D83">
        <v>75.493385314999998</v>
      </c>
      <c r="E83">
        <v>50</v>
      </c>
      <c r="F83">
        <v>14.994218826000001</v>
      </c>
      <c r="G83">
        <v>1411.6842041</v>
      </c>
      <c r="H83">
        <v>1396.8359375</v>
      </c>
      <c r="I83">
        <v>1249.255249</v>
      </c>
      <c r="J83">
        <v>1209.8181152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2.2256719999999999</v>
      </c>
      <c r="B84" s="1">
        <f>DATE(2010,5,3) + TIME(5,24,58)</f>
        <v>40301.225671296299</v>
      </c>
      <c r="C84">
        <v>80</v>
      </c>
      <c r="D84">
        <v>75.841323853000006</v>
      </c>
      <c r="E84">
        <v>50</v>
      </c>
      <c r="F84">
        <v>14.994249344</v>
      </c>
      <c r="G84">
        <v>1411.4992675999999</v>
      </c>
      <c r="H84">
        <v>1396.6960449000001</v>
      </c>
      <c r="I84">
        <v>1249.2561035000001</v>
      </c>
      <c r="J84">
        <v>1209.8188477000001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2.2906399999999998</v>
      </c>
      <c r="B85" s="1">
        <f>DATE(2010,5,3) + TIME(6,58,31)</f>
        <v>40301.290636574071</v>
      </c>
      <c r="C85">
        <v>80</v>
      </c>
      <c r="D85">
        <v>76.167572020999998</v>
      </c>
      <c r="E85">
        <v>50</v>
      </c>
      <c r="F85">
        <v>14.994278908</v>
      </c>
      <c r="G85">
        <v>1411.3175048999999</v>
      </c>
      <c r="H85">
        <v>1396.5561522999999</v>
      </c>
      <c r="I85">
        <v>1249.2569579999999</v>
      </c>
      <c r="J85">
        <v>1209.8195800999999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2.356938</v>
      </c>
      <c r="B86" s="1">
        <f>DATE(2010,5,3) + TIME(8,33,59)</f>
        <v>40301.356932870367</v>
      </c>
      <c r="C86">
        <v>80</v>
      </c>
      <c r="D86">
        <v>76.473312378000003</v>
      </c>
      <c r="E86">
        <v>50</v>
      </c>
      <c r="F86">
        <v>14.994308472</v>
      </c>
      <c r="G86">
        <v>1411.1387939000001</v>
      </c>
      <c r="H86">
        <v>1396.4160156</v>
      </c>
      <c r="I86">
        <v>1249.2576904</v>
      </c>
      <c r="J86">
        <v>1209.8204346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2.4246819999999998</v>
      </c>
      <c r="B87" s="1">
        <f>DATE(2010,5,3) + TIME(10,11,32)</f>
        <v>40301.424675925926</v>
      </c>
      <c r="C87">
        <v>80</v>
      </c>
      <c r="D87">
        <v>76.759643554999997</v>
      </c>
      <c r="E87">
        <v>50</v>
      </c>
      <c r="F87">
        <v>14.994337081999999</v>
      </c>
      <c r="G87">
        <v>1410.9624022999999</v>
      </c>
      <c r="H87">
        <v>1396.2755127</v>
      </c>
      <c r="I87">
        <v>1249.2585449000001</v>
      </c>
      <c r="J87">
        <v>1209.8211670000001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2.4939909999999998</v>
      </c>
      <c r="B88" s="1">
        <f>DATE(2010,5,3) + TIME(11,51,20)</f>
        <v>40301.493981481479</v>
      </c>
      <c r="C88">
        <v>80</v>
      </c>
      <c r="D88">
        <v>77.027587890999996</v>
      </c>
      <c r="E88">
        <v>50</v>
      </c>
      <c r="F88">
        <v>14.994365692000001</v>
      </c>
      <c r="G88">
        <v>1410.7883300999999</v>
      </c>
      <c r="H88">
        <v>1396.1345214999999</v>
      </c>
      <c r="I88">
        <v>1249.2593993999999</v>
      </c>
      <c r="J88">
        <v>1209.8220214999999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2.565007</v>
      </c>
      <c r="B89" s="1">
        <f>DATE(2010,5,3) + TIME(13,33,36)</f>
        <v>40301.565000000002</v>
      </c>
      <c r="C89">
        <v>80</v>
      </c>
      <c r="D89">
        <v>77.278121948000006</v>
      </c>
      <c r="E89">
        <v>50</v>
      </c>
      <c r="F89">
        <v>14.994394302</v>
      </c>
      <c r="G89">
        <v>1410.6159668</v>
      </c>
      <c r="H89">
        <v>1395.9926757999999</v>
      </c>
      <c r="I89">
        <v>1249.2601318</v>
      </c>
      <c r="J89">
        <v>1209.8227539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2.6378870000000001</v>
      </c>
      <c r="B90" s="1">
        <f>DATE(2010,5,3) + TIME(15,18,33)</f>
        <v>40301.637881944444</v>
      </c>
      <c r="C90">
        <v>80</v>
      </c>
      <c r="D90">
        <v>77.512191771999994</v>
      </c>
      <c r="E90">
        <v>50</v>
      </c>
      <c r="F90">
        <v>14.994422912999999</v>
      </c>
      <c r="G90">
        <v>1410.4449463000001</v>
      </c>
      <c r="H90">
        <v>1395.8499756000001</v>
      </c>
      <c r="I90">
        <v>1249.2609863</v>
      </c>
      <c r="J90">
        <v>1209.8236084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2.7127629999999998</v>
      </c>
      <c r="B91" s="1">
        <f>DATE(2010,5,3) + TIME(17,6,22)</f>
        <v>40301.712754629632</v>
      </c>
      <c r="C91">
        <v>80</v>
      </c>
      <c r="D91">
        <v>77.730552673000005</v>
      </c>
      <c r="E91">
        <v>50</v>
      </c>
      <c r="F91">
        <v>14.994450569</v>
      </c>
      <c r="G91">
        <v>1410.2750243999999</v>
      </c>
      <c r="H91">
        <v>1395.7060547000001</v>
      </c>
      <c r="I91">
        <v>1249.2618408000001</v>
      </c>
      <c r="J91">
        <v>1209.8244629000001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2.789806</v>
      </c>
      <c r="B92" s="1">
        <f>DATE(2010,5,3) + TIME(18,57,19)</f>
        <v>40301.789803240739</v>
      </c>
      <c r="C92">
        <v>80</v>
      </c>
      <c r="D92">
        <v>77.933990479000002</v>
      </c>
      <c r="E92">
        <v>50</v>
      </c>
      <c r="F92">
        <v>14.994479179000001</v>
      </c>
      <c r="G92">
        <v>1410.105957</v>
      </c>
      <c r="H92">
        <v>1395.5609131000001</v>
      </c>
      <c r="I92">
        <v>1249.2626952999999</v>
      </c>
      <c r="J92">
        <v>1209.8253173999999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2.8692009999999999</v>
      </c>
      <c r="B93" s="1">
        <f>DATE(2010,5,3) + TIME(20,51,38)</f>
        <v>40301.869189814817</v>
      </c>
      <c r="C93">
        <v>80</v>
      </c>
      <c r="D93">
        <v>78.123268127000003</v>
      </c>
      <c r="E93">
        <v>50</v>
      </c>
      <c r="F93">
        <v>14.994506835999999</v>
      </c>
      <c r="G93">
        <v>1409.9372559000001</v>
      </c>
      <c r="H93">
        <v>1395.4144286999999</v>
      </c>
      <c r="I93">
        <v>1249.2636719</v>
      </c>
      <c r="J93">
        <v>1209.8261719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2.951152</v>
      </c>
      <c r="B94" s="1">
        <f>DATE(2010,5,3) + TIME(22,49,39)</f>
        <v>40301.951145833336</v>
      </c>
      <c r="C94">
        <v>80</v>
      </c>
      <c r="D94">
        <v>78.299087524000001</v>
      </c>
      <c r="E94">
        <v>50</v>
      </c>
      <c r="F94">
        <v>14.994535446</v>
      </c>
      <c r="G94">
        <v>1409.7687988</v>
      </c>
      <c r="H94">
        <v>1395.2661132999999</v>
      </c>
      <c r="I94">
        <v>1249.2645264</v>
      </c>
      <c r="J94">
        <v>1209.8270264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3.0358860000000001</v>
      </c>
      <c r="B95" s="1">
        <f>DATE(2010,5,4) + TIME(0,51,40)</f>
        <v>40302.035879629628</v>
      </c>
      <c r="C95">
        <v>80</v>
      </c>
      <c r="D95">
        <v>78.462112426999994</v>
      </c>
      <c r="E95">
        <v>50</v>
      </c>
      <c r="F95">
        <v>14.994563103000001</v>
      </c>
      <c r="G95">
        <v>1409.6002197</v>
      </c>
      <c r="H95">
        <v>1395.1160889</v>
      </c>
      <c r="I95">
        <v>1249.2655029</v>
      </c>
      <c r="J95">
        <v>1209.8278809000001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3.1236570000000001</v>
      </c>
      <c r="B96" s="1">
        <f>DATE(2010,5,4) + TIME(2,58,3)</f>
        <v>40302.123645833337</v>
      </c>
      <c r="C96">
        <v>80</v>
      </c>
      <c r="D96">
        <v>78.612983704000001</v>
      </c>
      <c r="E96">
        <v>50</v>
      </c>
      <c r="F96">
        <v>14.994591713</v>
      </c>
      <c r="G96">
        <v>1409.4311522999999</v>
      </c>
      <c r="H96">
        <v>1394.9639893000001</v>
      </c>
      <c r="I96">
        <v>1249.2663574000001</v>
      </c>
      <c r="J96">
        <v>1209.8288574000001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3.2143190000000001</v>
      </c>
      <c r="B97" s="1">
        <f>DATE(2010,5,4) + TIME(5,8,37)</f>
        <v>40302.214317129627</v>
      </c>
      <c r="C97">
        <v>80</v>
      </c>
      <c r="D97">
        <v>78.751731872999997</v>
      </c>
      <c r="E97">
        <v>50</v>
      </c>
      <c r="F97">
        <v>14.994619370000001</v>
      </c>
      <c r="G97">
        <v>1409.2614745999999</v>
      </c>
      <c r="H97">
        <v>1394.8095702999999</v>
      </c>
      <c r="I97">
        <v>1249.2673339999999</v>
      </c>
      <c r="J97">
        <v>1209.8297118999999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3.3078759999999998</v>
      </c>
      <c r="B98" s="1">
        <f>DATE(2010,5,4) + TIME(7,23,20)</f>
        <v>40302.307870370372</v>
      </c>
      <c r="C98">
        <v>80</v>
      </c>
      <c r="D98">
        <v>78.878753661999994</v>
      </c>
      <c r="E98">
        <v>50</v>
      </c>
      <c r="F98">
        <v>14.99464798</v>
      </c>
      <c r="G98">
        <v>1409.0914307</v>
      </c>
      <c r="H98">
        <v>1394.6533202999999</v>
      </c>
      <c r="I98">
        <v>1249.2683105000001</v>
      </c>
      <c r="J98">
        <v>1209.8306885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3.40456</v>
      </c>
      <c r="B99" s="1">
        <f>DATE(2010,5,4) + TIME(9,42,33)</f>
        <v>40302.404548611114</v>
      </c>
      <c r="C99">
        <v>80</v>
      </c>
      <c r="D99">
        <v>78.994773864999999</v>
      </c>
      <c r="E99">
        <v>50</v>
      </c>
      <c r="F99">
        <v>14.994675636</v>
      </c>
      <c r="G99">
        <v>1408.9211425999999</v>
      </c>
      <c r="H99">
        <v>1394.4954834</v>
      </c>
      <c r="I99">
        <v>1249.2692870999999</v>
      </c>
      <c r="J99">
        <v>1209.8316649999999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3.504502</v>
      </c>
      <c r="B100" s="1">
        <f>DATE(2010,5,4) + TIME(12,6,28)</f>
        <v>40302.504490740743</v>
      </c>
      <c r="C100">
        <v>80</v>
      </c>
      <c r="D100">
        <v>79.100364685000002</v>
      </c>
      <c r="E100">
        <v>50</v>
      </c>
      <c r="F100">
        <v>14.994704247</v>
      </c>
      <c r="G100">
        <v>1408.7503661999999</v>
      </c>
      <c r="H100">
        <v>1394.3359375</v>
      </c>
      <c r="I100">
        <v>1249.2703856999999</v>
      </c>
      <c r="J100">
        <v>1209.8326416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3.6079940000000001</v>
      </c>
      <c r="B101" s="1">
        <f>DATE(2010,5,4) + TIME(14,35,30)</f>
        <v>40302.607986111114</v>
      </c>
      <c r="C101">
        <v>80</v>
      </c>
      <c r="D101">
        <v>79.196235657000003</v>
      </c>
      <c r="E101">
        <v>50</v>
      </c>
      <c r="F101">
        <v>14.994732857000001</v>
      </c>
      <c r="G101">
        <v>1408.5789795000001</v>
      </c>
      <c r="H101">
        <v>1394.1744385</v>
      </c>
      <c r="I101">
        <v>1249.2713623</v>
      </c>
      <c r="J101">
        <v>1209.8337402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3.7153580000000002</v>
      </c>
      <c r="B102" s="1">
        <f>DATE(2010,5,4) + TIME(17,10,6)</f>
        <v>40302.71534722222</v>
      </c>
      <c r="C102">
        <v>80</v>
      </c>
      <c r="D102">
        <v>79.283050536999994</v>
      </c>
      <c r="E102">
        <v>50</v>
      </c>
      <c r="F102">
        <v>14.994761467</v>
      </c>
      <c r="G102">
        <v>1408.4066161999999</v>
      </c>
      <c r="H102">
        <v>1394.0111084</v>
      </c>
      <c r="I102">
        <v>1249.2724608999999</v>
      </c>
      <c r="J102">
        <v>1209.8347168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3.8269549999999999</v>
      </c>
      <c r="B103" s="1">
        <f>DATE(2010,5,4) + TIME(19,50,48)</f>
        <v>40302.826944444445</v>
      </c>
      <c r="C103">
        <v>80</v>
      </c>
      <c r="D103">
        <v>79.361442565999994</v>
      </c>
      <c r="E103">
        <v>50</v>
      </c>
      <c r="F103">
        <v>14.994790076999999</v>
      </c>
      <c r="G103">
        <v>1408.2330322</v>
      </c>
      <c r="H103">
        <v>1393.8453368999999</v>
      </c>
      <c r="I103">
        <v>1249.2735596</v>
      </c>
      <c r="J103">
        <v>1209.8358154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3.9429650000000001</v>
      </c>
      <c r="B104" s="1">
        <f>DATE(2010,5,4) + TIME(22,37,52)</f>
        <v>40302.942962962959</v>
      </c>
      <c r="C104">
        <v>80</v>
      </c>
      <c r="D104">
        <v>79.431877135999997</v>
      </c>
      <c r="E104">
        <v>50</v>
      </c>
      <c r="F104">
        <v>14.994818687</v>
      </c>
      <c r="G104">
        <v>1408.0578613</v>
      </c>
      <c r="H104">
        <v>1393.677124</v>
      </c>
      <c r="I104">
        <v>1249.2746582</v>
      </c>
      <c r="J104">
        <v>1209.8369141000001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4.0606879999999999</v>
      </c>
      <c r="B105" s="1">
        <f>DATE(2010,5,5) + TIME(1,27,23)</f>
        <v>40303.060682870368</v>
      </c>
      <c r="C105">
        <v>80</v>
      </c>
      <c r="D105">
        <v>79.493545531999999</v>
      </c>
      <c r="E105">
        <v>50</v>
      </c>
      <c r="F105">
        <v>14.994848251000001</v>
      </c>
      <c r="G105">
        <v>1407.8814697</v>
      </c>
      <c r="H105">
        <v>1393.5065918</v>
      </c>
      <c r="I105">
        <v>1249.2758789</v>
      </c>
      <c r="J105">
        <v>1209.8381348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4.1787089999999996</v>
      </c>
      <c r="B106" s="1">
        <f>DATE(2010,5,5) + TIME(4,17,20)</f>
        <v>40303.178703703707</v>
      </c>
      <c r="C106">
        <v>80</v>
      </c>
      <c r="D106">
        <v>79.546890258999994</v>
      </c>
      <c r="E106">
        <v>50</v>
      </c>
      <c r="F106">
        <v>14.994875907999999</v>
      </c>
      <c r="G106">
        <v>1407.7077637</v>
      </c>
      <c r="H106">
        <v>1393.3377685999999</v>
      </c>
      <c r="I106">
        <v>1249.2769774999999</v>
      </c>
      <c r="J106">
        <v>1209.8392334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4.2972510000000002</v>
      </c>
      <c r="B107" s="1">
        <f>DATE(2010,5,5) + TIME(7,8,2)</f>
        <v>40303.29724537037</v>
      </c>
      <c r="C107">
        <v>80</v>
      </c>
      <c r="D107">
        <v>79.593109131000006</v>
      </c>
      <c r="E107">
        <v>50</v>
      </c>
      <c r="F107">
        <v>14.994903563999999</v>
      </c>
      <c r="G107">
        <v>1407.5383300999999</v>
      </c>
      <c r="H107">
        <v>1393.1723632999999</v>
      </c>
      <c r="I107">
        <v>1249.2780762</v>
      </c>
      <c r="J107">
        <v>1209.840332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4.4165239999999999</v>
      </c>
      <c r="B108" s="1">
        <f>DATE(2010,5,5) + TIME(9,59,47)</f>
        <v>40303.416516203702</v>
      </c>
      <c r="C108">
        <v>80</v>
      </c>
      <c r="D108">
        <v>79.633209229000002</v>
      </c>
      <c r="E108">
        <v>50</v>
      </c>
      <c r="F108">
        <v>14.994930267000001</v>
      </c>
      <c r="G108">
        <v>1407.3726807</v>
      </c>
      <c r="H108">
        <v>1393.0102539</v>
      </c>
      <c r="I108">
        <v>1249.2792969</v>
      </c>
      <c r="J108">
        <v>1209.8414307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4.5367300000000004</v>
      </c>
      <c r="B109" s="1">
        <f>DATE(2010,5,5) + TIME(12,52,53)</f>
        <v>40303.536724537036</v>
      </c>
      <c r="C109">
        <v>80</v>
      </c>
      <c r="D109">
        <v>79.668029785000002</v>
      </c>
      <c r="E109">
        <v>50</v>
      </c>
      <c r="F109">
        <v>14.99495697</v>
      </c>
      <c r="G109">
        <v>1407.2103271000001</v>
      </c>
      <c r="H109">
        <v>1392.8509521000001</v>
      </c>
      <c r="I109">
        <v>1249.2803954999999</v>
      </c>
      <c r="J109">
        <v>1209.8425293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4.6579810000000004</v>
      </c>
      <c r="B110" s="1">
        <f>DATE(2010,5,5) + TIME(15,47,29)</f>
        <v>40303.65797453704</v>
      </c>
      <c r="C110">
        <v>80</v>
      </c>
      <c r="D110">
        <v>79.698280334000003</v>
      </c>
      <c r="E110">
        <v>50</v>
      </c>
      <c r="F110">
        <v>14.994982718999999</v>
      </c>
      <c r="G110">
        <v>1407.0509033000001</v>
      </c>
      <c r="H110">
        <v>1392.6942139</v>
      </c>
      <c r="I110">
        <v>1249.2814940999999</v>
      </c>
      <c r="J110">
        <v>1209.84375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4.7800799999999999</v>
      </c>
      <c r="B111" s="1">
        <f>DATE(2010,5,5) + TIME(18,43,18)</f>
        <v>40303.780069444445</v>
      </c>
      <c r="C111">
        <v>80</v>
      </c>
      <c r="D111">
        <v>79.724494934000006</v>
      </c>
      <c r="E111">
        <v>50</v>
      </c>
      <c r="F111">
        <v>14.995008469</v>
      </c>
      <c r="G111">
        <v>1406.8941649999999</v>
      </c>
      <c r="H111">
        <v>1392.5395507999999</v>
      </c>
      <c r="I111">
        <v>1249.2827147999999</v>
      </c>
      <c r="J111">
        <v>1209.8448486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4.903213</v>
      </c>
      <c r="B112" s="1">
        <f>DATE(2010,5,5) + TIME(21,40,37)</f>
        <v>40303.90320601852</v>
      </c>
      <c r="C112">
        <v>80</v>
      </c>
      <c r="D112">
        <v>79.747245789000004</v>
      </c>
      <c r="E112">
        <v>50</v>
      </c>
      <c r="F112">
        <v>14.995033264</v>
      </c>
      <c r="G112">
        <v>1406.7401123</v>
      </c>
      <c r="H112">
        <v>1392.3874512</v>
      </c>
      <c r="I112">
        <v>1249.2838135</v>
      </c>
      <c r="J112">
        <v>1209.8459473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5.0275600000000003</v>
      </c>
      <c r="B113" s="1">
        <f>DATE(2010,5,6) + TIME(0,39,41)</f>
        <v>40304.027557870373</v>
      </c>
      <c r="C113">
        <v>80</v>
      </c>
      <c r="D113">
        <v>79.766998290999993</v>
      </c>
      <c r="E113">
        <v>50</v>
      </c>
      <c r="F113">
        <v>14.99505806</v>
      </c>
      <c r="G113">
        <v>1406.5886230000001</v>
      </c>
      <c r="H113">
        <v>1392.2375488</v>
      </c>
      <c r="I113">
        <v>1249.2849120999999</v>
      </c>
      <c r="J113">
        <v>1209.8470459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5.1532980000000004</v>
      </c>
      <c r="B114" s="1">
        <f>DATE(2010,5,6) + TIME(3,40,44)</f>
        <v>40304.153287037036</v>
      </c>
      <c r="C114">
        <v>80</v>
      </c>
      <c r="D114">
        <v>79.784156799000002</v>
      </c>
      <c r="E114">
        <v>50</v>
      </c>
      <c r="F114">
        <v>14.995082855</v>
      </c>
      <c r="G114">
        <v>1406.4392089999999</v>
      </c>
      <c r="H114">
        <v>1392.0895995999999</v>
      </c>
      <c r="I114">
        <v>1249.2861327999999</v>
      </c>
      <c r="J114">
        <v>1209.8482666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5.2806050000000004</v>
      </c>
      <c r="B115" s="1">
        <f>DATE(2010,5,6) + TIME(6,44,4)</f>
        <v>40304.280601851853</v>
      </c>
      <c r="C115">
        <v>80</v>
      </c>
      <c r="D115">
        <v>79.799072265999996</v>
      </c>
      <c r="E115">
        <v>50</v>
      </c>
      <c r="F115">
        <v>14.995107651</v>
      </c>
      <c r="G115">
        <v>1406.291626</v>
      </c>
      <c r="H115">
        <v>1391.9432373</v>
      </c>
      <c r="I115">
        <v>1249.2872314000001</v>
      </c>
      <c r="J115">
        <v>1209.8493652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5.4096650000000004</v>
      </c>
      <c r="B116" s="1">
        <f>DATE(2010,5,6) + TIME(9,49,55)</f>
        <v>40304.40966435185</v>
      </c>
      <c r="C116">
        <v>80</v>
      </c>
      <c r="D116">
        <v>79.812042235999996</v>
      </c>
      <c r="E116">
        <v>50</v>
      </c>
      <c r="F116">
        <v>14.995131493000001</v>
      </c>
      <c r="G116">
        <v>1406.1456298999999</v>
      </c>
      <c r="H116">
        <v>1391.7982178</v>
      </c>
      <c r="I116">
        <v>1249.2884521000001</v>
      </c>
      <c r="J116">
        <v>1209.8505858999999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5.5406719999999998</v>
      </c>
      <c r="B117" s="1">
        <f>DATE(2010,5,6) + TIME(12,58,34)</f>
        <v>40304.540671296294</v>
      </c>
      <c r="C117">
        <v>80</v>
      </c>
      <c r="D117">
        <v>79.823326111</v>
      </c>
      <c r="E117">
        <v>50</v>
      </c>
      <c r="F117">
        <v>14.995156288</v>
      </c>
      <c r="G117">
        <v>1406.0008545000001</v>
      </c>
      <c r="H117">
        <v>1391.6545410000001</v>
      </c>
      <c r="I117">
        <v>1249.2896728999999</v>
      </c>
      <c r="J117">
        <v>1209.8516846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5.673826</v>
      </c>
      <c r="B118" s="1">
        <f>DATE(2010,5,6) + TIME(16,10,18)</f>
        <v>40304.673819444448</v>
      </c>
      <c r="C118">
        <v>80</v>
      </c>
      <c r="D118">
        <v>79.833145142000006</v>
      </c>
      <c r="E118">
        <v>50</v>
      </c>
      <c r="F118">
        <v>14.99518013</v>
      </c>
      <c r="G118">
        <v>1405.8572998</v>
      </c>
      <c r="H118">
        <v>1391.5118408000001</v>
      </c>
      <c r="I118">
        <v>1249.2908935999999</v>
      </c>
      <c r="J118">
        <v>1209.8529053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5.8093370000000002</v>
      </c>
      <c r="B119" s="1">
        <f>DATE(2010,5,6) + TIME(19,25,26)</f>
        <v>40304.809328703705</v>
      </c>
      <c r="C119">
        <v>80</v>
      </c>
      <c r="D119">
        <v>79.841690063000001</v>
      </c>
      <c r="E119">
        <v>50</v>
      </c>
      <c r="F119">
        <v>14.995203972000001</v>
      </c>
      <c r="G119">
        <v>1405.7145995999999</v>
      </c>
      <c r="H119">
        <v>1391.3699951000001</v>
      </c>
      <c r="I119">
        <v>1249.2921143000001</v>
      </c>
      <c r="J119">
        <v>1209.854126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5.9474320000000001</v>
      </c>
      <c r="B120" s="1">
        <f>DATE(2010,5,6) + TIME(22,44,18)</f>
        <v>40304.947430555556</v>
      </c>
      <c r="C120">
        <v>80</v>
      </c>
      <c r="D120">
        <v>79.849128723000007</v>
      </c>
      <c r="E120">
        <v>50</v>
      </c>
      <c r="F120">
        <v>14.995227814</v>
      </c>
      <c r="G120">
        <v>1405.5726318</v>
      </c>
      <c r="H120">
        <v>1391.2287598</v>
      </c>
      <c r="I120">
        <v>1249.2933350000001</v>
      </c>
      <c r="J120">
        <v>1209.8553466999999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6.0883880000000001</v>
      </c>
      <c r="B121" s="1">
        <f>DATE(2010,5,7) + TIME(2,7,16)</f>
        <v>40305.088379629633</v>
      </c>
      <c r="C121">
        <v>80</v>
      </c>
      <c r="D121">
        <v>79.855606078999998</v>
      </c>
      <c r="E121">
        <v>50</v>
      </c>
      <c r="F121">
        <v>14.995250702</v>
      </c>
      <c r="G121">
        <v>1405.4310303</v>
      </c>
      <c r="H121">
        <v>1391.0880127</v>
      </c>
      <c r="I121">
        <v>1249.2945557</v>
      </c>
      <c r="J121">
        <v>1209.8565673999999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6.2323750000000002</v>
      </c>
      <c r="B122" s="1">
        <f>DATE(2010,5,7) + TIME(5,34,37)</f>
        <v>40305.232372685183</v>
      </c>
      <c r="C122">
        <v>80</v>
      </c>
      <c r="D122">
        <v>79.861251831000004</v>
      </c>
      <c r="E122">
        <v>50</v>
      </c>
      <c r="F122">
        <v>14.995274544000001</v>
      </c>
      <c r="G122">
        <v>1405.2897949000001</v>
      </c>
      <c r="H122">
        <v>1390.9473877</v>
      </c>
      <c r="I122">
        <v>1249.2957764</v>
      </c>
      <c r="J122">
        <v>1209.8577881000001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6.3794029999999999</v>
      </c>
      <c r="B123" s="1">
        <f>DATE(2010,5,7) + TIME(9,6,20)</f>
        <v>40305.37939814815</v>
      </c>
      <c r="C123">
        <v>80</v>
      </c>
      <c r="D123">
        <v>79.866157532000003</v>
      </c>
      <c r="E123">
        <v>50</v>
      </c>
      <c r="F123">
        <v>14.995298386</v>
      </c>
      <c r="G123">
        <v>1405.1485596</v>
      </c>
      <c r="H123">
        <v>1390.8068848</v>
      </c>
      <c r="I123">
        <v>1249.2971190999999</v>
      </c>
      <c r="J123">
        <v>1209.8591309000001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6.5297229999999997</v>
      </c>
      <c r="B124" s="1">
        <f>DATE(2010,5,7) + TIME(12,42,48)</f>
        <v>40305.529722222222</v>
      </c>
      <c r="C124">
        <v>80</v>
      </c>
      <c r="D124">
        <v>79.870429993000002</v>
      </c>
      <c r="E124">
        <v>50</v>
      </c>
      <c r="F124">
        <v>14.995322227000001</v>
      </c>
      <c r="G124">
        <v>1405.0074463000001</v>
      </c>
      <c r="H124">
        <v>1390.6665039</v>
      </c>
      <c r="I124">
        <v>1249.2984618999999</v>
      </c>
      <c r="J124">
        <v>1209.8603516000001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6.6836289999999998</v>
      </c>
      <c r="B125" s="1">
        <f>DATE(2010,5,7) + TIME(16,24,25)</f>
        <v>40305.683622685188</v>
      </c>
      <c r="C125">
        <v>80</v>
      </c>
      <c r="D125">
        <v>79.874153136999993</v>
      </c>
      <c r="E125">
        <v>50</v>
      </c>
      <c r="F125">
        <v>14.995346069</v>
      </c>
      <c r="G125">
        <v>1404.8663329999999</v>
      </c>
      <c r="H125">
        <v>1390.5262451000001</v>
      </c>
      <c r="I125">
        <v>1249.2998047000001</v>
      </c>
      <c r="J125">
        <v>1209.8616943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6.8414390000000003</v>
      </c>
      <c r="B126" s="1">
        <f>DATE(2010,5,7) + TIME(20,11,40)</f>
        <v>40305.841435185182</v>
      </c>
      <c r="C126">
        <v>80</v>
      </c>
      <c r="D126">
        <v>79.877395629999995</v>
      </c>
      <c r="E126">
        <v>50</v>
      </c>
      <c r="F126">
        <v>14.995369910999999</v>
      </c>
      <c r="G126">
        <v>1404.7249756000001</v>
      </c>
      <c r="H126">
        <v>1390.3856201000001</v>
      </c>
      <c r="I126">
        <v>1249.3011475000001</v>
      </c>
      <c r="J126">
        <v>1209.8630370999999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7.0035049999999996</v>
      </c>
      <c r="B127" s="1">
        <f>DATE(2010,5,8) + TIME(0,5,2)</f>
        <v>40306.003495370373</v>
      </c>
      <c r="C127">
        <v>80</v>
      </c>
      <c r="D127">
        <v>79.880226135000001</v>
      </c>
      <c r="E127">
        <v>50</v>
      </c>
      <c r="F127">
        <v>14.995393753</v>
      </c>
      <c r="G127">
        <v>1404.5831298999999</v>
      </c>
      <c r="H127">
        <v>1390.244751</v>
      </c>
      <c r="I127">
        <v>1249.3024902</v>
      </c>
      <c r="J127">
        <v>1209.8645019999999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7.1702170000000001</v>
      </c>
      <c r="B128" s="1">
        <f>DATE(2010,5,8) + TIME(4,5,6)</f>
        <v>40306.170208333337</v>
      </c>
      <c r="C128">
        <v>80</v>
      </c>
      <c r="D128">
        <v>79.882705688000001</v>
      </c>
      <c r="E128">
        <v>50</v>
      </c>
      <c r="F128">
        <v>14.995418549</v>
      </c>
      <c r="G128">
        <v>1404.4406738</v>
      </c>
      <c r="H128">
        <v>1390.1031493999999</v>
      </c>
      <c r="I128">
        <v>1249.3039550999999</v>
      </c>
      <c r="J128">
        <v>1209.8658447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7.3419179999999997</v>
      </c>
      <c r="B129" s="1">
        <f>DATE(2010,5,8) + TIME(8,12,21)</f>
        <v>40306.341909722221</v>
      </c>
      <c r="C129">
        <v>80</v>
      </c>
      <c r="D129">
        <v>79.884872436999999</v>
      </c>
      <c r="E129">
        <v>50</v>
      </c>
      <c r="F129">
        <v>14.995442389999999</v>
      </c>
      <c r="G129">
        <v>1404.2973632999999</v>
      </c>
      <c r="H129">
        <v>1389.9608154</v>
      </c>
      <c r="I129">
        <v>1249.3054199000001</v>
      </c>
      <c r="J129">
        <v>1209.8673096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7.5188100000000002</v>
      </c>
      <c r="B130" s="1">
        <f>DATE(2010,5,8) + TIME(12,27,5)</f>
        <v>40306.518807870372</v>
      </c>
      <c r="C130">
        <v>80</v>
      </c>
      <c r="D130">
        <v>79.886764525999993</v>
      </c>
      <c r="E130">
        <v>50</v>
      </c>
      <c r="F130">
        <v>14.995467186000001</v>
      </c>
      <c r="G130">
        <v>1404.1529541</v>
      </c>
      <c r="H130">
        <v>1389.8175048999999</v>
      </c>
      <c r="I130">
        <v>1249.3070068</v>
      </c>
      <c r="J130">
        <v>1209.8687743999999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7.701092</v>
      </c>
      <c r="B131" s="1">
        <f>DATE(2010,5,8) + TIME(16,49,34)</f>
        <v>40306.70108796296</v>
      </c>
      <c r="C131">
        <v>80</v>
      </c>
      <c r="D131">
        <v>79.888427734000004</v>
      </c>
      <c r="E131">
        <v>50</v>
      </c>
      <c r="F131">
        <v>14.995491982000001</v>
      </c>
      <c r="G131">
        <v>1404.0074463000001</v>
      </c>
      <c r="H131">
        <v>1389.6730957</v>
      </c>
      <c r="I131">
        <v>1249.3084716999999</v>
      </c>
      <c r="J131">
        <v>1209.8703613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7.8889769999999997</v>
      </c>
      <c r="B132" s="1">
        <f>DATE(2010,5,8) + TIME(21,20,7)</f>
        <v>40306.888969907406</v>
      </c>
      <c r="C132">
        <v>80</v>
      </c>
      <c r="D132">
        <v>79.889892578000001</v>
      </c>
      <c r="E132">
        <v>50</v>
      </c>
      <c r="F132">
        <v>14.995516777000001</v>
      </c>
      <c r="G132">
        <v>1403.8609618999999</v>
      </c>
      <c r="H132">
        <v>1389.527832</v>
      </c>
      <c r="I132">
        <v>1249.3100586</v>
      </c>
      <c r="J132">
        <v>1209.8719481999999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8.0791210000000007</v>
      </c>
      <c r="B133" s="1">
        <f>DATE(2010,5,9) + TIME(1,53,56)</f>
        <v>40307.07912037037</v>
      </c>
      <c r="C133">
        <v>80</v>
      </c>
      <c r="D133">
        <v>79.891151428000001</v>
      </c>
      <c r="E133">
        <v>50</v>
      </c>
      <c r="F133">
        <v>14.995541573000001</v>
      </c>
      <c r="G133">
        <v>1403.7132568</v>
      </c>
      <c r="H133">
        <v>1389.3813477000001</v>
      </c>
      <c r="I133">
        <v>1249.3117675999999</v>
      </c>
      <c r="J133">
        <v>1209.8735352000001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8.2692899999999998</v>
      </c>
      <c r="B134" s="1">
        <f>DATE(2010,5,9) + TIME(6,27,46)</f>
        <v>40307.269282407404</v>
      </c>
      <c r="C134">
        <v>80</v>
      </c>
      <c r="D134">
        <v>79.892234802000004</v>
      </c>
      <c r="E134">
        <v>50</v>
      </c>
      <c r="F134">
        <v>14.995565414</v>
      </c>
      <c r="G134">
        <v>1403.5670166</v>
      </c>
      <c r="H134">
        <v>1389.2365723</v>
      </c>
      <c r="I134">
        <v>1249.3133545000001</v>
      </c>
      <c r="J134">
        <v>1209.8751221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8.4597999999999995</v>
      </c>
      <c r="B135" s="1">
        <f>DATE(2010,5,9) + TIME(11,2,6)</f>
        <v>40307.459791666668</v>
      </c>
      <c r="C135">
        <v>80</v>
      </c>
      <c r="D135">
        <v>79.893180846999996</v>
      </c>
      <c r="E135">
        <v>50</v>
      </c>
      <c r="F135">
        <v>14.995589256000001</v>
      </c>
      <c r="G135">
        <v>1403.4239502</v>
      </c>
      <c r="H135">
        <v>1389.0949707</v>
      </c>
      <c r="I135">
        <v>1249.3150635</v>
      </c>
      <c r="J135">
        <v>1209.8767089999999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8.6509479999999996</v>
      </c>
      <c r="B136" s="1">
        <f>DATE(2010,5,9) + TIME(15,37,21)</f>
        <v>40307.650937500002</v>
      </c>
      <c r="C136">
        <v>80</v>
      </c>
      <c r="D136">
        <v>79.893997192</v>
      </c>
      <c r="E136">
        <v>50</v>
      </c>
      <c r="F136">
        <v>14.995613098</v>
      </c>
      <c r="G136">
        <v>1403.2838135</v>
      </c>
      <c r="H136">
        <v>1388.9562988</v>
      </c>
      <c r="I136">
        <v>1249.3166504000001</v>
      </c>
      <c r="J136">
        <v>1209.878418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8.8430029999999995</v>
      </c>
      <c r="B137" s="1">
        <f>DATE(2010,5,9) + TIME(20,13,55)</f>
        <v>40307.842997685184</v>
      </c>
      <c r="C137">
        <v>80</v>
      </c>
      <c r="D137">
        <v>79.894714355000005</v>
      </c>
      <c r="E137">
        <v>50</v>
      </c>
      <c r="F137">
        <v>14.995636940000001</v>
      </c>
      <c r="G137">
        <v>1403.1462402</v>
      </c>
      <c r="H137">
        <v>1388.8201904</v>
      </c>
      <c r="I137">
        <v>1249.3182373</v>
      </c>
      <c r="J137">
        <v>1209.8800048999999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9.036289</v>
      </c>
      <c r="B138" s="1">
        <f>DATE(2010,5,10) + TIME(0,52,15)</f>
        <v>40308.03628472222</v>
      </c>
      <c r="C138">
        <v>80</v>
      </c>
      <c r="D138">
        <v>79.895347595000004</v>
      </c>
      <c r="E138">
        <v>50</v>
      </c>
      <c r="F138">
        <v>14.995659828000001</v>
      </c>
      <c r="G138">
        <v>1403.0107422000001</v>
      </c>
      <c r="H138">
        <v>1388.6864014</v>
      </c>
      <c r="I138">
        <v>1249.3199463000001</v>
      </c>
      <c r="J138">
        <v>1209.8815918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9.2310990000000004</v>
      </c>
      <c r="B139" s="1">
        <f>DATE(2010,5,10) + TIME(5,32,46)</f>
        <v>40308.231087962966</v>
      </c>
      <c r="C139">
        <v>80</v>
      </c>
      <c r="D139">
        <v>79.895904540999993</v>
      </c>
      <c r="E139">
        <v>50</v>
      </c>
      <c r="F139">
        <v>14.995682715999999</v>
      </c>
      <c r="G139">
        <v>1402.8773193</v>
      </c>
      <c r="H139">
        <v>1388.5546875</v>
      </c>
      <c r="I139">
        <v>1249.3216553</v>
      </c>
      <c r="J139">
        <v>1209.8831786999999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9.4277230000000003</v>
      </c>
      <c r="B140" s="1">
        <f>DATE(2010,5,10) + TIME(10,15,55)</f>
        <v>40308.427719907406</v>
      </c>
      <c r="C140">
        <v>80</v>
      </c>
      <c r="D140">
        <v>79.896408081000004</v>
      </c>
      <c r="E140">
        <v>50</v>
      </c>
      <c r="F140">
        <v>14.995704651</v>
      </c>
      <c r="G140">
        <v>1402.7454834</v>
      </c>
      <c r="H140">
        <v>1388.4245605000001</v>
      </c>
      <c r="I140">
        <v>1249.3232422000001</v>
      </c>
      <c r="J140">
        <v>1209.8848877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9.6264570000000003</v>
      </c>
      <c r="B141" s="1">
        <f>DATE(2010,5,10) + TIME(15,2,5)</f>
        <v>40308.626446759263</v>
      </c>
      <c r="C141">
        <v>80</v>
      </c>
      <c r="D141">
        <v>79.896858214999995</v>
      </c>
      <c r="E141">
        <v>50</v>
      </c>
      <c r="F141">
        <v>14.995727539000001</v>
      </c>
      <c r="G141">
        <v>1402.6151123</v>
      </c>
      <c r="H141">
        <v>1388.2960204999999</v>
      </c>
      <c r="I141">
        <v>1249.3249512</v>
      </c>
      <c r="J141">
        <v>1209.8864745999999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9.8276039999999991</v>
      </c>
      <c r="B142" s="1">
        <f>DATE(2010,5,10) + TIME(19,51,45)</f>
        <v>40308.827604166669</v>
      </c>
      <c r="C142">
        <v>80</v>
      </c>
      <c r="D142">
        <v>79.897262573000006</v>
      </c>
      <c r="E142">
        <v>50</v>
      </c>
      <c r="F142">
        <v>14.995749474</v>
      </c>
      <c r="G142">
        <v>1402.4859618999999</v>
      </c>
      <c r="H142">
        <v>1388.1687012</v>
      </c>
      <c r="I142">
        <v>1249.3266602000001</v>
      </c>
      <c r="J142">
        <v>1209.8881836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10.031480999999999</v>
      </c>
      <c r="B143" s="1">
        <f>DATE(2010,5,11) + TIME(0,45,19)</f>
        <v>40309.031469907408</v>
      </c>
      <c r="C143">
        <v>80</v>
      </c>
      <c r="D143">
        <v>79.897628784000005</v>
      </c>
      <c r="E143">
        <v>50</v>
      </c>
      <c r="F143">
        <v>14.995771408</v>
      </c>
      <c r="G143">
        <v>1402.3577881000001</v>
      </c>
      <c r="H143">
        <v>1388.0424805</v>
      </c>
      <c r="I143">
        <v>1249.3283690999999</v>
      </c>
      <c r="J143">
        <v>1209.8898925999999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10.238414000000001</v>
      </c>
      <c r="B144" s="1">
        <f>DATE(2010,5,11) + TIME(5,43,18)</f>
        <v>40309.238402777781</v>
      </c>
      <c r="C144">
        <v>80</v>
      </c>
      <c r="D144">
        <v>79.897956848000007</v>
      </c>
      <c r="E144">
        <v>50</v>
      </c>
      <c r="F144">
        <v>14.995793343000001</v>
      </c>
      <c r="G144">
        <v>1402.2303466999999</v>
      </c>
      <c r="H144">
        <v>1387.9172363</v>
      </c>
      <c r="I144">
        <v>1249.3300781</v>
      </c>
      <c r="J144">
        <v>1209.8916016000001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10.448368</v>
      </c>
      <c r="B145" s="1">
        <f>DATE(2010,5,11) + TIME(10,45,39)</f>
        <v>40309.448368055557</v>
      </c>
      <c r="C145">
        <v>80</v>
      </c>
      <c r="D145">
        <v>79.898254394999995</v>
      </c>
      <c r="E145">
        <v>50</v>
      </c>
      <c r="F145">
        <v>14.995815277</v>
      </c>
      <c r="G145">
        <v>1402.1035156</v>
      </c>
      <c r="H145">
        <v>1387.7924805</v>
      </c>
      <c r="I145">
        <v>1249.3319091999999</v>
      </c>
      <c r="J145">
        <v>1209.8933105000001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10.661403</v>
      </c>
      <c r="B146" s="1">
        <f>DATE(2010,5,11) + TIME(15,52,25)</f>
        <v>40309.661400462966</v>
      </c>
      <c r="C146">
        <v>80</v>
      </c>
      <c r="D146">
        <v>79.898529053000004</v>
      </c>
      <c r="E146">
        <v>50</v>
      </c>
      <c r="F146">
        <v>14.995837212</v>
      </c>
      <c r="G146">
        <v>1401.9774170000001</v>
      </c>
      <c r="H146">
        <v>1387.668457</v>
      </c>
      <c r="I146">
        <v>1249.3336182</v>
      </c>
      <c r="J146">
        <v>1209.8950195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10.877857000000001</v>
      </c>
      <c r="B147" s="1">
        <f>DATE(2010,5,11) + TIME(21,4,6)</f>
        <v>40309.877847222226</v>
      </c>
      <c r="C147">
        <v>80</v>
      </c>
      <c r="D147">
        <v>79.898780822999996</v>
      </c>
      <c r="E147">
        <v>50</v>
      </c>
      <c r="F147">
        <v>14.995858192</v>
      </c>
      <c r="G147">
        <v>1401.8518065999999</v>
      </c>
      <c r="H147">
        <v>1387.5451660000001</v>
      </c>
      <c r="I147">
        <v>1249.3354492000001</v>
      </c>
      <c r="J147">
        <v>1209.8968506000001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11.098174999999999</v>
      </c>
      <c r="B148" s="1">
        <f>DATE(2010,5,12) + TIME(2,21,22)</f>
        <v>40310.098171296297</v>
      </c>
      <c r="C148">
        <v>80</v>
      </c>
      <c r="D148">
        <v>79.899009704999997</v>
      </c>
      <c r="E148">
        <v>50</v>
      </c>
      <c r="F148">
        <v>14.995880127</v>
      </c>
      <c r="G148">
        <v>1401.7266846</v>
      </c>
      <c r="H148">
        <v>1387.4222411999999</v>
      </c>
      <c r="I148">
        <v>1249.3372803</v>
      </c>
      <c r="J148">
        <v>1209.8986815999999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11.322676</v>
      </c>
      <c r="B149" s="1">
        <f>DATE(2010,5,12) + TIME(7,44,39)</f>
        <v>40310.32267361111</v>
      </c>
      <c r="C149">
        <v>80</v>
      </c>
      <c r="D149">
        <v>79.899223328000005</v>
      </c>
      <c r="E149">
        <v>50</v>
      </c>
      <c r="F149">
        <v>14.995902061000001</v>
      </c>
      <c r="G149">
        <v>1401.6016846</v>
      </c>
      <c r="H149">
        <v>1387.2996826000001</v>
      </c>
      <c r="I149">
        <v>1249.3392334</v>
      </c>
      <c r="J149">
        <v>1209.9005127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11.551757</v>
      </c>
      <c r="B150" s="1">
        <f>DATE(2010,5,12) + TIME(13,14,31)</f>
        <v>40310.551747685182</v>
      </c>
      <c r="C150">
        <v>80</v>
      </c>
      <c r="D150">
        <v>79.899414062000005</v>
      </c>
      <c r="E150">
        <v>50</v>
      </c>
      <c r="F150">
        <v>14.995923041999999</v>
      </c>
      <c r="G150">
        <v>1401.4768065999999</v>
      </c>
      <c r="H150">
        <v>1387.1772461</v>
      </c>
      <c r="I150">
        <v>1249.3410644999999</v>
      </c>
      <c r="J150">
        <v>1209.9023437999999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11.785855</v>
      </c>
      <c r="B151" s="1">
        <f>DATE(2010,5,12) + TIME(18,51,37)</f>
        <v>40310.785844907405</v>
      </c>
      <c r="C151">
        <v>80</v>
      </c>
      <c r="D151">
        <v>79.899597168</v>
      </c>
      <c r="E151">
        <v>50</v>
      </c>
      <c r="F151">
        <v>14.995944977000001</v>
      </c>
      <c r="G151">
        <v>1401.3516846</v>
      </c>
      <c r="H151">
        <v>1387.0548096</v>
      </c>
      <c r="I151">
        <v>1249.3430175999999</v>
      </c>
      <c r="J151">
        <v>1209.9042969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12.025461999999999</v>
      </c>
      <c r="B152" s="1">
        <f>DATE(2010,5,13) + TIME(0,36,39)</f>
        <v>40311.025451388887</v>
      </c>
      <c r="C152">
        <v>80</v>
      </c>
      <c r="D152">
        <v>79.899757385000001</v>
      </c>
      <c r="E152">
        <v>50</v>
      </c>
      <c r="F152">
        <v>14.995966911</v>
      </c>
      <c r="G152">
        <v>1401.2263184000001</v>
      </c>
      <c r="H152">
        <v>1386.9320068</v>
      </c>
      <c r="I152">
        <v>1249.3450928</v>
      </c>
      <c r="J152">
        <v>1209.90625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12.270966</v>
      </c>
      <c r="B153" s="1">
        <f>DATE(2010,5,13) + TIME(6,30,11)</f>
        <v>40311.270960648151</v>
      </c>
      <c r="C153">
        <v>80</v>
      </c>
      <c r="D153">
        <v>79.899917603000006</v>
      </c>
      <c r="E153">
        <v>50</v>
      </c>
      <c r="F153">
        <v>14.995988845999999</v>
      </c>
      <c r="G153">
        <v>1401.1004639</v>
      </c>
      <c r="H153">
        <v>1386.8089600000001</v>
      </c>
      <c r="I153">
        <v>1249.3470459</v>
      </c>
      <c r="J153">
        <v>1209.9082031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12.522459</v>
      </c>
      <c r="B154" s="1">
        <f>DATE(2010,5,13) + TIME(12,32,20)</f>
        <v>40311.522453703707</v>
      </c>
      <c r="C154">
        <v>80</v>
      </c>
      <c r="D154">
        <v>79.900054932000003</v>
      </c>
      <c r="E154">
        <v>50</v>
      </c>
      <c r="F154">
        <v>14.996010780000001</v>
      </c>
      <c r="G154">
        <v>1400.973999</v>
      </c>
      <c r="H154">
        <v>1386.6853027</v>
      </c>
      <c r="I154">
        <v>1249.3491211</v>
      </c>
      <c r="J154">
        <v>1209.9102783000001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12.780078</v>
      </c>
      <c r="B155" s="1">
        <f>DATE(2010,5,13) + TIME(18,43,18)</f>
        <v>40311.780069444445</v>
      </c>
      <c r="C155">
        <v>80</v>
      </c>
      <c r="D155">
        <v>79.900192261000001</v>
      </c>
      <c r="E155">
        <v>50</v>
      </c>
      <c r="F155">
        <v>14.996032715</v>
      </c>
      <c r="G155">
        <v>1400.8469238</v>
      </c>
      <c r="H155">
        <v>1386.5610352000001</v>
      </c>
      <c r="I155">
        <v>1249.3513184000001</v>
      </c>
      <c r="J155">
        <v>1209.9123535000001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13.043063</v>
      </c>
      <c r="B156" s="1">
        <f>DATE(2010,5,14) + TIME(1,2,0)</f>
        <v>40312.043055555558</v>
      </c>
      <c r="C156">
        <v>80</v>
      </c>
      <c r="D156">
        <v>79.900314331000004</v>
      </c>
      <c r="E156">
        <v>50</v>
      </c>
      <c r="F156">
        <v>14.996054649</v>
      </c>
      <c r="G156">
        <v>1400.7192382999999</v>
      </c>
      <c r="H156">
        <v>1386.4364014</v>
      </c>
      <c r="I156">
        <v>1249.3535156</v>
      </c>
      <c r="J156">
        <v>1209.9144286999999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13.306224</v>
      </c>
      <c r="B157" s="1">
        <f>DATE(2010,5,14) + TIME(7,20,57)</f>
        <v>40312.306215277778</v>
      </c>
      <c r="C157">
        <v>80</v>
      </c>
      <c r="D157">
        <v>79.900421143000003</v>
      </c>
      <c r="E157">
        <v>50</v>
      </c>
      <c r="F157">
        <v>14.996076584000001</v>
      </c>
      <c r="G157">
        <v>1400.5914307</v>
      </c>
      <c r="H157">
        <v>1386.3116454999999</v>
      </c>
      <c r="I157">
        <v>1249.3557129000001</v>
      </c>
      <c r="J157">
        <v>1209.916626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13.569951</v>
      </c>
      <c r="B158" s="1">
        <f>DATE(2010,5,14) + TIME(13,40,43)</f>
        <v>40312.56994212963</v>
      </c>
      <c r="C158">
        <v>80</v>
      </c>
      <c r="D158">
        <v>79.900527953999998</v>
      </c>
      <c r="E158">
        <v>50</v>
      </c>
      <c r="F158">
        <v>14.996098518</v>
      </c>
      <c r="G158">
        <v>1400.4659423999999</v>
      </c>
      <c r="H158">
        <v>1386.1892089999999</v>
      </c>
      <c r="I158">
        <v>1249.3579102000001</v>
      </c>
      <c r="J158">
        <v>1209.9188231999999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13.83469</v>
      </c>
      <c r="B159" s="1">
        <f>DATE(2010,5,14) + TIME(20,1,57)</f>
        <v>40312.834687499999</v>
      </c>
      <c r="C159">
        <v>80</v>
      </c>
      <c r="D159">
        <v>79.900619507000002</v>
      </c>
      <c r="E159">
        <v>50</v>
      </c>
      <c r="F159">
        <v>14.996119499000001</v>
      </c>
      <c r="G159">
        <v>1400.3425293</v>
      </c>
      <c r="H159">
        <v>1386.0689697</v>
      </c>
      <c r="I159">
        <v>1249.3601074000001</v>
      </c>
      <c r="J159">
        <v>1209.9210204999999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14.100877000000001</v>
      </c>
      <c r="B160" s="1">
        <f>DATE(2010,5,15) + TIME(2,25,15)</f>
        <v>40313.100868055553</v>
      </c>
      <c r="C160">
        <v>80</v>
      </c>
      <c r="D160">
        <v>79.900703429999993</v>
      </c>
      <c r="E160">
        <v>50</v>
      </c>
      <c r="F160">
        <v>14.996140479999999</v>
      </c>
      <c r="G160">
        <v>1400.2209473</v>
      </c>
      <c r="H160">
        <v>1385.9505615</v>
      </c>
      <c r="I160">
        <v>1249.3623047000001</v>
      </c>
      <c r="J160">
        <v>1209.9232178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14.368929</v>
      </c>
      <c r="B161" s="1">
        <f>DATE(2010,5,15) + TIME(8,51,15)</f>
        <v>40313.368923611109</v>
      </c>
      <c r="C161">
        <v>80</v>
      </c>
      <c r="D161">
        <v>79.900787354000002</v>
      </c>
      <c r="E161">
        <v>50</v>
      </c>
      <c r="F161">
        <v>14.996161461</v>
      </c>
      <c r="G161">
        <v>1400.1009521000001</v>
      </c>
      <c r="H161">
        <v>1385.8337402</v>
      </c>
      <c r="I161">
        <v>1249.3645019999999</v>
      </c>
      <c r="J161">
        <v>1209.925293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14.639265999999999</v>
      </c>
      <c r="B162" s="1">
        <f>DATE(2010,5,15) + TIME(15,20,32)</f>
        <v>40313.63925925926</v>
      </c>
      <c r="C162">
        <v>80</v>
      </c>
      <c r="D162">
        <v>79.900856017999999</v>
      </c>
      <c r="E162">
        <v>50</v>
      </c>
      <c r="F162">
        <v>14.996181488</v>
      </c>
      <c r="G162">
        <v>1399.9822998</v>
      </c>
      <c r="H162">
        <v>1385.7183838000001</v>
      </c>
      <c r="I162">
        <v>1249.3668213000001</v>
      </c>
      <c r="J162">
        <v>1209.9276123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14.912312999999999</v>
      </c>
      <c r="B163" s="1">
        <f>DATE(2010,5,15) + TIME(21,53,43)</f>
        <v>40313.912303240744</v>
      </c>
      <c r="C163">
        <v>80</v>
      </c>
      <c r="D163">
        <v>79.900932311999995</v>
      </c>
      <c r="E163">
        <v>50</v>
      </c>
      <c r="F163">
        <v>14.996202469</v>
      </c>
      <c r="G163">
        <v>1399.8647461</v>
      </c>
      <c r="H163">
        <v>1385.604126</v>
      </c>
      <c r="I163">
        <v>1249.3691406</v>
      </c>
      <c r="J163">
        <v>1209.9298096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15.188508000000001</v>
      </c>
      <c r="B164" s="1">
        <f>DATE(2010,5,16) + TIME(4,31,27)</f>
        <v>40314.188506944447</v>
      </c>
      <c r="C164">
        <v>80</v>
      </c>
      <c r="D164">
        <v>79.900993346999996</v>
      </c>
      <c r="E164">
        <v>50</v>
      </c>
      <c r="F164">
        <v>14.996222496</v>
      </c>
      <c r="G164">
        <v>1399.7481689000001</v>
      </c>
      <c r="H164">
        <v>1385.4908447</v>
      </c>
      <c r="I164">
        <v>1249.3713379000001</v>
      </c>
      <c r="J164">
        <v>1209.9320068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15.467575</v>
      </c>
      <c r="B165" s="1">
        <f>DATE(2010,5,16) + TIME(11,13,18)</f>
        <v>40314.467569444445</v>
      </c>
      <c r="C165">
        <v>80</v>
      </c>
      <c r="D165">
        <v>79.901054381999998</v>
      </c>
      <c r="E165">
        <v>50</v>
      </c>
      <c r="F165">
        <v>14.996242522999999</v>
      </c>
      <c r="G165">
        <v>1399.6323242000001</v>
      </c>
      <c r="H165">
        <v>1385.378418</v>
      </c>
      <c r="I165">
        <v>1249.3737793</v>
      </c>
      <c r="J165">
        <v>1209.9343262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15.749533</v>
      </c>
      <c r="B166" s="1">
        <f>DATE(2010,5,16) + TIME(17,59,19)</f>
        <v>40314.749525462961</v>
      </c>
      <c r="C166">
        <v>80</v>
      </c>
      <c r="D166">
        <v>79.901115417</v>
      </c>
      <c r="E166">
        <v>50</v>
      </c>
      <c r="F166">
        <v>14.996262550000001</v>
      </c>
      <c r="G166">
        <v>1399.5173339999999</v>
      </c>
      <c r="H166">
        <v>1385.2667236</v>
      </c>
      <c r="I166">
        <v>1249.3760986</v>
      </c>
      <c r="J166">
        <v>1209.9366454999999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16.034807000000001</v>
      </c>
      <c r="B167" s="1">
        <f>DATE(2010,5,17) + TIME(0,50,7)</f>
        <v>40315.034803240742</v>
      </c>
      <c r="C167">
        <v>80</v>
      </c>
      <c r="D167">
        <v>79.901168823000006</v>
      </c>
      <c r="E167">
        <v>50</v>
      </c>
      <c r="F167">
        <v>14.996282578000001</v>
      </c>
      <c r="G167">
        <v>1399.4030762</v>
      </c>
      <c r="H167">
        <v>1385.1560059000001</v>
      </c>
      <c r="I167">
        <v>1249.378418</v>
      </c>
      <c r="J167">
        <v>1209.9389647999999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16.323837000000001</v>
      </c>
      <c r="B168" s="1">
        <f>DATE(2010,5,17) + TIME(7,46,19)</f>
        <v>40315.323831018519</v>
      </c>
      <c r="C168">
        <v>80</v>
      </c>
      <c r="D168">
        <v>79.901222228999998</v>
      </c>
      <c r="E168">
        <v>50</v>
      </c>
      <c r="F168">
        <v>14.996302605</v>
      </c>
      <c r="G168">
        <v>1399.2895507999999</v>
      </c>
      <c r="H168">
        <v>1385.0460204999999</v>
      </c>
      <c r="I168">
        <v>1249.3808594</v>
      </c>
      <c r="J168">
        <v>1209.9412841999999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16.617097000000001</v>
      </c>
      <c r="B169" s="1">
        <f>DATE(2010,5,17) + TIME(14,48,37)</f>
        <v>40315.617094907408</v>
      </c>
      <c r="C169">
        <v>80</v>
      </c>
      <c r="D169">
        <v>79.901268005000006</v>
      </c>
      <c r="E169">
        <v>50</v>
      </c>
      <c r="F169">
        <v>14.996322632</v>
      </c>
      <c r="G169">
        <v>1399.1765137</v>
      </c>
      <c r="H169">
        <v>1384.9365233999999</v>
      </c>
      <c r="I169">
        <v>1249.3833007999999</v>
      </c>
      <c r="J169">
        <v>1209.9437256000001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16.915177</v>
      </c>
      <c r="B170" s="1">
        <f>DATE(2010,5,17) + TIME(21,57,51)</f>
        <v>40315.915173611109</v>
      </c>
      <c r="C170">
        <v>80</v>
      </c>
      <c r="D170">
        <v>79.901321410999998</v>
      </c>
      <c r="E170">
        <v>50</v>
      </c>
      <c r="F170">
        <v>14.996342659</v>
      </c>
      <c r="G170">
        <v>1399.0637207</v>
      </c>
      <c r="H170">
        <v>1384.8273925999999</v>
      </c>
      <c r="I170">
        <v>1249.3857422000001</v>
      </c>
      <c r="J170">
        <v>1209.9460449000001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17.218485000000001</v>
      </c>
      <c r="B171" s="1">
        <f>DATE(2010,5,18) + TIME(5,14,37)</f>
        <v>40316.2184837963</v>
      </c>
      <c r="C171">
        <v>80</v>
      </c>
      <c r="D171">
        <v>79.901367187999995</v>
      </c>
      <c r="E171">
        <v>50</v>
      </c>
      <c r="F171">
        <v>14.996362685999999</v>
      </c>
      <c r="G171">
        <v>1398.9510498</v>
      </c>
      <c r="H171">
        <v>1384.7183838000001</v>
      </c>
      <c r="I171">
        <v>1249.3883057</v>
      </c>
      <c r="J171">
        <v>1209.9486084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17.527560000000001</v>
      </c>
      <c r="B172" s="1">
        <f>DATE(2010,5,18) + TIME(12,39,41)</f>
        <v>40316.527557870373</v>
      </c>
      <c r="C172">
        <v>80</v>
      </c>
      <c r="D172">
        <v>79.901412964000002</v>
      </c>
      <c r="E172">
        <v>50</v>
      </c>
      <c r="F172">
        <v>14.99638176</v>
      </c>
      <c r="G172">
        <v>1398.8383789</v>
      </c>
      <c r="H172">
        <v>1384.609375</v>
      </c>
      <c r="I172">
        <v>1249.3908690999999</v>
      </c>
      <c r="J172">
        <v>1209.9510498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17.843012999999999</v>
      </c>
      <c r="B173" s="1">
        <f>DATE(2010,5,18) + TIME(20,13,56)</f>
        <v>40316.843009259261</v>
      </c>
      <c r="C173">
        <v>80</v>
      </c>
      <c r="D173">
        <v>79.901458739999995</v>
      </c>
      <c r="E173">
        <v>50</v>
      </c>
      <c r="F173">
        <v>14.996401787</v>
      </c>
      <c r="G173">
        <v>1398.7254639</v>
      </c>
      <c r="H173">
        <v>1384.5003661999999</v>
      </c>
      <c r="I173">
        <v>1249.3935547000001</v>
      </c>
      <c r="J173">
        <v>1209.9536132999999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18.165496999999998</v>
      </c>
      <c r="B174" s="1">
        <f>DATE(2010,5,19) + TIME(3,58,18)</f>
        <v>40317.165486111109</v>
      </c>
      <c r="C174">
        <v>80</v>
      </c>
      <c r="D174">
        <v>79.901504517000006</v>
      </c>
      <c r="E174">
        <v>50</v>
      </c>
      <c r="F174">
        <v>14.996421814</v>
      </c>
      <c r="G174">
        <v>1398.6121826000001</v>
      </c>
      <c r="H174">
        <v>1384.3909911999999</v>
      </c>
      <c r="I174">
        <v>1249.3962402</v>
      </c>
      <c r="J174">
        <v>1209.9561768000001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18.494834999999998</v>
      </c>
      <c r="B175" s="1">
        <f>DATE(2010,5,19) + TIME(11,52,33)</f>
        <v>40317.494826388887</v>
      </c>
      <c r="C175">
        <v>80</v>
      </c>
      <c r="D175">
        <v>79.901542664000004</v>
      </c>
      <c r="E175">
        <v>50</v>
      </c>
      <c r="F175">
        <v>14.996441840999999</v>
      </c>
      <c r="G175">
        <v>1398.4984131000001</v>
      </c>
      <c r="H175">
        <v>1384.2811279</v>
      </c>
      <c r="I175">
        <v>1249.3989257999999</v>
      </c>
      <c r="J175">
        <v>1209.9588623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18.831081000000001</v>
      </c>
      <c r="B176" s="1">
        <f>DATE(2010,5,19) + TIME(19,56,45)</f>
        <v>40317.831076388888</v>
      </c>
      <c r="C176">
        <v>80</v>
      </c>
      <c r="D176">
        <v>79.901588439999998</v>
      </c>
      <c r="E176">
        <v>50</v>
      </c>
      <c r="F176">
        <v>14.996461868000001</v>
      </c>
      <c r="G176">
        <v>1398.3841553</v>
      </c>
      <c r="H176">
        <v>1384.1710204999999</v>
      </c>
      <c r="I176">
        <v>1249.4017334</v>
      </c>
      <c r="J176">
        <v>1209.9616699000001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19.173110000000001</v>
      </c>
      <c r="B177" s="1">
        <f>DATE(2010,5,20) + TIME(4,9,16)</f>
        <v>40318.173101851855</v>
      </c>
      <c r="C177">
        <v>80</v>
      </c>
      <c r="D177">
        <v>79.901626586999996</v>
      </c>
      <c r="E177">
        <v>50</v>
      </c>
      <c r="F177">
        <v>14.996481895000001</v>
      </c>
      <c r="G177">
        <v>1398.2695312000001</v>
      </c>
      <c r="H177">
        <v>1384.0605469</v>
      </c>
      <c r="I177">
        <v>1249.4045410000001</v>
      </c>
      <c r="J177">
        <v>1209.9643555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19.515566</v>
      </c>
      <c r="B178" s="1">
        <f>DATE(2010,5,20) + TIME(12,22,24)</f>
        <v>40318.515555555554</v>
      </c>
      <c r="C178">
        <v>80</v>
      </c>
      <c r="D178">
        <v>79.901672363000003</v>
      </c>
      <c r="E178">
        <v>50</v>
      </c>
      <c r="F178">
        <v>14.996501923</v>
      </c>
      <c r="G178">
        <v>1398.1549072</v>
      </c>
      <c r="H178">
        <v>1383.9500731999999</v>
      </c>
      <c r="I178">
        <v>1249.4074707</v>
      </c>
      <c r="J178">
        <v>1209.9672852000001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19.859072000000001</v>
      </c>
      <c r="B179" s="1">
        <f>DATE(2010,5,20) + TIME(20,37,3)</f>
        <v>40318.8590625</v>
      </c>
      <c r="C179">
        <v>80</v>
      </c>
      <c r="D179">
        <v>79.901710510000001</v>
      </c>
      <c r="E179">
        <v>50</v>
      </c>
      <c r="F179">
        <v>14.99652195</v>
      </c>
      <c r="G179">
        <v>1398.0421143000001</v>
      </c>
      <c r="H179">
        <v>1383.8414307</v>
      </c>
      <c r="I179">
        <v>1249.4104004000001</v>
      </c>
      <c r="J179">
        <v>1209.9700928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20.204205000000002</v>
      </c>
      <c r="B180" s="1">
        <f>DATE(2010,5,21) + TIME(4,54,3)</f>
        <v>40319.204201388886</v>
      </c>
      <c r="C180">
        <v>80</v>
      </c>
      <c r="D180">
        <v>79.901748656999999</v>
      </c>
      <c r="E180">
        <v>50</v>
      </c>
      <c r="F180">
        <v>14.996541977</v>
      </c>
      <c r="G180">
        <v>1397.9307861</v>
      </c>
      <c r="H180">
        <v>1383.734375</v>
      </c>
      <c r="I180">
        <v>1249.4133300999999</v>
      </c>
      <c r="J180">
        <v>1209.9729004000001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20.551531000000001</v>
      </c>
      <c r="B181" s="1">
        <f>DATE(2010,5,21) + TIME(13,14,12)</f>
        <v>40319.551527777781</v>
      </c>
      <c r="C181">
        <v>80</v>
      </c>
      <c r="D181">
        <v>79.901786803999997</v>
      </c>
      <c r="E181">
        <v>50</v>
      </c>
      <c r="F181">
        <v>14.99656105</v>
      </c>
      <c r="G181">
        <v>1397.8209228999999</v>
      </c>
      <c r="H181">
        <v>1383.6286620999999</v>
      </c>
      <c r="I181">
        <v>1249.4162598</v>
      </c>
      <c r="J181">
        <v>1209.9757079999999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20.901615</v>
      </c>
      <c r="B182" s="1">
        <f>DATE(2010,5,21) + TIME(21,38,19)</f>
        <v>40319.901608796295</v>
      </c>
      <c r="C182">
        <v>80</v>
      </c>
      <c r="D182">
        <v>79.901824950999995</v>
      </c>
      <c r="E182">
        <v>50</v>
      </c>
      <c r="F182">
        <v>14.996580123999999</v>
      </c>
      <c r="G182">
        <v>1397.7120361</v>
      </c>
      <c r="H182">
        <v>1383.5240478999999</v>
      </c>
      <c r="I182">
        <v>1249.4191894999999</v>
      </c>
      <c r="J182">
        <v>1209.9786377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21.254487999999998</v>
      </c>
      <c r="B183" s="1">
        <f>DATE(2010,5,22) + TIME(6,6,27)</f>
        <v>40320.254479166666</v>
      </c>
      <c r="C183">
        <v>80</v>
      </c>
      <c r="D183">
        <v>79.901863098000007</v>
      </c>
      <c r="E183">
        <v>50</v>
      </c>
      <c r="F183">
        <v>14.996599197</v>
      </c>
      <c r="G183">
        <v>1397.604126</v>
      </c>
      <c r="H183">
        <v>1383.4204102000001</v>
      </c>
      <c r="I183">
        <v>1249.4221190999999</v>
      </c>
      <c r="J183">
        <v>1209.9815673999999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21.609487999999999</v>
      </c>
      <c r="B184" s="1">
        <f>DATE(2010,5,22) + TIME(14,37,39)</f>
        <v>40320.609479166669</v>
      </c>
      <c r="C184">
        <v>80</v>
      </c>
      <c r="D184">
        <v>79.901901245000005</v>
      </c>
      <c r="E184">
        <v>50</v>
      </c>
      <c r="F184">
        <v>14.996618270999999</v>
      </c>
      <c r="G184">
        <v>1397.4971923999999</v>
      </c>
      <c r="H184">
        <v>1383.317749</v>
      </c>
      <c r="I184">
        <v>1249.4251709</v>
      </c>
      <c r="J184">
        <v>1209.9844971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21.967148000000002</v>
      </c>
      <c r="B185" s="1">
        <f>DATE(2010,5,22) + TIME(23,12,41)</f>
        <v>40320.967141203706</v>
      </c>
      <c r="C185">
        <v>80</v>
      </c>
      <c r="D185">
        <v>79.901939392000003</v>
      </c>
      <c r="E185">
        <v>50</v>
      </c>
      <c r="F185">
        <v>14.996637344</v>
      </c>
      <c r="G185">
        <v>1397.3912353999999</v>
      </c>
      <c r="H185">
        <v>1383.2160644999999</v>
      </c>
      <c r="I185">
        <v>1249.4282227000001</v>
      </c>
      <c r="J185">
        <v>1209.9874268000001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22.327995999999999</v>
      </c>
      <c r="B186" s="1">
        <f>DATE(2010,5,23) + TIME(7,52,18)</f>
        <v>40321.327986111108</v>
      </c>
      <c r="C186">
        <v>80</v>
      </c>
      <c r="D186">
        <v>79.901977539000001</v>
      </c>
      <c r="E186">
        <v>50</v>
      </c>
      <c r="F186">
        <v>14.996655464</v>
      </c>
      <c r="G186">
        <v>1397.2862548999999</v>
      </c>
      <c r="H186">
        <v>1383.1153564000001</v>
      </c>
      <c r="I186">
        <v>1249.4312743999999</v>
      </c>
      <c r="J186">
        <v>1209.9903564000001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22.692578999999999</v>
      </c>
      <c r="B187" s="1">
        <f>DATE(2010,5,23) + TIME(16,37,18)</f>
        <v>40321.692569444444</v>
      </c>
      <c r="C187">
        <v>80</v>
      </c>
      <c r="D187">
        <v>79.902015685999999</v>
      </c>
      <c r="E187">
        <v>50</v>
      </c>
      <c r="F187">
        <v>14.996673584</v>
      </c>
      <c r="G187">
        <v>1397.1818848</v>
      </c>
      <c r="H187">
        <v>1383.0153809000001</v>
      </c>
      <c r="I187">
        <v>1249.4343262</v>
      </c>
      <c r="J187">
        <v>1209.9934082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23.061457000000001</v>
      </c>
      <c r="B188" s="1">
        <f>DATE(2010,5,24) + TIME(1,28,29)</f>
        <v>40322.06144675926</v>
      </c>
      <c r="C188">
        <v>80</v>
      </c>
      <c r="D188">
        <v>79.902053832999997</v>
      </c>
      <c r="E188">
        <v>50</v>
      </c>
      <c r="F188">
        <v>14.996692657000001</v>
      </c>
      <c r="G188">
        <v>1397.0782471</v>
      </c>
      <c r="H188">
        <v>1382.9160156</v>
      </c>
      <c r="I188">
        <v>1249.4375</v>
      </c>
      <c r="J188">
        <v>1209.9964600000001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23.435217000000002</v>
      </c>
      <c r="B189" s="1">
        <f>DATE(2010,5,24) + TIME(10,26,42)</f>
        <v>40322.435208333336</v>
      </c>
      <c r="C189">
        <v>80</v>
      </c>
      <c r="D189">
        <v>79.902099609000004</v>
      </c>
      <c r="E189">
        <v>50</v>
      </c>
      <c r="F189">
        <v>14.996710777000001</v>
      </c>
      <c r="G189">
        <v>1396.9748535000001</v>
      </c>
      <c r="H189">
        <v>1382.8170166</v>
      </c>
      <c r="I189">
        <v>1249.4406738</v>
      </c>
      <c r="J189">
        <v>1209.9995117000001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23.814644000000001</v>
      </c>
      <c r="B190" s="1">
        <f>DATE(2010,5,24) + TIME(19,33,5)</f>
        <v>40322.814641203702</v>
      </c>
      <c r="C190">
        <v>80</v>
      </c>
      <c r="D190">
        <v>79.902137756000002</v>
      </c>
      <c r="E190">
        <v>50</v>
      </c>
      <c r="F190">
        <v>14.996728897000001</v>
      </c>
      <c r="G190">
        <v>1396.8718262</v>
      </c>
      <c r="H190">
        <v>1382.7183838000001</v>
      </c>
      <c r="I190">
        <v>1249.4438477000001</v>
      </c>
      <c r="J190">
        <v>1210.0026855000001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24.200233000000001</v>
      </c>
      <c r="B191" s="1">
        <f>DATE(2010,5,25) + TIME(4,48,20)</f>
        <v>40323.200231481482</v>
      </c>
      <c r="C191">
        <v>80</v>
      </c>
      <c r="D191">
        <v>79.902175903</v>
      </c>
      <c r="E191">
        <v>50</v>
      </c>
      <c r="F191">
        <v>14.996747971</v>
      </c>
      <c r="G191">
        <v>1396.7687988</v>
      </c>
      <c r="H191">
        <v>1382.6198730000001</v>
      </c>
      <c r="I191">
        <v>1249.4471435999999</v>
      </c>
      <c r="J191">
        <v>1210.0058594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24.592654</v>
      </c>
      <c r="B192" s="1">
        <f>DATE(2010,5,25) + TIME(14,13,25)</f>
        <v>40323.592650462961</v>
      </c>
      <c r="C192">
        <v>80</v>
      </c>
      <c r="D192">
        <v>79.902214049999998</v>
      </c>
      <c r="E192">
        <v>50</v>
      </c>
      <c r="F192">
        <v>14.996766089999999</v>
      </c>
      <c r="G192">
        <v>1396.6657714999999</v>
      </c>
      <c r="H192">
        <v>1382.5213623</v>
      </c>
      <c r="I192">
        <v>1249.4505615</v>
      </c>
      <c r="J192">
        <v>1210.0091553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24.992692999999999</v>
      </c>
      <c r="B193" s="1">
        <f>DATE(2010,5,25) + TIME(23,49,28)</f>
        <v>40323.992685185185</v>
      </c>
      <c r="C193">
        <v>80</v>
      </c>
      <c r="D193">
        <v>79.902259826999995</v>
      </c>
      <c r="E193">
        <v>50</v>
      </c>
      <c r="F193">
        <v>14.99678421</v>
      </c>
      <c r="G193">
        <v>1396.5625</v>
      </c>
      <c r="H193">
        <v>1382.4227295000001</v>
      </c>
      <c r="I193">
        <v>1249.4538574000001</v>
      </c>
      <c r="J193">
        <v>1210.0124512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25.401001999999998</v>
      </c>
      <c r="B194" s="1">
        <f>DATE(2010,5,26) + TIME(9,37,26)</f>
        <v>40324.400995370372</v>
      </c>
      <c r="C194">
        <v>80</v>
      </c>
      <c r="D194">
        <v>79.902297974000007</v>
      </c>
      <c r="E194">
        <v>50</v>
      </c>
      <c r="F194">
        <v>14.996803284</v>
      </c>
      <c r="G194">
        <v>1396.4588623</v>
      </c>
      <c r="H194">
        <v>1382.3237305</v>
      </c>
      <c r="I194">
        <v>1249.4573975000001</v>
      </c>
      <c r="J194">
        <v>1210.0157471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25.817219999999999</v>
      </c>
      <c r="B195" s="1">
        <f>DATE(2010,5,26) + TIME(19,36,47)</f>
        <v>40324.817210648151</v>
      </c>
      <c r="C195">
        <v>80</v>
      </c>
      <c r="D195">
        <v>79.90234375</v>
      </c>
      <c r="E195">
        <v>50</v>
      </c>
      <c r="F195">
        <v>14.996821404</v>
      </c>
      <c r="G195">
        <v>1396.3546143000001</v>
      </c>
      <c r="H195">
        <v>1382.2242432</v>
      </c>
      <c r="I195">
        <v>1249.4609375</v>
      </c>
      <c r="J195">
        <v>1210.0191649999999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26.241330999999999</v>
      </c>
      <c r="B196" s="1">
        <f>DATE(2010,5,27) + TIME(5,47,31)</f>
        <v>40325.241331018522</v>
      </c>
      <c r="C196">
        <v>80</v>
      </c>
      <c r="D196">
        <v>79.902389525999993</v>
      </c>
      <c r="E196">
        <v>50</v>
      </c>
      <c r="F196">
        <v>14.996840476999999</v>
      </c>
      <c r="G196">
        <v>1396.2501221</v>
      </c>
      <c r="H196">
        <v>1382.1245117000001</v>
      </c>
      <c r="I196">
        <v>1249.4644774999999</v>
      </c>
      <c r="J196">
        <v>1210.0227050999999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26.670016</v>
      </c>
      <c r="B197" s="1">
        <f>DATE(2010,5,27) + TIME(16,4,49)</f>
        <v>40325.670011574075</v>
      </c>
      <c r="C197">
        <v>80</v>
      </c>
      <c r="D197">
        <v>79.902435303000004</v>
      </c>
      <c r="E197">
        <v>50</v>
      </c>
      <c r="F197">
        <v>14.996858596999999</v>
      </c>
      <c r="G197">
        <v>1396.1452637</v>
      </c>
      <c r="H197">
        <v>1382.0245361</v>
      </c>
      <c r="I197">
        <v>1249.4682617000001</v>
      </c>
      <c r="J197">
        <v>1210.0262451000001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27.100280999999999</v>
      </c>
      <c r="B198" s="1">
        <f>DATE(2010,5,28) + TIME(2,24,24)</f>
        <v>40326.100277777776</v>
      </c>
      <c r="C198">
        <v>80</v>
      </c>
      <c r="D198">
        <v>79.902473450000002</v>
      </c>
      <c r="E198">
        <v>50</v>
      </c>
      <c r="F198">
        <v>14.99687767</v>
      </c>
      <c r="G198">
        <v>1396.0408935999999</v>
      </c>
      <c r="H198">
        <v>1381.9250488</v>
      </c>
      <c r="I198">
        <v>1249.4719238</v>
      </c>
      <c r="J198">
        <v>1210.0299072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27.532867</v>
      </c>
      <c r="B199" s="1">
        <f>DATE(2010,5,28) + TIME(12,47,19)</f>
        <v>40326.532858796294</v>
      </c>
      <c r="C199">
        <v>80</v>
      </c>
      <c r="D199">
        <v>79.902519225999995</v>
      </c>
      <c r="E199">
        <v>50</v>
      </c>
      <c r="F199">
        <v>14.99689579</v>
      </c>
      <c r="G199">
        <v>1395.9377440999999</v>
      </c>
      <c r="H199">
        <v>1381.8267822</v>
      </c>
      <c r="I199">
        <v>1249.4757079999999</v>
      </c>
      <c r="J199">
        <v>1210.0335693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27.968119000000002</v>
      </c>
      <c r="B200" s="1">
        <f>DATE(2010,5,28) + TIME(23,14,5)</f>
        <v>40326.968113425923</v>
      </c>
      <c r="C200">
        <v>80</v>
      </c>
      <c r="D200">
        <v>79.902565002000003</v>
      </c>
      <c r="E200">
        <v>50</v>
      </c>
      <c r="F200">
        <v>14.99691391</v>
      </c>
      <c r="G200">
        <v>1395.8356934000001</v>
      </c>
      <c r="H200">
        <v>1381.7296143000001</v>
      </c>
      <c r="I200">
        <v>1249.4794922000001</v>
      </c>
      <c r="J200">
        <v>1210.0371094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28.404522</v>
      </c>
      <c r="B201" s="1">
        <f>DATE(2010,5,29) + TIME(9,42,30)</f>
        <v>40327.404513888891</v>
      </c>
      <c r="C201">
        <v>80</v>
      </c>
      <c r="D201">
        <v>79.902610779</v>
      </c>
      <c r="E201">
        <v>50</v>
      </c>
      <c r="F201">
        <v>14.99693203</v>
      </c>
      <c r="G201">
        <v>1395.7344971</v>
      </c>
      <c r="H201">
        <v>1381.6333007999999</v>
      </c>
      <c r="I201">
        <v>1249.4832764</v>
      </c>
      <c r="J201">
        <v>1210.0408935999999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28.842735000000001</v>
      </c>
      <c r="B202" s="1">
        <f>DATE(2010,5,29) + TIME(20,13,32)</f>
        <v>40327.842731481483</v>
      </c>
      <c r="C202">
        <v>80</v>
      </c>
      <c r="D202">
        <v>79.902656554999993</v>
      </c>
      <c r="E202">
        <v>50</v>
      </c>
      <c r="F202">
        <v>14.99695015</v>
      </c>
      <c r="G202">
        <v>1395.6345214999999</v>
      </c>
      <c r="H202">
        <v>1381.5382079999999</v>
      </c>
      <c r="I202">
        <v>1249.4870605000001</v>
      </c>
      <c r="J202">
        <v>1210.0445557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29.28341</v>
      </c>
      <c r="B203" s="1">
        <f>DATE(2010,5,30) + TIME(6,48,6)</f>
        <v>40328.283402777779</v>
      </c>
      <c r="C203">
        <v>80</v>
      </c>
      <c r="D203">
        <v>79.902702332000004</v>
      </c>
      <c r="E203">
        <v>50</v>
      </c>
      <c r="F203">
        <v>14.996967315999999</v>
      </c>
      <c r="G203">
        <v>1395.5357666</v>
      </c>
      <c r="H203">
        <v>1381.4442139</v>
      </c>
      <c r="I203">
        <v>1249.4908447</v>
      </c>
      <c r="J203">
        <v>1210.0483397999999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29.727208999999998</v>
      </c>
      <c r="B204" s="1">
        <f>DATE(2010,5,30) + TIME(17,27,10)</f>
        <v>40328.727199074077</v>
      </c>
      <c r="C204">
        <v>80</v>
      </c>
      <c r="D204">
        <v>79.902748107999997</v>
      </c>
      <c r="E204">
        <v>50</v>
      </c>
      <c r="F204">
        <v>14.996985434999999</v>
      </c>
      <c r="G204">
        <v>1395.4377440999999</v>
      </c>
      <c r="H204">
        <v>1381.3511963000001</v>
      </c>
      <c r="I204">
        <v>1249.494751</v>
      </c>
      <c r="J204">
        <v>1210.0520019999999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30.174799</v>
      </c>
      <c r="B205" s="1">
        <f>DATE(2010,5,31) + TIME(4,11,42)</f>
        <v>40329.174791666665</v>
      </c>
      <c r="C205">
        <v>80</v>
      </c>
      <c r="D205">
        <v>79.902793884000005</v>
      </c>
      <c r="E205">
        <v>50</v>
      </c>
      <c r="F205">
        <v>14.997002602</v>
      </c>
      <c r="G205">
        <v>1395.3405762</v>
      </c>
      <c r="H205">
        <v>1381.2587891000001</v>
      </c>
      <c r="I205">
        <v>1249.4986572</v>
      </c>
      <c r="J205">
        <v>1210.0557861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30.626864000000001</v>
      </c>
      <c r="B206" s="1">
        <f>DATE(2010,5,31) + TIME(15,2,41)</f>
        <v>40329.626863425925</v>
      </c>
      <c r="C206">
        <v>80</v>
      </c>
      <c r="D206">
        <v>79.902839661000002</v>
      </c>
      <c r="E206">
        <v>50</v>
      </c>
      <c r="F206">
        <v>14.997019767999999</v>
      </c>
      <c r="G206">
        <v>1395.2438964999999</v>
      </c>
      <c r="H206">
        <v>1381.1669922000001</v>
      </c>
      <c r="I206">
        <v>1249.5026855000001</v>
      </c>
      <c r="J206">
        <v>1210.0596923999999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31</v>
      </c>
      <c r="B207" s="1">
        <f>DATE(2010,6,1) + TIME(0,0,0)</f>
        <v>40330</v>
      </c>
      <c r="C207">
        <v>80</v>
      </c>
      <c r="D207">
        <v>79.902877808</v>
      </c>
      <c r="E207">
        <v>50</v>
      </c>
      <c r="F207">
        <v>14.997035027000001</v>
      </c>
      <c r="G207">
        <v>1395.1474608999999</v>
      </c>
      <c r="H207">
        <v>1381.0754394999999</v>
      </c>
      <c r="I207">
        <v>1249.5065918</v>
      </c>
      <c r="J207">
        <v>1210.0634766000001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31.457248</v>
      </c>
      <c r="B208" s="1">
        <f>DATE(2010,6,1) + TIME(10,58,26)</f>
        <v>40330.457245370373</v>
      </c>
      <c r="C208">
        <v>80</v>
      </c>
      <c r="D208">
        <v>79.902931213000002</v>
      </c>
      <c r="E208">
        <v>50</v>
      </c>
      <c r="F208">
        <v>14.997052193</v>
      </c>
      <c r="G208">
        <v>1395.0692139</v>
      </c>
      <c r="H208">
        <v>1381.0012207</v>
      </c>
      <c r="I208">
        <v>1249.5100098</v>
      </c>
      <c r="J208">
        <v>1210.0667725000001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31.926075000000001</v>
      </c>
      <c r="B209" s="1">
        <f>DATE(2010,6,1) + TIME(22,13,32)</f>
        <v>40330.926064814812</v>
      </c>
      <c r="C209">
        <v>80</v>
      </c>
      <c r="D209">
        <v>79.902976989999999</v>
      </c>
      <c r="E209">
        <v>50</v>
      </c>
      <c r="F209">
        <v>14.997069358999999</v>
      </c>
      <c r="G209">
        <v>1394.9746094</v>
      </c>
      <c r="H209">
        <v>1380.911499</v>
      </c>
      <c r="I209">
        <v>1249.5140381000001</v>
      </c>
      <c r="J209">
        <v>1210.0706786999999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32.402197000000001</v>
      </c>
      <c r="B210" s="1">
        <f>DATE(2010,6,2) + TIME(9,39,9)</f>
        <v>40331.402187500003</v>
      </c>
      <c r="C210">
        <v>80</v>
      </c>
      <c r="D210">
        <v>79.903030396000005</v>
      </c>
      <c r="E210">
        <v>50</v>
      </c>
      <c r="F210">
        <v>14.997086525</v>
      </c>
      <c r="G210">
        <v>1394.8787841999999</v>
      </c>
      <c r="H210">
        <v>1380.8206786999999</v>
      </c>
      <c r="I210">
        <v>1249.5181885</v>
      </c>
      <c r="J210">
        <v>1210.074707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32.886460999999997</v>
      </c>
      <c r="B211" s="1">
        <f>DATE(2010,6,2) + TIME(21,16,30)</f>
        <v>40331.886458333334</v>
      </c>
      <c r="C211">
        <v>80</v>
      </c>
      <c r="D211">
        <v>79.903083800999994</v>
      </c>
      <c r="E211">
        <v>50</v>
      </c>
      <c r="F211">
        <v>14.997103691</v>
      </c>
      <c r="G211">
        <v>1394.7829589999999</v>
      </c>
      <c r="H211">
        <v>1380.7297363</v>
      </c>
      <c r="I211">
        <v>1249.5224608999999</v>
      </c>
      <c r="J211">
        <v>1210.0788574000001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33.379783000000003</v>
      </c>
      <c r="B212" s="1">
        <f>DATE(2010,6,3) + TIME(9,6,53)</f>
        <v>40332.379780092589</v>
      </c>
      <c r="C212">
        <v>80</v>
      </c>
      <c r="D212">
        <v>79.903137207</v>
      </c>
      <c r="E212">
        <v>50</v>
      </c>
      <c r="F212">
        <v>14.997120857000001</v>
      </c>
      <c r="G212">
        <v>1394.6867675999999</v>
      </c>
      <c r="H212">
        <v>1380.6386719</v>
      </c>
      <c r="I212">
        <v>1249.5268555</v>
      </c>
      <c r="J212">
        <v>1210.0830077999999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33.882724000000003</v>
      </c>
      <c r="B213" s="1">
        <f>DATE(2010,6,3) + TIME(21,11,7)</f>
        <v>40332.882719907408</v>
      </c>
      <c r="C213">
        <v>80</v>
      </c>
      <c r="D213">
        <v>79.903190613000007</v>
      </c>
      <c r="E213">
        <v>50</v>
      </c>
      <c r="F213">
        <v>14.997138023</v>
      </c>
      <c r="G213">
        <v>1394.5902100000001</v>
      </c>
      <c r="H213">
        <v>1380.5472411999999</v>
      </c>
      <c r="I213">
        <v>1249.53125</v>
      </c>
      <c r="J213">
        <v>1210.0872803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34.394728999999998</v>
      </c>
      <c r="B214" s="1">
        <f>DATE(2010,6,4) + TIME(9,28,24)</f>
        <v>40333.39472222222</v>
      </c>
      <c r="C214">
        <v>80</v>
      </c>
      <c r="D214">
        <v>79.903244018999999</v>
      </c>
      <c r="E214">
        <v>50</v>
      </c>
      <c r="F214">
        <v>14.997156143</v>
      </c>
      <c r="G214">
        <v>1394.4931641000001</v>
      </c>
      <c r="H214">
        <v>1380.4554443</v>
      </c>
      <c r="I214">
        <v>1249.5357666</v>
      </c>
      <c r="J214">
        <v>1210.0916748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34.910257000000001</v>
      </c>
      <c r="B215" s="1">
        <f>DATE(2010,6,4) + TIME(21,50,46)</f>
        <v>40333.910254629627</v>
      </c>
      <c r="C215">
        <v>80</v>
      </c>
      <c r="D215">
        <v>79.903297424000002</v>
      </c>
      <c r="E215">
        <v>50</v>
      </c>
      <c r="F215">
        <v>14.997173309000001</v>
      </c>
      <c r="G215">
        <v>1394.395874</v>
      </c>
      <c r="H215">
        <v>1380.3632812000001</v>
      </c>
      <c r="I215">
        <v>1249.5404053</v>
      </c>
      <c r="J215">
        <v>1210.0961914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35.426622000000002</v>
      </c>
      <c r="B216" s="1">
        <f>DATE(2010,6,5) + TIME(10,14,20)</f>
        <v>40334.426620370374</v>
      </c>
      <c r="C216">
        <v>80</v>
      </c>
      <c r="D216">
        <v>79.903350829999994</v>
      </c>
      <c r="E216">
        <v>50</v>
      </c>
      <c r="F216">
        <v>14.997190475</v>
      </c>
      <c r="G216">
        <v>1394.2991943</v>
      </c>
      <c r="H216">
        <v>1380.2718506000001</v>
      </c>
      <c r="I216">
        <v>1249.5450439000001</v>
      </c>
      <c r="J216">
        <v>1210.1005858999999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35.943027000000001</v>
      </c>
      <c r="B217" s="1">
        <f>DATE(2010,6,5) + TIME(22,37,57)</f>
        <v>40334.943020833336</v>
      </c>
      <c r="C217">
        <v>80</v>
      </c>
      <c r="D217">
        <v>79.903411864999995</v>
      </c>
      <c r="E217">
        <v>50</v>
      </c>
      <c r="F217">
        <v>14.997207641999999</v>
      </c>
      <c r="G217">
        <v>1394.2037353999999</v>
      </c>
      <c r="H217">
        <v>1380.1816406</v>
      </c>
      <c r="I217">
        <v>1249.5496826000001</v>
      </c>
      <c r="J217">
        <v>1210.1051024999999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36.460289000000003</v>
      </c>
      <c r="B218" s="1">
        <f>DATE(2010,6,6) + TIME(11,2,48)</f>
        <v>40335.460277777776</v>
      </c>
      <c r="C218">
        <v>80</v>
      </c>
      <c r="D218">
        <v>79.903465271000002</v>
      </c>
      <c r="E218">
        <v>50</v>
      </c>
      <c r="F218">
        <v>14.997224808</v>
      </c>
      <c r="G218">
        <v>1394.1096190999999</v>
      </c>
      <c r="H218">
        <v>1380.0927733999999</v>
      </c>
      <c r="I218">
        <v>1249.5544434000001</v>
      </c>
      <c r="J218">
        <v>1210.1097411999999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36.979207000000002</v>
      </c>
      <c r="B219" s="1">
        <f>DATE(2010,6,6) + TIME(23,30,3)</f>
        <v>40335.979201388887</v>
      </c>
      <c r="C219">
        <v>80</v>
      </c>
      <c r="D219">
        <v>79.903518676999994</v>
      </c>
      <c r="E219">
        <v>50</v>
      </c>
      <c r="F219">
        <v>14.997241974</v>
      </c>
      <c r="G219">
        <v>1394.0167236</v>
      </c>
      <c r="H219">
        <v>1380.0048827999999</v>
      </c>
      <c r="I219">
        <v>1249.559082</v>
      </c>
      <c r="J219">
        <v>1210.1142577999999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37.50056</v>
      </c>
      <c r="B220" s="1">
        <f>DATE(2010,6,7) + TIME(12,0,48)</f>
        <v>40336.500555555554</v>
      </c>
      <c r="C220">
        <v>80</v>
      </c>
      <c r="D220">
        <v>79.903579711999996</v>
      </c>
      <c r="E220">
        <v>50</v>
      </c>
      <c r="F220">
        <v>14.997258186</v>
      </c>
      <c r="G220">
        <v>1393.9246826000001</v>
      </c>
      <c r="H220">
        <v>1379.9180908000001</v>
      </c>
      <c r="I220">
        <v>1249.5638428</v>
      </c>
      <c r="J220">
        <v>1210.1187743999999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38.025131000000002</v>
      </c>
      <c r="B221" s="1">
        <f>DATE(2010,6,8) + TIME(0,36,11)</f>
        <v>40337.025127314817</v>
      </c>
      <c r="C221">
        <v>80</v>
      </c>
      <c r="D221">
        <v>79.903633118000002</v>
      </c>
      <c r="E221">
        <v>50</v>
      </c>
      <c r="F221">
        <v>14.997275352000001</v>
      </c>
      <c r="G221">
        <v>1393.8336182</v>
      </c>
      <c r="H221">
        <v>1379.8320312000001</v>
      </c>
      <c r="I221">
        <v>1249.5686035000001</v>
      </c>
      <c r="J221">
        <v>1210.1234131000001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38.553719000000001</v>
      </c>
      <c r="B222" s="1">
        <f>DATE(2010,6,8) + TIME(13,17,21)</f>
        <v>40337.553715277776</v>
      </c>
      <c r="C222">
        <v>80</v>
      </c>
      <c r="D222">
        <v>79.903694153000004</v>
      </c>
      <c r="E222">
        <v>50</v>
      </c>
      <c r="F222">
        <v>14.997291564999999</v>
      </c>
      <c r="G222">
        <v>1393.7431641000001</v>
      </c>
      <c r="H222">
        <v>1379.7467041</v>
      </c>
      <c r="I222">
        <v>1249.5734863</v>
      </c>
      <c r="J222">
        <v>1210.1280518000001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39.087136999999998</v>
      </c>
      <c r="B223" s="1">
        <f>DATE(2010,6,9) + TIME(2,5,28)</f>
        <v>40338.087129629632</v>
      </c>
      <c r="C223">
        <v>80</v>
      </c>
      <c r="D223">
        <v>79.903755188000005</v>
      </c>
      <c r="E223">
        <v>50</v>
      </c>
      <c r="F223">
        <v>14.997307777</v>
      </c>
      <c r="G223">
        <v>1393.6531981999999</v>
      </c>
      <c r="H223">
        <v>1379.6617432</v>
      </c>
      <c r="I223">
        <v>1249.5783690999999</v>
      </c>
      <c r="J223">
        <v>1210.1328125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39.626223000000003</v>
      </c>
      <c r="B224" s="1">
        <f>DATE(2010,6,9) + TIME(15,1,45)</f>
        <v>40338.626215277778</v>
      </c>
      <c r="C224">
        <v>80</v>
      </c>
      <c r="D224">
        <v>79.903808593999997</v>
      </c>
      <c r="E224">
        <v>50</v>
      </c>
      <c r="F224">
        <v>14.99732399</v>
      </c>
      <c r="G224">
        <v>1393.5635986</v>
      </c>
      <c r="H224">
        <v>1379.5772704999999</v>
      </c>
      <c r="I224">
        <v>1249.5832519999999</v>
      </c>
      <c r="J224">
        <v>1210.1375731999999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40.171920999999998</v>
      </c>
      <c r="B225" s="1">
        <f>DATE(2010,6,10) + TIME(4,7,34)</f>
        <v>40339.1719212963</v>
      </c>
      <c r="C225">
        <v>80</v>
      </c>
      <c r="D225">
        <v>79.903869628999999</v>
      </c>
      <c r="E225">
        <v>50</v>
      </c>
      <c r="F225">
        <v>14.997340202</v>
      </c>
      <c r="G225">
        <v>1393.4742432</v>
      </c>
      <c r="H225">
        <v>1379.4931641000001</v>
      </c>
      <c r="I225">
        <v>1249.5882568</v>
      </c>
      <c r="J225">
        <v>1210.1423339999999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40.725248999999998</v>
      </c>
      <c r="B226" s="1">
        <f>DATE(2010,6,10) + TIME(17,24,21)</f>
        <v>40339.725243055553</v>
      </c>
      <c r="C226">
        <v>80</v>
      </c>
      <c r="D226">
        <v>79.903930664000001</v>
      </c>
      <c r="E226">
        <v>50</v>
      </c>
      <c r="F226">
        <v>14.997356415</v>
      </c>
      <c r="G226">
        <v>1393.3851318</v>
      </c>
      <c r="H226">
        <v>1379.4090576000001</v>
      </c>
      <c r="I226">
        <v>1249.5933838000001</v>
      </c>
      <c r="J226">
        <v>1210.1472168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41.287011999999997</v>
      </c>
      <c r="B227" s="1">
        <f>DATE(2010,6,11) + TIME(6,53,17)</f>
        <v>40340.287002314813</v>
      </c>
      <c r="C227">
        <v>80</v>
      </c>
      <c r="D227">
        <v>79.903991699000002</v>
      </c>
      <c r="E227">
        <v>50</v>
      </c>
      <c r="F227">
        <v>14.997373581</v>
      </c>
      <c r="G227">
        <v>1393.2957764</v>
      </c>
      <c r="H227">
        <v>1379.3249512</v>
      </c>
      <c r="I227">
        <v>1249.5985106999999</v>
      </c>
      <c r="J227">
        <v>1210.1522216999999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41.858164000000002</v>
      </c>
      <c r="B228" s="1">
        <f>DATE(2010,6,11) + TIME(20,35,45)</f>
        <v>40340.858159722222</v>
      </c>
      <c r="C228">
        <v>80</v>
      </c>
      <c r="D228">
        <v>79.904060364000003</v>
      </c>
      <c r="E228">
        <v>50</v>
      </c>
      <c r="F228">
        <v>14.997389793</v>
      </c>
      <c r="G228">
        <v>1393.2064209</v>
      </c>
      <c r="H228">
        <v>1379.2407227000001</v>
      </c>
      <c r="I228">
        <v>1249.6037598</v>
      </c>
      <c r="J228">
        <v>1210.1573486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42.439905000000003</v>
      </c>
      <c r="B229" s="1">
        <f>DATE(2010,6,12) + TIME(10,33,27)</f>
        <v>40341.439895833333</v>
      </c>
      <c r="C229">
        <v>80</v>
      </c>
      <c r="D229">
        <v>79.904121399000005</v>
      </c>
      <c r="E229">
        <v>50</v>
      </c>
      <c r="F229">
        <v>14.997406006</v>
      </c>
      <c r="G229">
        <v>1393.1165771000001</v>
      </c>
      <c r="H229">
        <v>1379.15625</v>
      </c>
      <c r="I229">
        <v>1249.6091309000001</v>
      </c>
      <c r="J229">
        <v>1210.1624756000001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43.031751999999997</v>
      </c>
      <c r="B230" s="1">
        <f>DATE(2010,6,13) + TIME(0,45,43)</f>
        <v>40342.031747685185</v>
      </c>
      <c r="C230">
        <v>80</v>
      </c>
      <c r="D230">
        <v>79.904190063000001</v>
      </c>
      <c r="E230">
        <v>50</v>
      </c>
      <c r="F230">
        <v>14.997422218000001</v>
      </c>
      <c r="G230">
        <v>1393.0264893000001</v>
      </c>
      <c r="H230">
        <v>1379.0712891000001</v>
      </c>
      <c r="I230">
        <v>1249.614624</v>
      </c>
      <c r="J230">
        <v>1210.1677245999999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43.633676000000001</v>
      </c>
      <c r="B231" s="1">
        <f>DATE(2010,6,13) + TIME(15,12,29)</f>
        <v>40342.633668981478</v>
      </c>
      <c r="C231">
        <v>80</v>
      </c>
      <c r="D231">
        <v>79.904258728000002</v>
      </c>
      <c r="E231">
        <v>50</v>
      </c>
      <c r="F231">
        <v>14.997438431000001</v>
      </c>
      <c r="G231">
        <v>1392.9359131000001</v>
      </c>
      <c r="H231">
        <v>1378.9862060999999</v>
      </c>
      <c r="I231">
        <v>1249.6202393000001</v>
      </c>
      <c r="J231">
        <v>1210.1730957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43.935152000000002</v>
      </c>
      <c r="B232" s="1">
        <f>DATE(2010,6,13) + TIME(22,26,37)</f>
        <v>40342.935150462959</v>
      </c>
      <c r="C232">
        <v>80</v>
      </c>
      <c r="D232">
        <v>79.904281616000006</v>
      </c>
      <c r="E232">
        <v>50</v>
      </c>
      <c r="F232">
        <v>14.997449874999999</v>
      </c>
      <c r="G232">
        <v>1392.8444824000001</v>
      </c>
      <c r="H232">
        <v>1378.9001464999999</v>
      </c>
      <c r="I232">
        <v>1249.6254882999999</v>
      </c>
      <c r="J232">
        <v>1210.1783447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44.236628000000003</v>
      </c>
      <c r="B233" s="1">
        <f>DATE(2010,6,14) + TIME(5,40,44)</f>
        <v>40343.236620370371</v>
      </c>
      <c r="C233">
        <v>80</v>
      </c>
      <c r="D233">
        <v>79.904312133999994</v>
      </c>
      <c r="E233">
        <v>50</v>
      </c>
      <c r="F233">
        <v>14.997459412</v>
      </c>
      <c r="G233">
        <v>1392.7987060999999</v>
      </c>
      <c r="H233">
        <v>1378.8569336</v>
      </c>
      <c r="I233">
        <v>1249.628418</v>
      </c>
      <c r="J233">
        <v>1210.1811522999999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44.538103999999997</v>
      </c>
      <c r="B234" s="1">
        <f>DATE(2010,6,14) + TIME(12,54,52)</f>
        <v>40343.538101851853</v>
      </c>
      <c r="C234">
        <v>80</v>
      </c>
      <c r="D234">
        <v>79.904342650999993</v>
      </c>
      <c r="E234">
        <v>50</v>
      </c>
      <c r="F234">
        <v>14.997468948</v>
      </c>
      <c r="G234">
        <v>1392.7539062000001</v>
      </c>
      <c r="H234">
        <v>1378.8146973</v>
      </c>
      <c r="I234">
        <v>1249.6313477000001</v>
      </c>
      <c r="J234">
        <v>1210.1838379000001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44.839581000000003</v>
      </c>
      <c r="B235" s="1">
        <f>DATE(2010,6,14) + TIME(20,8,59)</f>
        <v>40343.839571759258</v>
      </c>
      <c r="C235">
        <v>80</v>
      </c>
      <c r="D235">
        <v>79.904380798000005</v>
      </c>
      <c r="E235">
        <v>50</v>
      </c>
      <c r="F235">
        <v>14.997477530999999</v>
      </c>
      <c r="G235">
        <v>1392.7093506000001</v>
      </c>
      <c r="H235">
        <v>1378.7728271000001</v>
      </c>
      <c r="I235">
        <v>1249.6342772999999</v>
      </c>
      <c r="J235">
        <v>1210.1866454999999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45.141057000000004</v>
      </c>
      <c r="B236" s="1">
        <f>DATE(2010,6,15) + TIME(3,23,7)</f>
        <v>40344.141053240739</v>
      </c>
      <c r="C236">
        <v>80</v>
      </c>
      <c r="D236">
        <v>79.904411315999994</v>
      </c>
      <c r="E236">
        <v>50</v>
      </c>
      <c r="F236">
        <v>14.997486114999999</v>
      </c>
      <c r="G236">
        <v>1392.6651611</v>
      </c>
      <c r="H236">
        <v>1378.7313231999999</v>
      </c>
      <c r="I236">
        <v>1249.6370850000001</v>
      </c>
      <c r="J236">
        <v>1210.1894531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45.744008999999998</v>
      </c>
      <c r="B237" s="1">
        <f>DATE(2010,6,15) + TIME(17,51,22)</f>
        <v>40344.744004629632</v>
      </c>
      <c r="C237">
        <v>80</v>
      </c>
      <c r="D237">
        <v>79.904487610000004</v>
      </c>
      <c r="E237">
        <v>50</v>
      </c>
      <c r="F237">
        <v>14.997499466000001</v>
      </c>
      <c r="G237">
        <v>1392.6220702999999</v>
      </c>
      <c r="H237">
        <v>1378.690918</v>
      </c>
      <c r="I237">
        <v>1249.6403809000001</v>
      </c>
      <c r="J237">
        <v>1210.1925048999999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46.347194000000002</v>
      </c>
      <c r="B238" s="1">
        <f>DATE(2010,6,16) + TIME(8,19,57)</f>
        <v>40345.347187500003</v>
      </c>
      <c r="C238">
        <v>80</v>
      </c>
      <c r="D238">
        <v>79.904563904</v>
      </c>
      <c r="E238">
        <v>50</v>
      </c>
      <c r="F238">
        <v>14.997513770999999</v>
      </c>
      <c r="G238">
        <v>1392.5356445</v>
      </c>
      <c r="H238">
        <v>1378.6096190999999</v>
      </c>
      <c r="I238">
        <v>1249.6461182</v>
      </c>
      <c r="J238">
        <v>1210.1981201000001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46.953296999999999</v>
      </c>
      <c r="B239" s="1">
        <f>DATE(2010,6,16) + TIME(22,52,44)</f>
        <v>40345.953287037039</v>
      </c>
      <c r="C239">
        <v>80</v>
      </c>
      <c r="D239">
        <v>79.904632567999997</v>
      </c>
      <c r="E239">
        <v>50</v>
      </c>
      <c r="F239">
        <v>14.997529030000001</v>
      </c>
      <c r="G239">
        <v>1392.449707</v>
      </c>
      <c r="H239">
        <v>1378.5289307</v>
      </c>
      <c r="I239">
        <v>1249.6518555</v>
      </c>
      <c r="J239">
        <v>1210.2037353999999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47.563220000000001</v>
      </c>
      <c r="B240" s="1">
        <f>DATE(2010,6,17) + TIME(13,31,2)</f>
        <v>40346.563217592593</v>
      </c>
      <c r="C240">
        <v>80</v>
      </c>
      <c r="D240">
        <v>79.904701232999997</v>
      </c>
      <c r="E240">
        <v>50</v>
      </c>
      <c r="F240">
        <v>14.997544289</v>
      </c>
      <c r="G240">
        <v>1392.3645019999999</v>
      </c>
      <c r="H240">
        <v>1378.4489745999999</v>
      </c>
      <c r="I240">
        <v>1249.6577147999999</v>
      </c>
      <c r="J240">
        <v>1210.2093506000001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48.177880999999999</v>
      </c>
      <c r="B241" s="1">
        <f>DATE(2010,6,18) + TIME(4,16,8)</f>
        <v>40347.177870370368</v>
      </c>
      <c r="C241">
        <v>80</v>
      </c>
      <c r="D241">
        <v>79.904769896999994</v>
      </c>
      <c r="E241">
        <v>50</v>
      </c>
      <c r="F241">
        <v>14.997559547</v>
      </c>
      <c r="G241">
        <v>1392.2799072</v>
      </c>
      <c r="H241">
        <v>1378.3693848</v>
      </c>
      <c r="I241">
        <v>1249.6636963000001</v>
      </c>
      <c r="J241">
        <v>1210.2149658000001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48.798223999999998</v>
      </c>
      <c r="B242" s="1">
        <f>DATE(2010,6,18) + TIME(19,9,26)</f>
        <v>40347.798217592594</v>
      </c>
      <c r="C242">
        <v>80</v>
      </c>
      <c r="D242">
        <v>79.904846191000004</v>
      </c>
      <c r="E242">
        <v>50</v>
      </c>
      <c r="F242">
        <v>14.997574805999999</v>
      </c>
      <c r="G242">
        <v>1392.1955565999999</v>
      </c>
      <c r="H242">
        <v>1378.2902832</v>
      </c>
      <c r="I242">
        <v>1249.6696777</v>
      </c>
      <c r="J242">
        <v>1210.2207031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49.425226000000002</v>
      </c>
      <c r="B243" s="1">
        <f>DATE(2010,6,19) + TIME(10,12,19)</f>
        <v>40348.425219907411</v>
      </c>
      <c r="C243">
        <v>80</v>
      </c>
      <c r="D243">
        <v>79.904914856000005</v>
      </c>
      <c r="E243">
        <v>50</v>
      </c>
      <c r="F243">
        <v>14.997590065000001</v>
      </c>
      <c r="G243">
        <v>1392.1115723</v>
      </c>
      <c r="H243">
        <v>1378.2115478999999</v>
      </c>
      <c r="I243">
        <v>1249.6757812000001</v>
      </c>
      <c r="J243">
        <v>1210.2265625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50.060037999999999</v>
      </c>
      <c r="B244" s="1">
        <f>DATE(2010,6,20) + TIME(1,26,27)</f>
        <v>40349.060034722221</v>
      </c>
      <c r="C244">
        <v>80</v>
      </c>
      <c r="D244">
        <v>79.904991150000001</v>
      </c>
      <c r="E244">
        <v>50</v>
      </c>
      <c r="F244">
        <v>14.997605324</v>
      </c>
      <c r="G244">
        <v>1392.027832</v>
      </c>
      <c r="H244">
        <v>1378.1328125</v>
      </c>
      <c r="I244">
        <v>1249.6818848</v>
      </c>
      <c r="J244">
        <v>1210.2325439000001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50.703752000000001</v>
      </c>
      <c r="B245" s="1">
        <f>DATE(2010,6,20) + TIME(16,53,24)</f>
        <v>40349.703750000001</v>
      </c>
      <c r="C245">
        <v>80</v>
      </c>
      <c r="D245">
        <v>79.905059813999998</v>
      </c>
      <c r="E245">
        <v>50</v>
      </c>
      <c r="F245">
        <v>14.997620583</v>
      </c>
      <c r="G245">
        <v>1391.9439697</v>
      </c>
      <c r="H245">
        <v>1378.0541992000001</v>
      </c>
      <c r="I245">
        <v>1249.6881103999999</v>
      </c>
      <c r="J245">
        <v>1210.2385254000001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51.357343999999998</v>
      </c>
      <c r="B246" s="1">
        <f>DATE(2010,6,21) + TIME(8,34,34)</f>
        <v>40350.35733796296</v>
      </c>
      <c r="C246">
        <v>80</v>
      </c>
      <c r="D246">
        <v>79.905136107999994</v>
      </c>
      <c r="E246">
        <v>50</v>
      </c>
      <c r="F246">
        <v>14.997635840999999</v>
      </c>
      <c r="G246">
        <v>1391.8599853999999</v>
      </c>
      <c r="H246">
        <v>1377.9754639</v>
      </c>
      <c r="I246">
        <v>1249.6944579999999</v>
      </c>
      <c r="J246">
        <v>1210.2446289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52.021946</v>
      </c>
      <c r="B247" s="1">
        <f>DATE(2010,6,22) + TIME(0,31,36)</f>
        <v>40351.021944444445</v>
      </c>
      <c r="C247">
        <v>80</v>
      </c>
      <c r="D247">
        <v>79.905212402000004</v>
      </c>
      <c r="E247">
        <v>50</v>
      </c>
      <c r="F247">
        <v>14.997652054</v>
      </c>
      <c r="G247">
        <v>1391.7757568</v>
      </c>
      <c r="H247">
        <v>1377.8964844</v>
      </c>
      <c r="I247">
        <v>1249.7010498</v>
      </c>
      <c r="J247">
        <v>1210.2508545000001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52.698971</v>
      </c>
      <c r="B248" s="1">
        <f>DATE(2010,6,22) + TIME(16,46,31)</f>
        <v>40351.698969907404</v>
      </c>
      <c r="C248">
        <v>80</v>
      </c>
      <c r="D248">
        <v>79.905296325999998</v>
      </c>
      <c r="E248">
        <v>50</v>
      </c>
      <c r="F248">
        <v>14.997667313000001</v>
      </c>
      <c r="G248">
        <v>1391.6911620999999</v>
      </c>
      <c r="H248">
        <v>1377.8172606999999</v>
      </c>
      <c r="I248">
        <v>1249.7076416</v>
      </c>
      <c r="J248">
        <v>1210.2572021000001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53.387672000000002</v>
      </c>
      <c r="B249" s="1">
        <f>DATE(2010,6,23) + TIME(9,18,14)</f>
        <v>40352.387662037036</v>
      </c>
      <c r="C249">
        <v>80</v>
      </c>
      <c r="D249">
        <v>79.905372619999994</v>
      </c>
      <c r="E249">
        <v>50</v>
      </c>
      <c r="F249">
        <v>14.997682571</v>
      </c>
      <c r="G249">
        <v>1391.6060791</v>
      </c>
      <c r="H249">
        <v>1377.7375488</v>
      </c>
      <c r="I249">
        <v>1249.7143555</v>
      </c>
      <c r="J249">
        <v>1210.2636719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53.734009999999998</v>
      </c>
      <c r="B250" s="1">
        <f>DATE(2010,6,23) + TIME(17,36,58)</f>
        <v>40352.73400462963</v>
      </c>
      <c r="C250">
        <v>80</v>
      </c>
      <c r="D250">
        <v>79.905403136999993</v>
      </c>
      <c r="E250">
        <v>50</v>
      </c>
      <c r="F250">
        <v>14.997693062</v>
      </c>
      <c r="G250">
        <v>1391.5201416</v>
      </c>
      <c r="H250">
        <v>1377.6568603999999</v>
      </c>
      <c r="I250">
        <v>1249.7209473</v>
      </c>
      <c r="J250">
        <v>1210.2700195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54.080347000000003</v>
      </c>
      <c r="B251" s="1">
        <f>DATE(2010,6,24) + TIME(1,55,42)</f>
        <v>40353.080347222225</v>
      </c>
      <c r="C251">
        <v>80</v>
      </c>
      <c r="D251">
        <v>79.905441284000005</v>
      </c>
      <c r="E251">
        <v>50</v>
      </c>
      <c r="F251">
        <v>14.997702599</v>
      </c>
      <c r="G251">
        <v>1391.4768065999999</v>
      </c>
      <c r="H251">
        <v>1377.6162108999999</v>
      </c>
      <c r="I251">
        <v>1249.7244873</v>
      </c>
      <c r="J251">
        <v>1210.2734375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54.426684999999999</v>
      </c>
      <c r="B252" s="1">
        <f>DATE(2010,6,24) + TIME(10,14,25)</f>
        <v>40353.426678240743</v>
      </c>
      <c r="C252">
        <v>80</v>
      </c>
      <c r="D252">
        <v>79.905479431000003</v>
      </c>
      <c r="E252">
        <v>50</v>
      </c>
      <c r="F252">
        <v>14.997711182</v>
      </c>
      <c r="G252">
        <v>1391.4343262</v>
      </c>
      <c r="H252">
        <v>1377.5764160000001</v>
      </c>
      <c r="I252">
        <v>1249.7280272999999</v>
      </c>
      <c r="J252">
        <v>1210.2767334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54.773023000000002</v>
      </c>
      <c r="B253" s="1">
        <f>DATE(2010,6,24) + TIME(18,33,9)</f>
        <v>40353.773020833331</v>
      </c>
      <c r="C253">
        <v>80</v>
      </c>
      <c r="D253">
        <v>79.905517578000001</v>
      </c>
      <c r="E253">
        <v>50</v>
      </c>
      <c r="F253">
        <v>14.997719764999999</v>
      </c>
      <c r="G253">
        <v>1391.3922118999999</v>
      </c>
      <c r="H253">
        <v>1377.5369873</v>
      </c>
      <c r="I253">
        <v>1249.7315673999999</v>
      </c>
      <c r="J253">
        <v>1210.2801514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55.119360999999998</v>
      </c>
      <c r="B254" s="1">
        <f>DATE(2010,6,25) + TIME(2,51,52)</f>
        <v>40354.119351851848</v>
      </c>
      <c r="C254">
        <v>80</v>
      </c>
      <c r="D254">
        <v>79.905555724999999</v>
      </c>
      <c r="E254">
        <v>50</v>
      </c>
      <c r="F254">
        <v>14.997728348000001</v>
      </c>
      <c r="G254">
        <v>1391.3503418</v>
      </c>
      <c r="H254">
        <v>1377.4978027</v>
      </c>
      <c r="I254">
        <v>1249.7351074000001</v>
      </c>
      <c r="J254">
        <v>1210.2834473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55.465699000000001</v>
      </c>
      <c r="B255" s="1">
        <f>DATE(2010,6,25) + TIME(11,10,36)</f>
        <v>40354.465694444443</v>
      </c>
      <c r="C255">
        <v>80</v>
      </c>
      <c r="D255">
        <v>79.905593871999997</v>
      </c>
      <c r="E255">
        <v>50</v>
      </c>
      <c r="F255">
        <v>14.997736931</v>
      </c>
      <c r="G255">
        <v>1391.3088379000001</v>
      </c>
      <c r="H255">
        <v>1377.4587402</v>
      </c>
      <c r="I255">
        <v>1249.7385254000001</v>
      </c>
      <c r="J255">
        <v>1210.2868652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55.812036999999997</v>
      </c>
      <c r="B256" s="1">
        <f>DATE(2010,6,25) + TIME(19,29,19)</f>
        <v>40354.812025462961</v>
      </c>
      <c r="C256">
        <v>80</v>
      </c>
      <c r="D256">
        <v>79.905639648000005</v>
      </c>
      <c r="E256">
        <v>50</v>
      </c>
      <c r="F256">
        <v>14.997744559999999</v>
      </c>
      <c r="G256">
        <v>1391.2674560999999</v>
      </c>
      <c r="H256">
        <v>1377.4200439000001</v>
      </c>
      <c r="I256">
        <v>1249.7420654</v>
      </c>
      <c r="J256">
        <v>1210.2902832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56.504711999999998</v>
      </c>
      <c r="B257" s="1">
        <f>DATE(2010,6,26) + TIME(12,6,47)</f>
        <v>40355.504710648151</v>
      </c>
      <c r="C257">
        <v>80</v>
      </c>
      <c r="D257">
        <v>79.905731200999995</v>
      </c>
      <c r="E257">
        <v>50</v>
      </c>
      <c r="F257">
        <v>14.997756003999999</v>
      </c>
      <c r="G257">
        <v>1391.2271728999999</v>
      </c>
      <c r="H257">
        <v>1377.3823242000001</v>
      </c>
      <c r="I257">
        <v>1249.7459716999999</v>
      </c>
      <c r="J257">
        <v>1210.2940673999999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57.198062</v>
      </c>
      <c r="B258" s="1">
        <f>DATE(2010,6,27) + TIME(4,45,12)</f>
        <v>40356.198055555556</v>
      </c>
      <c r="C258">
        <v>80</v>
      </c>
      <c r="D258">
        <v>79.905815125000004</v>
      </c>
      <c r="E258">
        <v>50</v>
      </c>
      <c r="F258">
        <v>14.997769355999999</v>
      </c>
      <c r="G258">
        <v>1391.1461182</v>
      </c>
      <c r="H258">
        <v>1377.3065185999999</v>
      </c>
      <c r="I258">
        <v>1249.7530518000001</v>
      </c>
      <c r="J258">
        <v>1210.3007812000001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57.895667000000003</v>
      </c>
      <c r="B259" s="1">
        <f>DATE(2010,6,27) + TIME(21,29,45)</f>
        <v>40356.89565972222</v>
      </c>
      <c r="C259">
        <v>80</v>
      </c>
      <c r="D259">
        <v>79.905899047999995</v>
      </c>
      <c r="E259">
        <v>50</v>
      </c>
      <c r="F259">
        <v>14.997783661</v>
      </c>
      <c r="G259">
        <v>1391.0656738</v>
      </c>
      <c r="H259">
        <v>1377.2312012</v>
      </c>
      <c r="I259">
        <v>1249.7601318</v>
      </c>
      <c r="J259">
        <v>1210.3076172000001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58.598556000000002</v>
      </c>
      <c r="B260" s="1">
        <f>DATE(2010,6,28) + TIME(14,21,55)</f>
        <v>40357.598553240743</v>
      </c>
      <c r="C260">
        <v>80</v>
      </c>
      <c r="D260">
        <v>79.905982971</v>
      </c>
      <c r="E260">
        <v>50</v>
      </c>
      <c r="F260">
        <v>14.997797966</v>
      </c>
      <c r="G260">
        <v>1390.9855957</v>
      </c>
      <c r="H260">
        <v>1377.15625</v>
      </c>
      <c r="I260">
        <v>1249.7673339999999</v>
      </c>
      <c r="J260">
        <v>1210.3144531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59.307816000000003</v>
      </c>
      <c r="B261" s="1">
        <f>DATE(2010,6,29) + TIME(7,23,15)</f>
        <v>40358.307812500003</v>
      </c>
      <c r="C261">
        <v>80</v>
      </c>
      <c r="D261">
        <v>79.906059264999996</v>
      </c>
      <c r="E261">
        <v>50</v>
      </c>
      <c r="F261">
        <v>14.997812271000001</v>
      </c>
      <c r="G261">
        <v>1390.9058838000001</v>
      </c>
      <c r="H261">
        <v>1377.0816649999999</v>
      </c>
      <c r="I261">
        <v>1249.7746582</v>
      </c>
      <c r="J261">
        <v>1210.3215332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60.024569</v>
      </c>
      <c r="B262" s="1">
        <f>DATE(2010,6,30) + TIME(0,35,22)</f>
        <v>40359.024560185186</v>
      </c>
      <c r="C262">
        <v>80</v>
      </c>
      <c r="D262">
        <v>79.906150818</v>
      </c>
      <c r="E262">
        <v>50</v>
      </c>
      <c r="F262">
        <v>14.99782753</v>
      </c>
      <c r="G262">
        <v>1390.8262939000001</v>
      </c>
      <c r="H262">
        <v>1377.0073242000001</v>
      </c>
      <c r="I262">
        <v>1249.7821045000001</v>
      </c>
      <c r="J262">
        <v>1210.3286132999999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60.750188999999999</v>
      </c>
      <c r="B263" s="1">
        <f>DATE(2010,6,30) + TIME(18,0,16)</f>
        <v>40359.750185185185</v>
      </c>
      <c r="C263">
        <v>80</v>
      </c>
      <c r="D263">
        <v>79.906234741000006</v>
      </c>
      <c r="E263">
        <v>50</v>
      </c>
      <c r="F263">
        <v>14.997841834999999</v>
      </c>
      <c r="G263">
        <v>1390.7469481999999</v>
      </c>
      <c r="H263">
        <v>1376.9329834</v>
      </c>
      <c r="I263">
        <v>1249.7895507999999</v>
      </c>
      <c r="J263">
        <v>1210.3356934000001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61</v>
      </c>
      <c r="B264" s="1">
        <f>DATE(2010,7,1) + TIME(0,0,0)</f>
        <v>40360</v>
      </c>
      <c r="C264">
        <v>80</v>
      </c>
      <c r="D264">
        <v>79.90625</v>
      </c>
      <c r="E264">
        <v>50</v>
      </c>
      <c r="F264">
        <v>14.997849464</v>
      </c>
      <c r="G264">
        <v>1390.6673584</v>
      </c>
      <c r="H264">
        <v>1376.8586425999999</v>
      </c>
      <c r="I264">
        <v>1249.7966309000001</v>
      </c>
      <c r="J264">
        <v>1210.3425293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61.735644000000001</v>
      </c>
      <c r="B265" s="1">
        <f>DATE(2010,7,1) + TIME(17,39,19)</f>
        <v>40360.735636574071</v>
      </c>
      <c r="C265">
        <v>80</v>
      </c>
      <c r="D265">
        <v>79.906349182</v>
      </c>
      <c r="E265">
        <v>50</v>
      </c>
      <c r="F265">
        <v>14.997862816</v>
      </c>
      <c r="G265">
        <v>1390.6397704999999</v>
      </c>
      <c r="H265">
        <v>1376.8327637</v>
      </c>
      <c r="I265">
        <v>1249.7999268000001</v>
      </c>
      <c r="J265">
        <v>1210.3455810999999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62.486685999999999</v>
      </c>
      <c r="B266" s="1">
        <f>DATE(2010,7,2) + TIME(11,40,49)</f>
        <v>40361.486678240741</v>
      </c>
      <c r="C266">
        <v>80</v>
      </c>
      <c r="D266">
        <v>79.906433105000005</v>
      </c>
      <c r="E266">
        <v>50</v>
      </c>
      <c r="F266">
        <v>14.997877121</v>
      </c>
      <c r="G266">
        <v>1390.5609131000001</v>
      </c>
      <c r="H266">
        <v>1376.7590332</v>
      </c>
      <c r="I266">
        <v>1249.8076172000001</v>
      </c>
      <c r="J266">
        <v>1210.3530272999999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63.250650999999998</v>
      </c>
      <c r="B267" s="1">
        <f>DATE(2010,7,3) + TIME(6,0,56)</f>
        <v>40362.250648148147</v>
      </c>
      <c r="C267">
        <v>80</v>
      </c>
      <c r="D267">
        <v>79.906524657999995</v>
      </c>
      <c r="E267">
        <v>50</v>
      </c>
      <c r="F267">
        <v>14.997891426000001</v>
      </c>
      <c r="G267">
        <v>1390.4808350000001</v>
      </c>
      <c r="H267">
        <v>1376.6842041</v>
      </c>
      <c r="I267">
        <v>1249.8156738</v>
      </c>
      <c r="J267">
        <v>1210.3605957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64.029219999999995</v>
      </c>
      <c r="B268" s="1">
        <f>DATE(2010,7,4) + TIME(0,42,4)</f>
        <v>40363.02921296296</v>
      </c>
      <c r="C268">
        <v>80</v>
      </c>
      <c r="D268">
        <v>79.906623839999995</v>
      </c>
      <c r="E268">
        <v>50</v>
      </c>
      <c r="F268">
        <v>14.997906685</v>
      </c>
      <c r="G268">
        <v>1390.4002685999999</v>
      </c>
      <c r="H268">
        <v>1376.6090088000001</v>
      </c>
      <c r="I268">
        <v>1249.8237305</v>
      </c>
      <c r="J268">
        <v>1210.3684082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64.418638000000001</v>
      </c>
      <c r="B269" s="1">
        <f>DATE(2010,7,4) + TIME(10,2,50)</f>
        <v>40363.418634259258</v>
      </c>
      <c r="C269">
        <v>80</v>
      </c>
      <c r="D269">
        <v>79.906654357999997</v>
      </c>
      <c r="E269">
        <v>50</v>
      </c>
      <c r="F269">
        <v>14.997916222000001</v>
      </c>
      <c r="G269">
        <v>1390.3188477000001</v>
      </c>
      <c r="H269">
        <v>1376.5328368999999</v>
      </c>
      <c r="I269">
        <v>1249.8317870999999</v>
      </c>
      <c r="J269">
        <v>1210.3760986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64.808055999999993</v>
      </c>
      <c r="B270" s="1">
        <f>DATE(2010,7,4) + TIME(19,23,36)</f>
        <v>40363.808055555557</v>
      </c>
      <c r="C270">
        <v>80</v>
      </c>
      <c r="D270">
        <v>79.906700134000005</v>
      </c>
      <c r="E270">
        <v>50</v>
      </c>
      <c r="F270">
        <v>14.997925757999999</v>
      </c>
      <c r="G270">
        <v>1390.277832</v>
      </c>
      <c r="H270">
        <v>1376.4945068</v>
      </c>
      <c r="I270">
        <v>1249.8360596</v>
      </c>
      <c r="J270">
        <v>1210.3801269999999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65.197474</v>
      </c>
      <c r="B271" s="1">
        <f>DATE(2010,7,5) + TIME(4,44,21)</f>
        <v>40364.197465277779</v>
      </c>
      <c r="C271">
        <v>80</v>
      </c>
      <c r="D271">
        <v>79.906745911000002</v>
      </c>
      <c r="E271">
        <v>50</v>
      </c>
      <c r="F271">
        <v>14.997934341000001</v>
      </c>
      <c r="G271">
        <v>1390.237793</v>
      </c>
      <c r="H271">
        <v>1376.4570312000001</v>
      </c>
      <c r="I271">
        <v>1249.8402100000001</v>
      </c>
      <c r="J271">
        <v>1210.3841553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65.586893000000003</v>
      </c>
      <c r="B272" s="1">
        <f>DATE(2010,7,5) + TIME(14,5,7)</f>
        <v>40364.586886574078</v>
      </c>
      <c r="C272">
        <v>80</v>
      </c>
      <c r="D272">
        <v>79.906791686999995</v>
      </c>
      <c r="E272">
        <v>50</v>
      </c>
      <c r="F272">
        <v>14.997941970999999</v>
      </c>
      <c r="G272">
        <v>1390.1979980000001</v>
      </c>
      <c r="H272">
        <v>1376.4197998</v>
      </c>
      <c r="I272">
        <v>1249.8444824000001</v>
      </c>
      <c r="J272">
        <v>1210.3881836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65.976310999999995</v>
      </c>
      <c r="B273" s="1">
        <f>DATE(2010,7,5) + TIME(23,25,53)</f>
        <v>40364.976307870369</v>
      </c>
      <c r="C273">
        <v>80</v>
      </c>
      <c r="D273">
        <v>79.906837463000002</v>
      </c>
      <c r="E273">
        <v>50</v>
      </c>
      <c r="F273">
        <v>14.9979496</v>
      </c>
      <c r="G273">
        <v>1390.1584473</v>
      </c>
      <c r="H273">
        <v>1376.3828125</v>
      </c>
      <c r="I273">
        <v>1249.8487548999999</v>
      </c>
      <c r="J273">
        <v>1210.3922118999999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66.365729000000002</v>
      </c>
      <c r="B274" s="1">
        <f>DATE(2010,7,6) + TIME(8,46,38)</f>
        <v>40365.365717592591</v>
      </c>
      <c r="C274">
        <v>80</v>
      </c>
      <c r="D274">
        <v>79.906883239999999</v>
      </c>
      <c r="E274">
        <v>50</v>
      </c>
      <c r="F274">
        <v>14.997958183</v>
      </c>
      <c r="G274">
        <v>1390.1191406</v>
      </c>
      <c r="H274">
        <v>1376.3460693</v>
      </c>
      <c r="I274">
        <v>1249.8530272999999</v>
      </c>
      <c r="J274">
        <v>1210.3963623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66.755146999999994</v>
      </c>
      <c r="B275" s="1">
        <f>DATE(2010,7,6) + TIME(18,7,24)</f>
        <v>40365.75513888889</v>
      </c>
      <c r="C275">
        <v>80</v>
      </c>
      <c r="D275">
        <v>79.906929016000007</v>
      </c>
      <c r="E275">
        <v>50</v>
      </c>
      <c r="F275">
        <v>14.997964859</v>
      </c>
      <c r="G275">
        <v>1390.0800781</v>
      </c>
      <c r="H275">
        <v>1376.3095702999999</v>
      </c>
      <c r="I275">
        <v>1249.8572998</v>
      </c>
      <c r="J275">
        <v>1210.4003906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67.533984000000004</v>
      </c>
      <c r="B276" s="1">
        <f>DATE(2010,7,7) + TIME(12,48,56)</f>
        <v>40366.53398148148</v>
      </c>
      <c r="C276">
        <v>80</v>
      </c>
      <c r="D276">
        <v>79.907028198000006</v>
      </c>
      <c r="E276">
        <v>50</v>
      </c>
      <c r="F276">
        <v>14.997976303</v>
      </c>
      <c r="G276">
        <v>1390.0418701000001</v>
      </c>
      <c r="H276">
        <v>1376.2739257999999</v>
      </c>
      <c r="I276">
        <v>1249.8618164</v>
      </c>
      <c r="J276">
        <v>1210.4047852000001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68.31362</v>
      </c>
      <c r="B277" s="1">
        <f>DATE(2010,7,8) + TIME(7,31,36)</f>
        <v>40367.313611111109</v>
      </c>
      <c r="C277">
        <v>80</v>
      </c>
      <c r="D277">
        <v>79.907127380000006</v>
      </c>
      <c r="E277">
        <v>50</v>
      </c>
      <c r="F277">
        <v>14.997988701000001</v>
      </c>
      <c r="G277">
        <v>1389.9650879000001</v>
      </c>
      <c r="H277">
        <v>1376.2022704999999</v>
      </c>
      <c r="I277">
        <v>1249.8703613</v>
      </c>
      <c r="J277">
        <v>1210.4129639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69.098338999999996</v>
      </c>
      <c r="B278" s="1">
        <f>DATE(2010,7,9) + TIME(2,21,36)</f>
        <v>40368.098333333335</v>
      </c>
      <c r="C278">
        <v>80</v>
      </c>
      <c r="D278">
        <v>79.907218932999996</v>
      </c>
      <c r="E278">
        <v>50</v>
      </c>
      <c r="F278">
        <v>14.998002052</v>
      </c>
      <c r="G278">
        <v>1389.8887939000001</v>
      </c>
      <c r="H278">
        <v>1376.1309814000001</v>
      </c>
      <c r="I278">
        <v>1249.8789062000001</v>
      </c>
      <c r="J278">
        <v>1210.4211425999999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69.889315999999994</v>
      </c>
      <c r="B279" s="1">
        <f>DATE(2010,7,9) + TIME(21,20,36)</f>
        <v>40368.889305555553</v>
      </c>
      <c r="C279">
        <v>80</v>
      </c>
      <c r="D279">
        <v>79.907310486</v>
      </c>
      <c r="E279">
        <v>50</v>
      </c>
      <c r="F279">
        <v>14.998016356999999</v>
      </c>
      <c r="G279">
        <v>1389.8128661999999</v>
      </c>
      <c r="H279">
        <v>1376.0600586</v>
      </c>
      <c r="I279">
        <v>1249.8876952999999</v>
      </c>
      <c r="J279">
        <v>1210.4294434000001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70.687800999999993</v>
      </c>
      <c r="B280" s="1">
        <f>DATE(2010,7,10) + TIME(16,30,26)</f>
        <v>40369.687800925924</v>
      </c>
      <c r="C280">
        <v>80</v>
      </c>
      <c r="D280">
        <v>79.907409668</v>
      </c>
      <c r="E280">
        <v>50</v>
      </c>
      <c r="F280">
        <v>14.998029709000001</v>
      </c>
      <c r="G280">
        <v>1389.7371826000001</v>
      </c>
      <c r="H280">
        <v>1375.9893798999999</v>
      </c>
      <c r="I280">
        <v>1249.8964844</v>
      </c>
      <c r="J280">
        <v>1210.4378661999999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71.495123000000007</v>
      </c>
      <c r="B281" s="1">
        <f>DATE(2010,7,11) + TIME(11,52,58)</f>
        <v>40370.495115740741</v>
      </c>
      <c r="C281">
        <v>80</v>
      </c>
      <c r="D281">
        <v>79.907501221000004</v>
      </c>
      <c r="E281">
        <v>50</v>
      </c>
      <c r="F281">
        <v>14.998044014</v>
      </c>
      <c r="G281">
        <v>1389.6616211</v>
      </c>
      <c r="H281">
        <v>1375.9188231999999</v>
      </c>
      <c r="I281">
        <v>1249.9053954999999</v>
      </c>
      <c r="J281">
        <v>1210.4464111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72.312937000000005</v>
      </c>
      <c r="B282" s="1">
        <f>DATE(2010,7,12) + TIME(7,30,37)</f>
        <v>40371.312928240739</v>
      </c>
      <c r="C282">
        <v>80</v>
      </c>
      <c r="D282">
        <v>79.907600403000004</v>
      </c>
      <c r="E282">
        <v>50</v>
      </c>
      <c r="F282">
        <v>14.998058319</v>
      </c>
      <c r="G282">
        <v>1389.5859375</v>
      </c>
      <c r="H282">
        <v>1375.8482666</v>
      </c>
      <c r="I282">
        <v>1249.9145507999999</v>
      </c>
      <c r="J282">
        <v>1210.4550781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73.142362000000006</v>
      </c>
      <c r="B283" s="1">
        <f>DATE(2010,7,13) + TIME(3,25,0)</f>
        <v>40372.142361111109</v>
      </c>
      <c r="C283">
        <v>80</v>
      </c>
      <c r="D283">
        <v>79.907699585000003</v>
      </c>
      <c r="E283">
        <v>50</v>
      </c>
      <c r="F283">
        <v>14.998072624000001</v>
      </c>
      <c r="G283">
        <v>1389.5101318</v>
      </c>
      <c r="H283">
        <v>1375.7775879000001</v>
      </c>
      <c r="I283">
        <v>1249.9238281</v>
      </c>
      <c r="J283">
        <v>1210.4638672000001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73.984868000000006</v>
      </c>
      <c r="B284" s="1">
        <f>DATE(2010,7,13) + TIME(23,38,12)</f>
        <v>40372.984861111108</v>
      </c>
      <c r="C284">
        <v>80</v>
      </c>
      <c r="D284">
        <v>79.907798767000003</v>
      </c>
      <c r="E284">
        <v>50</v>
      </c>
      <c r="F284">
        <v>14.998086928999999</v>
      </c>
      <c r="G284">
        <v>1389.4342041</v>
      </c>
      <c r="H284">
        <v>1375.706543</v>
      </c>
      <c r="I284">
        <v>1249.9332274999999</v>
      </c>
      <c r="J284">
        <v>1210.4729004000001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74.842022999999998</v>
      </c>
      <c r="B285" s="1">
        <f>DATE(2010,7,14) + TIME(20,12,30)</f>
        <v>40373.842013888891</v>
      </c>
      <c r="C285">
        <v>80</v>
      </c>
      <c r="D285">
        <v>79.907905579000001</v>
      </c>
      <c r="E285">
        <v>50</v>
      </c>
      <c r="F285">
        <v>14.998101234</v>
      </c>
      <c r="G285">
        <v>1389.3577881000001</v>
      </c>
      <c r="H285">
        <v>1375.635376</v>
      </c>
      <c r="I285">
        <v>1249.9428711</v>
      </c>
      <c r="J285">
        <v>1210.4820557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75.275834000000003</v>
      </c>
      <c r="B286" s="1">
        <f>DATE(2010,7,15) + TIME(6,37,12)</f>
        <v>40374.275833333333</v>
      </c>
      <c r="C286">
        <v>80</v>
      </c>
      <c r="D286">
        <v>79.907943725999999</v>
      </c>
      <c r="E286">
        <v>50</v>
      </c>
      <c r="F286">
        <v>14.998110771</v>
      </c>
      <c r="G286">
        <v>1389.2806396000001</v>
      </c>
      <c r="H286">
        <v>1375.5632324000001</v>
      </c>
      <c r="I286">
        <v>1249.9523925999999</v>
      </c>
      <c r="J286">
        <v>1210.4910889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75.709644999999995</v>
      </c>
      <c r="B287" s="1">
        <f>DATE(2010,7,15) + TIME(17,1,53)</f>
        <v>40374.709641203706</v>
      </c>
      <c r="C287">
        <v>80</v>
      </c>
      <c r="D287">
        <v>79.907997131000002</v>
      </c>
      <c r="E287">
        <v>50</v>
      </c>
      <c r="F287">
        <v>14.998119354</v>
      </c>
      <c r="G287">
        <v>1389.2413329999999</v>
      </c>
      <c r="H287">
        <v>1375.5264893000001</v>
      </c>
      <c r="I287">
        <v>1249.9575195</v>
      </c>
      <c r="J287">
        <v>1210.4959716999999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76.143455000000003</v>
      </c>
      <c r="B288" s="1">
        <f>DATE(2010,7,16) + TIME(3,26,34)</f>
        <v>40375.143449074072</v>
      </c>
      <c r="C288">
        <v>80</v>
      </c>
      <c r="D288">
        <v>79.908042907999999</v>
      </c>
      <c r="E288">
        <v>50</v>
      </c>
      <c r="F288">
        <v>14.998127937</v>
      </c>
      <c r="G288">
        <v>1389.2028809000001</v>
      </c>
      <c r="H288">
        <v>1375.4906006000001</v>
      </c>
      <c r="I288">
        <v>1249.9625243999999</v>
      </c>
      <c r="J288">
        <v>1210.5007324000001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76.577265999999995</v>
      </c>
      <c r="B289" s="1">
        <f>DATE(2010,7,16) + TIME(13,51,15)</f>
        <v>40375.577256944445</v>
      </c>
      <c r="C289">
        <v>80</v>
      </c>
      <c r="D289">
        <v>79.908096313000001</v>
      </c>
      <c r="E289">
        <v>50</v>
      </c>
      <c r="F289">
        <v>14.998135567</v>
      </c>
      <c r="G289">
        <v>1389.1646728999999</v>
      </c>
      <c r="H289">
        <v>1375.4549560999999</v>
      </c>
      <c r="I289">
        <v>1249.9676514</v>
      </c>
      <c r="J289">
        <v>1210.5056152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77.011077</v>
      </c>
      <c r="B290" s="1">
        <f>DATE(2010,7,17) + TIME(0,15,57)</f>
        <v>40376.011076388888</v>
      </c>
      <c r="C290">
        <v>80</v>
      </c>
      <c r="D290">
        <v>79.908142089999998</v>
      </c>
      <c r="E290">
        <v>50</v>
      </c>
      <c r="F290">
        <v>14.998143195999999</v>
      </c>
      <c r="G290">
        <v>1389.1267089999999</v>
      </c>
      <c r="H290">
        <v>1375.4194336</v>
      </c>
      <c r="I290">
        <v>1249.9726562000001</v>
      </c>
      <c r="J290">
        <v>1210.510376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77.444888000000006</v>
      </c>
      <c r="B291" s="1">
        <f>DATE(2010,7,17) + TIME(10,40,38)</f>
        <v>40376.444884259261</v>
      </c>
      <c r="C291">
        <v>80</v>
      </c>
      <c r="D291">
        <v>79.908195496000005</v>
      </c>
      <c r="E291">
        <v>50</v>
      </c>
      <c r="F291">
        <v>14.998150826</v>
      </c>
      <c r="G291">
        <v>1389.0888672000001</v>
      </c>
      <c r="H291">
        <v>1375.3841553</v>
      </c>
      <c r="I291">
        <v>1249.9777832</v>
      </c>
      <c r="J291">
        <v>1210.5152588000001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77.878698999999997</v>
      </c>
      <c r="B292" s="1">
        <f>DATE(2010,7,17) + TIME(21,5,19)</f>
        <v>40376.878692129627</v>
      </c>
      <c r="C292">
        <v>80</v>
      </c>
      <c r="D292">
        <v>79.908248900999993</v>
      </c>
      <c r="E292">
        <v>50</v>
      </c>
      <c r="F292">
        <v>14.998158455</v>
      </c>
      <c r="G292">
        <v>1389.0512695</v>
      </c>
      <c r="H292">
        <v>1375.3491211</v>
      </c>
      <c r="I292">
        <v>1249.9829102000001</v>
      </c>
      <c r="J292">
        <v>1210.5201416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78.312510000000003</v>
      </c>
      <c r="B293" s="1">
        <f>DATE(2010,7,18) + TIME(7,30,0)</f>
        <v>40377.3125</v>
      </c>
      <c r="C293">
        <v>80</v>
      </c>
      <c r="D293">
        <v>79.908302307</v>
      </c>
      <c r="E293">
        <v>50</v>
      </c>
      <c r="F293">
        <v>14.998165131</v>
      </c>
      <c r="G293">
        <v>1389.0139160000001</v>
      </c>
      <c r="H293">
        <v>1375.3142089999999</v>
      </c>
      <c r="I293">
        <v>1249.9880370999999</v>
      </c>
      <c r="J293">
        <v>1210.5250243999999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78.746320999999995</v>
      </c>
      <c r="B294" s="1">
        <f>DATE(2010,7,18) + TIME(17,54,42)</f>
        <v>40377.746319444443</v>
      </c>
      <c r="C294">
        <v>80</v>
      </c>
      <c r="D294">
        <v>79.908348083000007</v>
      </c>
      <c r="E294">
        <v>50</v>
      </c>
      <c r="F294">
        <v>14.998172759999999</v>
      </c>
      <c r="G294">
        <v>1388.9768065999999</v>
      </c>
      <c r="H294">
        <v>1375.2794189000001</v>
      </c>
      <c r="I294">
        <v>1249.9931641000001</v>
      </c>
      <c r="J294">
        <v>1210.5299072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79.180131000000003</v>
      </c>
      <c r="B295" s="1">
        <f>DATE(2010,7,19) + TIME(4,19,23)</f>
        <v>40378.180127314816</v>
      </c>
      <c r="C295">
        <v>80</v>
      </c>
      <c r="D295">
        <v>79.908401488999999</v>
      </c>
      <c r="E295">
        <v>50</v>
      </c>
      <c r="F295">
        <v>14.998179435999999</v>
      </c>
      <c r="G295">
        <v>1388.9398193</v>
      </c>
      <c r="H295">
        <v>1375.2449951000001</v>
      </c>
      <c r="I295">
        <v>1249.9982910000001</v>
      </c>
      <c r="J295">
        <v>1210.5347899999999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80.047753</v>
      </c>
      <c r="B296" s="1">
        <f>DATE(2010,7,20) + TIME(1,8,45)</f>
        <v>40379.047743055555</v>
      </c>
      <c r="C296">
        <v>80</v>
      </c>
      <c r="D296">
        <v>79.908515929999993</v>
      </c>
      <c r="E296">
        <v>50</v>
      </c>
      <c r="F296">
        <v>14.998189926</v>
      </c>
      <c r="G296">
        <v>1388.9035644999999</v>
      </c>
      <c r="H296">
        <v>1375.2113036999999</v>
      </c>
      <c r="I296">
        <v>1250.0037841999999</v>
      </c>
      <c r="J296">
        <v>1210.5400391000001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80.917012999999997</v>
      </c>
      <c r="B297" s="1">
        <f>DATE(2010,7,20) + TIME(22,0,29)</f>
        <v>40379.917002314818</v>
      </c>
      <c r="C297">
        <v>80</v>
      </c>
      <c r="D297">
        <v>79.908622742000006</v>
      </c>
      <c r="E297">
        <v>50</v>
      </c>
      <c r="F297">
        <v>14.99820137</v>
      </c>
      <c r="G297">
        <v>1388.8309326000001</v>
      </c>
      <c r="H297">
        <v>1375.1435547000001</v>
      </c>
      <c r="I297">
        <v>1250.0141602000001</v>
      </c>
      <c r="J297">
        <v>1210.5498047000001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81.793514000000002</v>
      </c>
      <c r="B298" s="1">
        <f>DATE(2010,7,21) + TIME(19,2,39)</f>
        <v>40380.793506944443</v>
      </c>
      <c r="C298">
        <v>80</v>
      </c>
      <c r="D298">
        <v>79.908729553000001</v>
      </c>
      <c r="E298">
        <v>50</v>
      </c>
      <c r="F298">
        <v>14.998214722</v>
      </c>
      <c r="G298">
        <v>1388.7586670000001</v>
      </c>
      <c r="H298">
        <v>1375.0760498</v>
      </c>
      <c r="I298">
        <v>1250.0245361</v>
      </c>
      <c r="J298">
        <v>1210.5596923999999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82.678597999999994</v>
      </c>
      <c r="B299" s="1">
        <f>DATE(2010,7,22) + TIME(16,17,10)</f>
        <v>40381.678587962961</v>
      </c>
      <c r="C299">
        <v>80</v>
      </c>
      <c r="D299">
        <v>79.908836364999999</v>
      </c>
      <c r="E299">
        <v>50</v>
      </c>
      <c r="F299">
        <v>14.998228073</v>
      </c>
      <c r="G299">
        <v>1388.6865233999999</v>
      </c>
      <c r="H299">
        <v>1375.0087891000001</v>
      </c>
      <c r="I299">
        <v>1250.0351562000001</v>
      </c>
      <c r="J299">
        <v>1210.5697021000001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83.573759999999993</v>
      </c>
      <c r="B300" s="1">
        <f>DATE(2010,7,23) + TIME(13,46,12)</f>
        <v>40382.573750000003</v>
      </c>
      <c r="C300">
        <v>80</v>
      </c>
      <c r="D300">
        <v>79.908943175999994</v>
      </c>
      <c r="E300">
        <v>50</v>
      </c>
      <c r="F300">
        <v>14.998241425</v>
      </c>
      <c r="G300">
        <v>1388.6142577999999</v>
      </c>
      <c r="H300">
        <v>1374.9414062000001</v>
      </c>
      <c r="I300">
        <v>1250.0458983999999</v>
      </c>
      <c r="J300">
        <v>1210.5799560999999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84.480793000000006</v>
      </c>
      <c r="B301" s="1">
        <f>DATE(2010,7,24) + TIME(11,32,20)</f>
        <v>40383.480787037035</v>
      </c>
      <c r="C301">
        <v>80</v>
      </c>
      <c r="D301">
        <v>79.909049988000007</v>
      </c>
      <c r="E301">
        <v>50</v>
      </c>
      <c r="F301">
        <v>14.998254776</v>
      </c>
      <c r="G301">
        <v>1388.5421143000001</v>
      </c>
      <c r="H301">
        <v>1374.8740233999999</v>
      </c>
      <c r="I301">
        <v>1250.0568848</v>
      </c>
      <c r="J301">
        <v>1210.590332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85.400968000000006</v>
      </c>
      <c r="B302" s="1">
        <f>DATE(2010,7,25) + TIME(9,37,23)</f>
        <v>40384.400960648149</v>
      </c>
      <c r="C302">
        <v>80</v>
      </c>
      <c r="D302">
        <v>79.909156799000002</v>
      </c>
      <c r="E302">
        <v>50</v>
      </c>
      <c r="F302">
        <v>14.998268126999999</v>
      </c>
      <c r="G302">
        <v>1388.4696045000001</v>
      </c>
      <c r="H302">
        <v>1374.8065185999999</v>
      </c>
      <c r="I302">
        <v>1250.0681152</v>
      </c>
      <c r="J302">
        <v>1210.6009521000001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86.335942000000003</v>
      </c>
      <c r="B303" s="1">
        <f>DATE(2010,7,26) + TIME(8,3,45)</f>
        <v>40385.3359375</v>
      </c>
      <c r="C303">
        <v>80</v>
      </c>
      <c r="D303">
        <v>79.909271239999995</v>
      </c>
      <c r="E303">
        <v>50</v>
      </c>
      <c r="F303">
        <v>14.998282433</v>
      </c>
      <c r="G303">
        <v>1388.3968506000001</v>
      </c>
      <c r="H303">
        <v>1374.7386475000001</v>
      </c>
      <c r="I303">
        <v>1250.0794678</v>
      </c>
      <c r="J303">
        <v>1210.6116943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87.285512999999995</v>
      </c>
      <c r="B304" s="1">
        <f>DATE(2010,7,27) + TIME(6,51,8)</f>
        <v>40386.285509259258</v>
      </c>
      <c r="C304">
        <v>80</v>
      </c>
      <c r="D304">
        <v>79.909385681000003</v>
      </c>
      <c r="E304">
        <v>50</v>
      </c>
      <c r="F304">
        <v>14.998296738000001</v>
      </c>
      <c r="G304">
        <v>1388.3237305</v>
      </c>
      <c r="H304">
        <v>1374.6704102000001</v>
      </c>
      <c r="I304">
        <v>1250.0910644999999</v>
      </c>
      <c r="J304">
        <v>1210.6228027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87.763812999999999</v>
      </c>
      <c r="B305" s="1">
        <f>DATE(2010,7,27) + TIME(18,19,53)</f>
        <v>40386.763807870368</v>
      </c>
      <c r="C305">
        <v>80</v>
      </c>
      <c r="D305">
        <v>79.909431458</v>
      </c>
      <c r="E305">
        <v>50</v>
      </c>
      <c r="F305">
        <v>14.998306274000001</v>
      </c>
      <c r="G305">
        <v>1388.2498779</v>
      </c>
      <c r="H305">
        <v>1374.6015625</v>
      </c>
      <c r="I305">
        <v>1250.1026611</v>
      </c>
      <c r="J305">
        <v>1210.6336670000001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88.242112000000006</v>
      </c>
      <c r="B306" s="1">
        <f>DATE(2010,7,28) + TIME(5,48,38)</f>
        <v>40387.242106481484</v>
      </c>
      <c r="C306">
        <v>80</v>
      </c>
      <c r="D306">
        <v>79.909484863000003</v>
      </c>
      <c r="E306">
        <v>50</v>
      </c>
      <c r="F306">
        <v>14.998314857</v>
      </c>
      <c r="G306">
        <v>1388.2125243999999</v>
      </c>
      <c r="H306">
        <v>1374.5665283000001</v>
      </c>
      <c r="I306">
        <v>1250.1087646000001</v>
      </c>
      <c r="J306">
        <v>1210.6395264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88.720410999999999</v>
      </c>
      <c r="B307" s="1">
        <f>DATE(2010,7,28) + TIME(17,17,23)</f>
        <v>40387.720405092594</v>
      </c>
      <c r="C307">
        <v>80</v>
      </c>
      <c r="D307">
        <v>79.909538268999995</v>
      </c>
      <c r="E307">
        <v>50</v>
      </c>
      <c r="F307">
        <v>14.998322486999999</v>
      </c>
      <c r="G307">
        <v>1388.1757812000001</v>
      </c>
      <c r="H307">
        <v>1374.5323486</v>
      </c>
      <c r="I307">
        <v>1250.1148682</v>
      </c>
      <c r="J307">
        <v>1210.6452637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89.198711000000003</v>
      </c>
      <c r="B308" s="1">
        <f>DATE(2010,7,29) + TIME(4,46,8)</f>
        <v>40388.198703703703</v>
      </c>
      <c r="C308">
        <v>80</v>
      </c>
      <c r="D308">
        <v>79.909599303999997</v>
      </c>
      <c r="E308">
        <v>50</v>
      </c>
      <c r="F308">
        <v>14.998330116</v>
      </c>
      <c r="G308">
        <v>1388.1394043</v>
      </c>
      <c r="H308">
        <v>1374.4982910000001</v>
      </c>
      <c r="I308">
        <v>1250.1209716999999</v>
      </c>
      <c r="J308">
        <v>1210.651001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89.677009999999996</v>
      </c>
      <c r="B309" s="1">
        <f>DATE(2010,7,29) + TIME(16,14,53)</f>
        <v>40388.677002314813</v>
      </c>
      <c r="C309">
        <v>80</v>
      </c>
      <c r="D309">
        <v>79.909652710000003</v>
      </c>
      <c r="E309">
        <v>50</v>
      </c>
      <c r="F309">
        <v>14.998337746000001</v>
      </c>
      <c r="G309">
        <v>1388.1031493999999</v>
      </c>
      <c r="H309">
        <v>1374.4644774999999</v>
      </c>
      <c r="I309">
        <v>1250.1270752</v>
      </c>
      <c r="J309">
        <v>1210.6567382999999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90.155309000000003</v>
      </c>
      <c r="B310" s="1">
        <f>DATE(2010,7,30) + TIME(3,43,38)</f>
        <v>40389.155300925922</v>
      </c>
      <c r="C310">
        <v>80</v>
      </c>
      <c r="D310">
        <v>79.909706115999995</v>
      </c>
      <c r="E310">
        <v>50</v>
      </c>
      <c r="F310">
        <v>14.998344421000001</v>
      </c>
      <c r="G310">
        <v>1388.0671387</v>
      </c>
      <c r="H310">
        <v>1374.4309082</v>
      </c>
      <c r="I310">
        <v>1250.1331786999999</v>
      </c>
      <c r="J310">
        <v>1210.6625977000001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90.633609000000007</v>
      </c>
      <c r="B311" s="1">
        <f>DATE(2010,7,30) + TIME(15,12,23)</f>
        <v>40389.633599537039</v>
      </c>
      <c r="C311">
        <v>80</v>
      </c>
      <c r="D311">
        <v>79.909767150999997</v>
      </c>
      <c r="E311">
        <v>50</v>
      </c>
      <c r="F311">
        <v>14.998352050999999</v>
      </c>
      <c r="G311">
        <v>1388.03125</v>
      </c>
      <c r="H311">
        <v>1374.3973389</v>
      </c>
      <c r="I311">
        <v>1250.1394043</v>
      </c>
      <c r="J311">
        <v>1210.668457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91.111908</v>
      </c>
      <c r="B312" s="1">
        <f>DATE(2010,7,31) + TIME(2,41,8)</f>
        <v>40390.111898148149</v>
      </c>
      <c r="C312">
        <v>80</v>
      </c>
      <c r="D312">
        <v>79.909820557000003</v>
      </c>
      <c r="E312">
        <v>50</v>
      </c>
      <c r="F312">
        <v>14.998358726999999</v>
      </c>
      <c r="G312">
        <v>1387.9954834</v>
      </c>
      <c r="H312">
        <v>1374.3640137</v>
      </c>
      <c r="I312">
        <v>1250.1455077999999</v>
      </c>
      <c r="J312">
        <v>1210.6741943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92</v>
      </c>
      <c r="B313" s="1">
        <f>DATE(2010,8,1) + TIME(0,0,0)</f>
        <v>40391</v>
      </c>
      <c r="C313">
        <v>80</v>
      </c>
      <c r="D313">
        <v>79.909934997999997</v>
      </c>
      <c r="E313">
        <v>50</v>
      </c>
      <c r="F313">
        <v>14.998368263</v>
      </c>
      <c r="G313">
        <v>1387.9605713000001</v>
      </c>
      <c r="H313">
        <v>1374.3314209</v>
      </c>
      <c r="I313">
        <v>1250.1520995999999</v>
      </c>
      <c r="J313">
        <v>1210.6804199000001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92.956598999999997</v>
      </c>
      <c r="B314" s="1">
        <f>DATE(2010,8,1) + TIME(22,57,30)</f>
        <v>40391.956597222219</v>
      </c>
      <c r="C314">
        <v>80</v>
      </c>
      <c r="D314">
        <v>79.910057068</v>
      </c>
      <c r="E314">
        <v>50</v>
      </c>
      <c r="F314">
        <v>14.998379707</v>
      </c>
      <c r="G314">
        <v>1387.8955077999999</v>
      </c>
      <c r="H314">
        <v>1374.2707519999999</v>
      </c>
      <c r="I314">
        <v>1250.1635742000001</v>
      </c>
      <c r="J314">
        <v>1210.6912841999999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93.919511</v>
      </c>
      <c r="B315" s="1">
        <f>DATE(2010,8,2) + TIME(22,4,5)</f>
        <v>40392.919502314813</v>
      </c>
      <c r="C315">
        <v>80</v>
      </c>
      <c r="D315">
        <v>79.910171508999994</v>
      </c>
      <c r="E315">
        <v>50</v>
      </c>
      <c r="F315">
        <v>14.998392105000001</v>
      </c>
      <c r="G315">
        <v>1387.8256836</v>
      </c>
      <c r="H315">
        <v>1374.2056885</v>
      </c>
      <c r="I315">
        <v>1250.1761475000001</v>
      </c>
      <c r="J315">
        <v>1210.703125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94.891008999999997</v>
      </c>
      <c r="B316" s="1">
        <f>DATE(2010,8,3) + TIME(21,23,3)</f>
        <v>40393.891006944446</v>
      </c>
      <c r="C316">
        <v>80</v>
      </c>
      <c r="D316">
        <v>79.910285950000002</v>
      </c>
      <c r="E316">
        <v>50</v>
      </c>
      <c r="F316">
        <v>14.998405457</v>
      </c>
      <c r="G316">
        <v>1387.7561035000001</v>
      </c>
      <c r="H316">
        <v>1374.1408690999999</v>
      </c>
      <c r="I316">
        <v>1250.1888428</v>
      </c>
      <c r="J316">
        <v>1210.7150879000001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95.872669999999999</v>
      </c>
      <c r="B317" s="1">
        <f>DATE(2010,8,4) + TIME(20,56,38)</f>
        <v>40394.872662037036</v>
      </c>
      <c r="C317">
        <v>80</v>
      </c>
      <c r="D317">
        <v>79.910400390999996</v>
      </c>
      <c r="E317">
        <v>50</v>
      </c>
      <c r="F317">
        <v>14.998417853999999</v>
      </c>
      <c r="G317">
        <v>1387.6866454999999</v>
      </c>
      <c r="H317">
        <v>1374.0759277</v>
      </c>
      <c r="I317">
        <v>1250.2016602000001</v>
      </c>
      <c r="J317">
        <v>1210.7272949000001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96.866467</v>
      </c>
      <c r="B318" s="1">
        <f>DATE(2010,8,5) + TIME(20,47,42)</f>
        <v>40395.86645833333</v>
      </c>
      <c r="C318">
        <v>80</v>
      </c>
      <c r="D318">
        <v>79.910522460999999</v>
      </c>
      <c r="E318">
        <v>50</v>
      </c>
      <c r="F318">
        <v>14.998431205999999</v>
      </c>
      <c r="G318">
        <v>1387.6170654</v>
      </c>
      <c r="H318">
        <v>1374.0111084</v>
      </c>
      <c r="I318">
        <v>1250.2148437999999</v>
      </c>
      <c r="J318">
        <v>1210.739624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97.873991000000004</v>
      </c>
      <c r="B319" s="1">
        <f>DATE(2010,8,6) + TIME(20,58,32)</f>
        <v>40396.873981481483</v>
      </c>
      <c r="C319">
        <v>80</v>
      </c>
      <c r="D319">
        <v>79.910636901999993</v>
      </c>
      <c r="E319">
        <v>50</v>
      </c>
      <c r="F319">
        <v>14.998444556999999</v>
      </c>
      <c r="G319">
        <v>1387.5472411999999</v>
      </c>
      <c r="H319">
        <v>1373.9460449000001</v>
      </c>
      <c r="I319">
        <v>1250.2281493999999</v>
      </c>
      <c r="J319">
        <v>1210.7521973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98.893981999999994</v>
      </c>
      <c r="B320" s="1">
        <f>DATE(2010,8,7) + TIME(21,27,20)</f>
        <v>40397.89398148148</v>
      </c>
      <c r="C320">
        <v>80</v>
      </c>
      <c r="D320">
        <v>79.910758971999996</v>
      </c>
      <c r="E320">
        <v>50</v>
      </c>
      <c r="F320">
        <v>14.998458862</v>
      </c>
      <c r="G320">
        <v>1387.4772949000001</v>
      </c>
      <c r="H320">
        <v>1373.8807373</v>
      </c>
      <c r="I320">
        <v>1250.2418213000001</v>
      </c>
      <c r="J320">
        <v>1210.7651367000001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99.920389999999998</v>
      </c>
      <c r="B321" s="1">
        <f>DATE(2010,8,8) + TIME(22,5,21)</f>
        <v>40398.920381944445</v>
      </c>
      <c r="C321">
        <v>80</v>
      </c>
      <c r="D321">
        <v>79.910881042</v>
      </c>
      <c r="E321">
        <v>50</v>
      </c>
      <c r="F321">
        <v>14.998472214</v>
      </c>
      <c r="G321">
        <v>1387.4069824000001</v>
      </c>
      <c r="H321">
        <v>1373.8151855000001</v>
      </c>
      <c r="I321">
        <v>1250.2557373</v>
      </c>
      <c r="J321">
        <v>1210.7781981999999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100.952215</v>
      </c>
      <c r="B322" s="1">
        <f>DATE(2010,8,9) + TIME(22,51,11)</f>
        <v>40399.952210648145</v>
      </c>
      <c r="C322">
        <v>80</v>
      </c>
      <c r="D322">
        <v>79.911003113000007</v>
      </c>
      <c r="E322">
        <v>50</v>
      </c>
      <c r="F322">
        <v>14.998485564999999</v>
      </c>
      <c r="G322">
        <v>1387.3370361</v>
      </c>
      <c r="H322">
        <v>1373.7498779</v>
      </c>
      <c r="I322">
        <v>1250.2698975000001</v>
      </c>
      <c r="J322">
        <v>1210.7915039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101.987168</v>
      </c>
      <c r="B323" s="1">
        <f>DATE(2010,8,10) + TIME(23,41,31)</f>
        <v>40400.987164351849</v>
      </c>
      <c r="C323">
        <v>80</v>
      </c>
      <c r="D323">
        <v>79.911125182999996</v>
      </c>
      <c r="E323">
        <v>50</v>
      </c>
      <c r="F323">
        <v>14.998498916999999</v>
      </c>
      <c r="G323">
        <v>1387.2673339999999</v>
      </c>
      <c r="H323">
        <v>1373.6849365</v>
      </c>
      <c r="I323">
        <v>1250.2841797000001</v>
      </c>
      <c r="J323">
        <v>1210.8050536999999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103.027021</v>
      </c>
      <c r="B324" s="1">
        <f>DATE(2010,8,12) + TIME(0,38,54)</f>
        <v>40402.027013888888</v>
      </c>
      <c r="C324">
        <v>80</v>
      </c>
      <c r="D324">
        <v>79.911239624000004</v>
      </c>
      <c r="E324">
        <v>50</v>
      </c>
      <c r="F324">
        <v>14.998512268000001</v>
      </c>
      <c r="G324">
        <v>1387.1981201000001</v>
      </c>
      <c r="H324">
        <v>1373.6202393000001</v>
      </c>
      <c r="I324">
        <v>1250.2987060999999</v>
      </c>
      <c r="J324">
        <v>1210.8186035000001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104.070474</v>
      </c>
      <c r="B325" s="1">
        <f>DATE(2010,8,13) + TIME(1,41,28)</f>
        <v>40403.070462962962</v>
      </c>
      <c r="C325">
        <v>80</v>
      </c>
      <c r="D325">
        <v>79.911361693999993</v>
      </c>
      <c r="E325">
        <v>50</v>
      </c>
      <c r="F325">
        <v>14.998525620000001</v>
      </c>
      <c r="G325">
        <v>1387.1291504000001</v>
      </c>
      <c r="H325">
        <v>1373.5560303</v>
      </c>
      <c r="I325">
        <v>1250.3133545000001</v>
      </c>
      <c r="J325">
        <v>1210.8323975000001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105.117558</v>
      </c>
      <c r="B326" s="1">
        <f>DATE(2010,8,14) + TIME(2,49,17)</f>
        <v>40404.11755787037</v>
      </c>
      <c r="C326">
        <v>80</v>
      </c>
      <c r="D326">
        <v>79.911491393999995</v>
      </c>
      <c r="E326">
        <v>50</v>
      </c>
      <c r="F326">
        <v>14.998538971</v>
      </c>
      <c r="G326">
        <v>1387.0606689000001</v>
      </c>
      <c r="H326">
        <v>1373.4920654</v>
      </c>
      <c r="I326">
        <v>1250.3282471</v>
      </c>
      <c r="J326">
        <v>1210.8463135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106.16989599999999</v>
      </c>
      <c r="B327" s="1">
        <f>DATE(2010,8,15) + TIME(4,4,39)</f>
        <v>40405.169895833336</v>
      </c>
      <c r="C327">
        <v>80</v>
      </c>
      <c r="D327">
        <v>79.911613463999998</v>
      </c>
      <c r="E327">
        <v>50</v>
      </c>
      <c r="F327">
        <v>14.998552322</v>
      </c>
      <c r="G327">
        <v>1386.9925536999999</v>
      </c>
      <c r="H327">
        <v>1373.4284668</v>
      </c>
      <c r="I327">
        <v>1250.3432617000001</v>
      </c>
      <c r="J327">
        <v>1210.8604736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107.228182</v>
      </c>
      <c r="B328" s="1">
        <f>DATE(2010,8,16) + TIME(5,28,34)</f>
        <v>40406.228171296294</v>
      </c>
      <c r="C328">
        <v>80</v>
      </c>
      <c r="D328">
        <v>79.911735535000005</v>
      </c>
      <c r="E328">
        <v>50</v>
      </c>
      <c r="F328">
        <v>14.998565674</v>
      </c>
      <c r="G328">
        <v>1386.9248047000001</v>
      </c>
      <c r="H328">
        <v>1373.3652344</v>
      </c>
      <c r="I328">
        <v>1250.3583983999999</v>
      </c>
      <c r="J328">
        <v>1210.8747559000001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108.29418099999999</v>
      </c>
      <c r="B329" s="1">
        <f>DATE(2010,8,17) + TIME(7,3,37)</f>
        <v>40407.294178240743</v>
      </c>
      <c r="C329">
        <v>80</v>
      </c>
      <c r="D329">
        <v>79.911857604999994</v>
      </c>
      <c r="E329">
        <v>50</v>
      </c>
      <c r="F329">
        <v>14.998579025</v>
      </c>
      <c r="G329">
        <v>1386.8571777</v>
      </c>
      <c r="H329">
        <v>1373.302124</v>
      </c>
      <c r="I329">
        <v>1250.3739014</v>
      </c>
      <c r="J329">
        <v>1210.8891602000001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109.369551</v>
      </c>
      <c r="B330" s="1">
        <f>DATE(2010,8,18) + TIME(8,52,9)</f>
        <v>40408.36954861111</v>
      </c>
      <c r="C330">
        <v>80</v>
      </c>
      <c r="D330">
        <v>79.911979674999998</v>
      </c>
      <c r="E330">
        <v>50</v>
      </c>
      <c r="F330">
        <v>14.998592377</v>
      </c>
      <c r="G330">
        <v>1386.7897949000001</v>
      </c>
      <c r="H330">
        <v>1373.2391356999999</v>
      </c>
      <c r="I330">
        <v>1250.3895264</v>
      </c>
      <c r="J330">
        <v>1210.9039307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110.450973</v>
      </c>
      <c r="B331" s="1">
        <f>DATE(2010,8,19) + TIME(10,49,24)</f>
        <v>40409.450972222221</v>
      </c>
      <c r="C331">
        <v>80</v>
      </c>
      <c r="D331">
        <v>79.912109375</v>
      </c>
      <c r="E331">
        <v>50</v>
      </c>
      <c r="F331">
        <v>14.998605727999999</v>
      </c>
      <c r="G331">
        <v>1386.7222899999999</v>
      </c>
      <c r="H331">
        <v>1373.1762695</v>
      </c>
      <c r="I331">
        <v>1250.4055175999999</v>
      </c>
      <c r="J331">
        <v>1210.9188231999999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110.99336700000001</v>
      </c>
      <c r="B332" s="1">
        <f>DATE(2010,8,19) + TIME(23,50,26)</f>
        <v>40409.993356481478</v>
      </c>
      <c r="C332">
        <v>80</v>
      </c>
      <c r="D332">
        <v>79.912162781000006</v>
      </c>
      <c r="E332">
        <v>50</v>
      </c>
      <c r="F332">
        <v>14.998615265</v>
      </c>
      <c r="G332">
        <v>1386.6549072</v>
      </c>
      <c r="H332">
        <v>1373.1132812000001</v>
      </c>
      <c r="I332">
        <v>1250.4213867000001</v>
      </c>
      <c r="J332">
        <v>1210.9335937999999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111.53576099999999</v>
      </c>
      <c r="B333" s="1">
        <f>DATE(2010,8,20) + TIME(12,51,29)</f>
        <v>40410.535752314812</v>
      </c>
      <c r="C333">
        <v>80</v>
      </c>
      <c r="D333">
        <v>79.912223815999994</v>
      </c>
      <c r="E333">
        <v>50</v>
      </c>
      <c r="F333">
        <v>14.998623847999999</v>
      </c>
      <c r="G333">
        <v>1386.6208495999999</v>
      </c>
      <c r="H333">
        <v>1373.0814209</v>
      </c>
      <c r="I333">
        <v>1250.4296875</v>
      </c>
      <c r="J333">
        <v>1210.9414062000001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112.078154</v>
      </c>
      <c r="B334" s="1">
        <f>DATE(2010,8,21) + TIME(1,52,32)</f>
        <v>40411.078148148146</v>
      </c>
      <c r="C334">
        <v>80</v>
      </c>
      <c r="D334">
        <v>79.912284850999995</v>
      </c>
      <c r="E334">
        <v>50</v>
      </c>
      <c r="F334">
        <v>14.998631477</v>
      </c>
      <c r="G334">
        <v>1386.5874022999999</v>
      </c>
      <c r="H334">
        <v>1373.0501709</v>
      </c>
      <c r="I334">
        <v>1250.4378661999999</v>
      </c>
      <c r="J334">
        <v>1210.9490966999999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112.620548</v>
      </c>
      <c r="B335" s="1">
        <f>DATE(2010,8,21) + TIME(14,53,35)</f>
        <v>40411.62054398148</v>
      </c>
      <c r="C335">
        <v>80</v>
      </c>
      <c r="D335">
        <v>79.912345885999997</v>
      </c>
      <c r="E335">
        <v>50</v>
      </c>
      <c r="F335">
        <v>14.998639107000001</v>
      </c>
      <c r="G335">
        <v>1386.5541992000001</v>
      </c>
      <c r="H335">
        <v>1373.0191649999999</v>
      </c>
      <c r="I335">
        <v>1250.4461670000001</v>
      </c>
      <c r="J335">
        <v>1210.9567870999999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113.162942</v>
      </c>
      <c r="B336" s="1">
        <f>DATE(2010,8,22) + TIME(3,54,38)</f>
        <v>40412.162939814814</v>
      </c>
      <c r="C336">
        <v>80</v>
      </c>
      <c r="D336">
        <v>79.912406920999999</v>
      </c>
      <c r="E336">
        <v>50</v>
      </c>
      <c r="F336">
        <v>14.998646736</v>
      </c>
      <c r="G336">
        <v>1386.5211182</v>
      </c>
      <c r="H336">
        <v>1372.9882812000001</v>
      </c>
      <c r="I336">
        <v>1250.4544678</v>
      </c>
      <c r="J336">
        <v>1210.9645995999999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113.705336</v>
      </c>
      <c r="B337" s="1">
        <f>DATE(2010,8,22) + TIME(16,55,40)</f>
        <v>40412.705324074072</v>
      </c>
      <c r="C337">
        <v>80</v>
      </c>
      <c r="D337">
        <v>79.912467957000004</v>
      </c>
      <c r="E337">
        <v>50</v>
      </c>
      <c r="F337">
        <v>14.998653411999999</v>
      </c>
      <c r="G337">
        <v>1386.4881591999999</v>
      </c>
      <c r="H337">
        <v>1372.9575195</v>
      </c>
      <c r="I337">
        <v>1250.4628906</v>
      </c>
      <c r="J337">
        <v>1210.9724120999999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114.79012299999999</v>
      </c>
      <c r="B338" s="1">
        <f>DATE(2010,8,23) + TIME(18,57,46)</f>
        <v>40413.79011574074</v>
      </c>
      <c r="C338">
        <v>80</v>
      </c>
      <c r="D338">
        <v>79.912605286000002</v>
      </c>
      <c r="E338">
        <v>50</v>
      </c>
      <c r="F338">
        <v>14.998662949</v>
      </c>
      <c r="G338">
        <v>1386.4559326000001</v>
      </c>
      <c r="H338">
        <v>1372.9273682</v>
      </c>
      <c r="I338">
        <v>1250.4715576000001</v>
      </c>
      <c r="J338">
        <v>1210.9805908000001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115.875017</v>
      </c>
      <c r="B339" s="1">
        <f>DATE(2010,8,24) + TIME(21,0,1)</f>
        <v>40414.875011574077</v>
      </c>
      <c r="C339">
        <v>80</v>
      </c>
      <c r="D339">
        <v>79.912734985</v>
      </c>
      <c r="E339">
        <v>50</v>
      </c>
      <c r="F339">
        <v>14.998674393</v>
      </c>
      <c r="G339">
        <v>1386.3912353999999</v>
      </c>
      <c r="H339">
        <v>1372.8669434000001</v>
      </c>
      <c r="I339">
        <v>1250.4882812000001</v>
      </c>
      <c r="J339">
        <v>1210.9962158000001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116.968048</v>
      </c>
      <c r="B340" s="1">
        <f>DATE(2010,8,25) + TIME(23,13,59)</f>
        <v>40415.968043981484</v>
      </c>
      <c r="C340">
        <v>80</v>
      </c>
      <c r="D340">
        <v>79.912864685000002</v>
      </c>
      <c r="E340">
        <v>50</v>
      </c>
      <c r="F340">
        <v>14.998686790000001</v>
      </c>
      <c r="G340">
        <v>1386.3267822</v>
      </c>
      <c r="H340">
        <v>1372.8066406</v>
      </c>
      <c r="I340">
        <v>1250.505249</v>
      </c>
      <c r="J340">
        <v>1211.0120850000001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118.07095200000001</v>
      </c>
      <c r="B341" s="1">
        <f>DATE(2010,8,27) + TIME(1,42,10)</f>
        <v>40417.070949074077</v>
      </c>
      <c r="C341">
        <v>80</v>
      </c>
      <c r="D341">
        <v>79.912986755000006</v>
      </c>
      <c r="E341">
        <v>50</v>
      </c>
      <c r="F341">
        <v>14.998700142000001</v>
      </c>
      <c r="G341">
        <v>1386.2623291</v>
      </c>
      <c r="H341">
        <v>1372.7464600000001</v>
      </c>
      <c r="I341">
        <v>1250.5225829999999</v>
      </c>
      <c r="J341">
        <v>1211.0281981999999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119.18572500000001</v>
      </c>
      <c r="B342" s="1">
        <f>DATE(2010,8,28) + TIME(4,27,26)</f>
        <v>40418.185717592591</v>
      </c>
      <c r="C342">
        <v>80</v>
      </c>
      <c r="D342">
        <v>79.913116454999994</v>
      </c>
      <c r="E342">
        <v>50</v>
      </c>
      <c r="F342">
        <v>14.998713493</v>
      </c>
      <c r="G342">
        <v>1386.197876</v>
      </c>
      <c r="H342">
        <v>1372.6862793</v>
      </c>
      <c r="I342">
        <v>1250.5401611</v>
      </c>
      <c r="J342">
        <v>1211.0445557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120.314255</v>
      </c>
      <c r="B343" s="1">
        <f>DATE(2010,8,29) + TIME(7,32,31)</f>
        <v>40419.314247685186</v>
      </c>
      <c r="C343">
        <v>80</v>
      </c>
      <c r="D343">
        <v>79.913246154999996</v>
      </c>
      <c r="E343">
        <v>50</v>
      </c>
      <c r="F343">
        <v>14.998726845</v>
      </c>
      <c r="G343">
        <v>1386.1333007999999</v>
      </c>
      <c r="H343">
        <v>1372.6259766000001</v>
      </c>
      <c r="I343">
        <v>1250.5581055</v>
      </c>
      <c r="J343">
        <v>1211.0612793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121.45267800000001</v>
      </c>
      <c r="B344" s="1">
        <f>DATE(2010,8,30) + TIME(10,51,51)</f>
        <v>40420.452673611115</v>
      </c>
      <c r="C344">
        <v>80</v>
      </c>
      <c r="D344">
        <v>79.913375853999995</v>
      </c>
      <c r="E344">
        <v>50</v>
      </c>
      <c r="F344">
        <v>14.998741150000001</v>
      </c>
      <c r="G344">
        <v>1386.0684814000001</v>
      </c>
      <c r="H344">
        <v>1372.5654297000001</v>
      </c>
      <c r="I344">
        <v>1250.5764160000001</v>
      </c>
      <c r="J344">
        <v>1211.0783690999999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122.02239299999999</v>
      </c>
      <c r="B345" s="1">
        <f>DATE(2010,8,31) + TIME(0,32,14)</f>
        <v>40421.02238425926</v>
      </c>
      <c r="C345">
        <v>80</v>
      </c>
      <c r="D345">
        <v>79.913429260000001</v>
      </c>
      <c r="E345">
        <v>50</v>
      </c>
      <c r="F345">
        <v>14.99875164</v>
      </c>
      <c r="G345">
        <v>1386.003418</v>
      </c>
      <c r="H345">
        <v>1372.5045166</v>
      </c>
      <c r="I345">
        <v>1250.5947266000001</v>
      </c>
      <c r="J345">
        <v>1211.0954589999999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123</v>
      </c>
      <c r="B346" s="1">
        <f>DATE(2010,9,1) + TIME(0,0,0)</f>
        <v>40422</v>
      </c>
      <c r="C346">
        <v>80</v>
      </c>
      <c r="D346">
        <v>79.913543700999995</v>
      </c>
      <c r="E346">
        <v>50</v>
      </c>
      <c r="F346">
        <v>14.998763084</v>
      </c>
      <c r="G346">
        <v>1385.9708252</v>
      </c>
      <c r="H346">
        <v>1372.4741211</v>
      </c>
      <c r="I346">
        <v>1250.6046143000001</v>
      </c>
      <c r="J346">
        <v>1211.1046143000001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123.569714</v>
      </c>
      <c r="B347" s="1">
        <f>DATE(2010,9,1) + TIME(13,40,23)</f>
        <v>40422.569710648146</v>
      </c>
      <c r="C347">
        <v>80</v>
      </c>
      <c r="D347">
        <v>79.913604735999996</v>
      </c>
      <c r="E347">
        <v>50</v>
      </c>
      <c r="F347">
        <v>14.998772621000001</v>
      </c>
      <c r="G347">
        <v>1385.9158935999999</v>
      </c>
      <c r="H347">
        <v>1372.4227295000001</v>
      </c>
      <c r="I347">
        <v>1250.6206055</v>
      </c>
      <c r="J347">
        <v>1211.1193848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124.13942900000001</v>
      </c>
      <c r="B348" s="1">
        <f>DATE(2010,9,2) + TIME(3,20,46)</f>
        <v>40423.139421296299</v>
      </c>
      <c r="C348">
        <v>80</v>
      </c>
      <c r="D348">
        <v>79.913673400999997</v>
      </c>
      <c r="E348">
        <v>50</v>
      </c>
      <c r="F348">
        <v>14.998781204</v>
      </c>
      <c r="G348">
        <v>1385.8835449000001</v>
      </c>
      <c r="H348">
        <v>1372.3924560999999</v>
      </c>
      <c r="I348">
        <v>1250.630249</v>
      </c>
      <c r="J348">
        <v>1211.128418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124.709143</v>
      </c>
      <c r="B349" s="1">
        <f>DATE(2010,9,2) + TIME(17,1,9)</f>
        <v>40423.709131944444</v>
      </c>
      <c r="C349">
        <v>80</v>
      </c>
      <c r="D349">
        <v>79.913734435999999</v>
      </c>
      <c r="E349">
        <v>50</v>
      </c>
      <c r="F349">
        <v>14.998789787</v>
      </c>
      <c r="G349">
        <v>1385.8518065999999</v>
      </c>
      <c r="H349">
        <v>1372.3626709</v>
      </c>
      <c r="I349">
        <v>1250.6398925999999</v>
      </c>
      <c r="J349">
        <v>1211.1373291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125.278857</v>
      </c>
      <c r="B350" s="1">
        <f>DATE(2010,9,3) + TIME(6,41,33)</f>
        <v>40424.278854166667</v>
      </c>
      <c r="C350">
        <v>80</v>
      </c>
      <c r="D350">
        <v>79.913795471</v>
      </c>
      <c r="E350">
        <v>50</v>
      </c>
      <c r="F350">
        <v>14.998797417</v>
      </c>
      <c r="G350">
        <v>1385.8200684000001</v>
      </c>
      <c r="H350">
        <v>1372.3331298999999</v>
      </c>
      <c r="I350">
        <v>1250.6496582</v>
      </c>
      <c r="J350">
        <v>1211.1463623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125.848572</v>
      </c>
      <c r="B351" s="1">
        <f>DATE(2010,9,3) + TIME(20,21,56)</f>
        <v>40424.848564814813</v>
      </c>
      <c r="C351">
        <v>80</v>
      </c>
      <c r="D351">
        <v>79.913864136000001</v>
      </c>
      <c r="E351">
        <v>50</v>
      </c>
      <c r="F351">
        <v>14.998805045999999</v>
      </c>
      <c r="G351">
        <v>1385.7885742000001</v>
      </c>
      <c r="H351">
        <v>1372.3035889</v>
      </c>
      <c r="I351">
        <v>1250.6594238</v>
      </c>
      <c r="J351">
        <v>1211.1553954999999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126.41828599999999</v>
      </c>
      <c r="B352" s="1">
        <f>DATE(2010,9,4) + TIME(10,2,19)</f>
        <v>40425.418275462966</v>
      </c>
      <c r="C352">
        <v>80</v>
      </c>
      <c r="D352">
        <v>79.913925171000002</v>
      </c>
      <c r="E352">
        <v>50</v>
      </c>
      <c r="F352">
        <v>14.998813629000001</v>
      </c>
      <c r="G352">
        <v>1385.7572021000001</v>
      </c>
      <c r="H352">
        <v>1372.2741699000001</v>
      </c>
      <c r="I352">
        <v>1250.6691894999999</v>
      </c>
      <c r="J352">
        <v>1211.1645507999999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126.988</v>
      </c>
      <c r="B353" s="1">
        <f>DATE(2010,9,4) + TIME(23,42,43)</f>
        <v>40425.987997685188</v>
      </c>
      <c r="C353">
        <v>80</v>
      </c>
      <c r="D353">
        <v>79.913993834999999</v>
      </c>
      <c r="E353">
        <v>50</v>
      </c>
      <c r="F353">
        <v>14.998821259</v>
      </c>
      <c r="G353">
        <v>1385.7259521000001</v>
      </c>
      <c r="H353">
        <v>1372.2449951000001</v>
      </c>
      <c r="I353">
        <v>1250.6790771000001</v>
      </c>
      <c r="J353">
        <v>1211.1737060999999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127.557715</v>
      </c>
      <c r="B354" s="1">
        <f>DATE(2010,9,5) + TIME(13,23,6)</f>
        <v>40426.557708333334</v>
      </c>
      <c r="C354">
        <v>80</v>
      </c>
      <c r="D354">
        <v>79.914054871000005</v>
      </c>
      <c r="E354">
        <v>50</v>
      </c>
      <c r="F354">
        <v>14.998829841999999</v>
      </c>
      <c r="G354">
        <v>1385.6948242000001</v>
      </c>
      <c r="H354">
        <v>1372.2158202999999</v>
      </c>
      <c r="I354">
        <v>1250.6889647999999</v>
      </c>
      <c r="J354">
        <v>1211.1828613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128.12742900000001</v>
      </c>
      <c r="B355" s="1">
        <f>DATE(2010,9,6) + TIME(3,3,29)</f>
        <v>40427.127418981479</v>
      </c>
      <c r="C355">
        <v>80</v>
      </c>
      <c r="D355">
        <v>79.914123535000002</v>
      </c>
      <c r="E355">
        <v>50</v>
      </c>
      <c r="F355">
        <v>14.998837471</v>
      </c>
      <c r="G355">
        <v>1385.6638184000001</v>
      </c>
      <c r="H355">
        <v>1372.1867675999999</v>
      </c>
      <c r="I355">
        <v>1250.6988524999999</v>
      </c>
      <c r="J355">
        <v>1211.1920166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128.69714400000001</v>
      </c>
      <c r="B356" s="1">
        <f>DATE(2010,9,6) + TIME(16,43,53)</f>
        <v>40427.697141203702</v>
      </c>
      <c r="C356">
        <v>80</v>
      </c>
      <c r="D356">
        <v>79.914184570000003</v>
      </c>
      <c r="E356">
        <v>50</v>
      </c>
      <c r="F356">
        <v>14.998846053999999</v>
      </c>
      <c r="G356">
        <v>1385.6328125</v>
      </c>
      <c r="H356">
        <v>1372.1578368999999</v>
      </c>
      <c r="I356">
        <v>1250.7088623</v>
      </c>
      <c r="J356">
        <v>1211.2012939000001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129.83657199999999</v>
      </c>
      <c r="B357" s="1">
        <f>DATE(2010,9,7) + TIME(20,4,39)</f>
        <v>40428.836562500001</v>
      </c>
      <c r="C357">
        <v>80</v>
      </c>
      <c r="D357">
        <v>79.914321899000001</v>
      </c>
      <c r="E357">
        <v>50</v>
      </c>
      <c r="F357">
        <v>14.998857498</v>
      </c>
      <c r="G357">
        <v>1385.6025391000001</v>
      </c>
      <c r="H357">
        <v>1372.1295166</v>
      </c>
      <c r="I357">
        <v>1250.7192382999999</v>
      </c>
      <c r="J357">
        <v>1211.2109375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130.97824199999999</v>
      </c>
      <c r="B358" s="1">
        <f>DATE(2010,9,8) + TIME(23,28,40)</f>
        <v>40429.97824074074</v>
      </c>
      <c r="C358">
        <v>80</v>
      </c>
      <c r="D358">
        <v>79.914451599000003</v>
      </c>
      <c r="E358">
        <v>50</v>
      </c>
      <c r="F358">
        <v>14.998872757000001</v>
      </c>
      <c r="G358">
        <v>1385.5417480000001</v>
      </c>
      <c r="H358">
        <v>1372.0726318</v>
      </c>
      <c r="I358">
        <v>1250.7393798999999</v>
      </c>
      <c r="J358">
        <v>1211.2296143000001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132.133174</v>
      </c>
      <c r="B359" s="1">
        <f>DATE(2010,9,10) + TIME(3,11,46)</f>
        <v>40431.133171296293</v>
      </c>
      <c r="C359">
        <v>80</v>
      </c>
      <c r="D359">
        <v>79.914581299000005</v>
      </c>
      <c r="E359">
        <v>50</v>
      </c>
      <c r="F359">
        <v>14.998889923</v>
      </c>
      <c r="G359">
        <v>1385.480957</v>
      </c>
      <c r="H359">
        <v>1372.0157471</v>
      </c>
      <c r="I359">
        <v>1250.7598877</v>
      </c>
      <c r="J359">
        <v>1211.2485352000001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133.303245</v>
      </c>
      <c r="B360" s="1">
        <f>DATE(2010,9,11) + TIME(7,16,40)</f>
        <v>40432.303240740737</v>
      </c>
      <c r="C360">
        <v>80</v>
      </c>
      <c r="D360">
        <v>79.914718628000003</v>
      </c>
      <c r="E360">
        <v>50</v>
      </c>
      <c r="F360">
        <v>14.998908996999999</v>
      </c>
      <c r="G360">
        <v>1385.4199219</v>
      </c>
      <c r="H360">
        <v>1371.9586182</v>
      </c>
      <c r="I360">
        <v>1250.7807617000001</v>
      </c>
      <c r="J360">
        <v>1211.2678223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134.49050399999999</v>
      </c>
      <c r="B361" s="1">
        <f>DATE(2010,9,12) + TIME(11,46,19)</f>
        <v>40433.490497685183</v>
      </c>
      <c r="C361">
        <v>80</v>
      </c>
      <c r="D361">
        <v>79.914848328000005</v>
      </c>
      <c r="E361">
        <v>50</v>
      </c>
      <c r="F361">
        <v>14.998929977</v>
      </c>
      <c r="G361">
        <v>1385.3586425999999</v>
      </c>
      <c r="H361">
        <v>1371.9012451000001</v>
      </c>
      <c r="I361">
        <v>1250.8022461</v>
      </c>
      <c r="J361">
        <v>1211.2875977000001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135.086793</v>
      </c>
      <c r="B362" s="1">
        <f>DATE(2010,9,13) + TIME(2,4,58)</f>
        <v>40434.086782407408</v>
      </c>
      <c r="C362">
        <v>80</v>
      </c>
      <c r="D362">
        <v>79.914909363000007</v>
      </c>
      <c r="E362">
        <v>50</v>
      </c>
      <c r="F362">
        <v>14.998947144000001</v>
      </c>
      <c r="G362">
        <v>1385.2967529</v>
      </c>
      <c r="H362">
        <v>1371.8432617000001</v>
      </c>
      <c r="I362">
        <v>1250.8238524999999</v>
      </c>
      <c r="J362">
        <v>1211.3074951000001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135.68308099999999</v>
      </c>
      <c r="B363" s="1">
        <f>DATE(2010,9,13) + TIME(16,23,38)</f>
        <v>40434.683078703703</v>
      </c>
      <c r="C363">
        <v>80</v>
      </c>
      <c r="D363">
        <v>79.914970397999994</v>
      </c>
      <c r="E363">
        <v>50</v>
      </c>
      <c r="F363">
        <v>14.998961448999999</v>
      </c>
      <c r="G363">
        <v>1385.2653809000001</v>
      </c>
      <c r="H363">
        <v>1371.8138428</v>
      </c>
      <c r="I363">
        <v>1250.8352050999999</v>
      </c>
      <c r="J363">
        <v>1211.3179932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136.27937</v>
      </c>
      <c r="B364" s="1">
        <f>DATE(2010,9,14) + TIME(6,42,17)</f>
        <v>40435.279363425929</v>
      </c>
      <c r="C364">
        <v>80</v>
      </c>
      <c r="D364">
        <v>79.915039062000005</v>
      </c>
      <c r="E364">
        <v>50</v>
      </c>
      <c r="F364">
        <v>14.998976707000001</v>
      </c>
      <c r="G364">
        <v>1385.2346190999999</v>
      </c>
      <c r="H364">
        <v>1371.7850341999999</v>
      </c>
      <c r="I364">
        <v>1250.8464355000001</v>
      </c>
      <c r="J364">
        <v>1211.3283690999999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136.87565799999999</v>
      </c>
      <c r="B365" s="1">
        <f>DATE(2010,9,14) + TIME(21,0,56)</f>
        <v>40435.875648148147</v>
      </c>
      <c r="C365">
        <v>80</v>
      </c>
      <c r="D365">
        <v>79.915100097999996</v>
      </c>
      <c r="E365">
        <v>50</v>
      </c>
      <c r="F365">
        <v>14.998991012999999</v>
      </c>
      <c r="G365">
        <v>1385.2039795000001</v>
      </c>
      <c r="H365">
        <v>1371.7563477000001</v>
      </c>
      <c r="I365">
        <v>1250.8577881000001</v>
      </c>
      <c r="J365">
        <v>1211.3387451000001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137.471947</v>
      </c>
      <c r="B366" s="1">
        <f>DATE(2010,9,15) + TIME(11,19,36)</f>
        <v>40436.471944444442</v>
      </c>
      <c r="C366">
        <v>80</v>
      </c>
      <c r="D366">
        <v>79.915168761999993</v>
      </c>
      <c r="E366">
        <v>50</v>
      </c>
      <c r="F366">
        <v>14.999005318</v>
      </c>
      <c r="G366">
        <v>1385.1734618999999</v>
      </c>
      <c r="H366">
        <v>1371.7277832</v>
      </c>
      <c r="I366">
        <v>1250.8692627</v>
      </c>
      <c r="J366">
        <v>1211.3492432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138.06823499999999</v>
      </c>
      <c r="B367" s="1">
        <f>DATE(2010,9,16) + TIME(1,38,15)</f>
        <v>40437.068229166667</v>
      </c>
      <c r="C367">
        <v>80</v>
      </c>
      <c r="D367">
        <v>79.915237426999994</v>
      </c>
      <c r="E367">
        <v>50</v>
      </c>
      <c r="F367">
        <v>14.999020575999999</v>
      </c>
      <c r="G367">
        <v>1385.1430664</v>
      </c>
      <c r="H367">
        <v>1371.6992187999999</v>
      </c>
      <c r="I367">
        <v>1250.8807373</v>
      </c>
      <c r="J367">
        <v>1211.3598632999999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138.664523</v>
      </c>
      <c r="B368" s="1">
        <f>DATE(2010,9,16) + TIME(15,56,54)</f>
        <v>40437.664513888885</v>
      </c>
      <c r="C368">
        <v>80</v>
      </c>
      <c r="D368">
        <v>79.915298461999996</v>
      </c>
      <c r="E368">
        <v>50</v>
      </c>
      <c r="F368">
        <v>14.999036789</v>
      </c>
      <c r="G368">
        <v>1385.112793</v>
      </c>
      <c r="H368">
        <v>1371.6708983999999</v>
      </c>
      <c r="I368">
        <v>1250.8922118999999</v>
      </c>
      <c r="J368">
        <v>1211.3704834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139.26081199999999</v>
      </c>
      <c r="B369" s="1">
        <f>DATE(2010,9,17) + TIME(6,15,34)</f>
        <v>40438.260810185187</v>
      </c>
      <c r="C369">
        <v>80</v>
      </c>
      <c r="D369">
        <v>79.915367126000007</v>
      </c>
      <c r="E369">
        <v>50</v>
      </c>
      <c r="F369">
        <v>14.999053001</v>
      </c>
      <c r="G369">
        <v>1385.0826416</v>
      </c>
      <c r="H369">
        <v>1371.6425781</v>
      </c>
      <c r="I369">
        <v>1250.9038086</v>
      </c>
      <c r="J369">
        <v>1211.3811035000001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139.8571</v>
      </c>
      <c r="B370" s="1">
        <f>DATE(2010,9,17) + TIME(20,34,13)</f>
        <v>40438.857094907406</v>
      </c>
      <c r="C370">
        <v>80</v>
      </c>
      <c r="D370">
        <v>79.915428161999998</v>
      </c>
      <c r="E370">
        <v>50</v>
      </c>
      <c r="F370">
        <v>14.999070167999999</v>
      </c>
      <c r="G370">
        <v>1385.0526123</v>
      </c>
      <c r="H370">
        <v>1371.6143798999999</v>
      </c>
      <c r="I370">
        <v>1250.9155272999999</v>
      </c>
      <c r="J370">
        <v>1211.3918457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140.45338899999999</v>
      </c>
      <c r="B371" s="1">
        <f>DATE(2010,9,18) + TIME(10,52,52)</f>
        <v>40439.453379629631</v>
      </c>
      <c r="C371">
        <v>80</v>
      </c>
      <c r="D371">
        <v>79.915496825999995</v>
      </c>
      <c r="E371">
        <v>50</v>
      </c>
      <c r="F371">
        <v>14.999088286999999</v>
      </c>
      <c r="G371">
        <v>1385.0225829999999</v>
      </c>
      <c r="H371">
        <v>1371.5863036999999</v>
      </c>
      <c r="I371">
        <v>1250.9273682</v>
      </c>
      <c r="J371">
        <v>1211.4027100000001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141.049677</v>
      </c>
      <c r="B372" s="1">
        <f>DATE(2010,9,19) + TIME(1,11,32)</f>
        <v>40440.049675925926</v>
      </c>
      <c r="C372">
        <v>80</v>
      </c>
      <c r="D372">
        <v>79.915565490999995</v>
      </c>
      <c r="E372">
        <v>50</v>
      </c>
      <c r="F372">
        <v>14.999107361</v>
      </c>
      <c r="G372">
        <v>1384.9927978999999</v>
      </c>
      <c r="H372">
        <v>1371.5583495999999</v>
      </c>
      <c r="I372">
        <v>1250.9392089999999</v>
      </c>
      <c r="J372">
        <v>1211.4135742000001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141.64596499999999</v>
      </c>
      <c r="B373" s="1">
        <f>DATE(2010,9,19) + TIME(15,30,11)</f>
        <v>40440.645960648151</v>
      </c>
      <c r="C373">
        <v>80</v>
      </c>
      <c r="D373">
        <v>79.915626525999997</v>
      </c>
      <c r="E373">
        <v>50</v>
      </c>
      <c r="F373">
        <v>14.999128342000001</v>
      </c>
      <c r="G373">
        <v>1384.9630127</v>
      </c>
      <c r="H373">
        <v>1371.5305175999999</v>
      </c>
      <c r="I373">
        <v>1250.9510498</v>
      </c>
      <c r="J373">
        <v>1211.4244385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142.242254</v>
      </c>
      <c r="B374" s="1">
        <f>DATE(2010,9,20) + TIME(5,48,50)</f>
        <v>40441.242245370369</v>
      </c>
      <c r="C374">
        <v>80</v>
      </c>
      <c r="D374">
        <v>79.915695189999994</v>
      </c>
      <c r="E374">
        <v>50</v>
      </c>
      <c r="F374">
        <v>14.999149322999999</v>
      </c>
      <c r="G374">
        <v>1384.9334716999999</v>
      </c>
      <c r="H374">
        <v>1371.5026855000001</v>
      </c>
      <c r="I374">
        <v>1250.9630127</v>
      </c>
      <c r="J374">
        <v>1211.4354248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142.83854199999999</v>
      </c>
      <c r="B375" s="1">
        <f>DATE(2010,9,20) + TIME(20,7,30)</f>
        <v>40441.838541666664</v>
      </c>
      <c r="C375">
        <v>80</v>
      </c>
      <c r="D375">
        <v>79.915763854999994</v>
      </c>
      <c r="E375">
        <v>50</v>
      </c>
      <c r="F375">
        <v>14.999173164</v>
      </c>
      <c r="G375">
        <v>1384.9039307</v>
      </c>
      <c r="H375">
        <v>1371.4750977000001</v>
      </c>
      <c r="I375">
        <v>1250.9750977000001</v>
      </c>
      <c r="J375">
        <v>1211.4465332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143.434831</v>
      </c>
      <c r="B376" s="1">
        <f>DATE(2010,9,21) + TIME(10,26,9)</f>
        <v>40442.43482638889</v>
      </c>
      <c r="C376">
        <v>80</v>
      </c>
      <c r="D376">
        <v>79.915824889999996</v>
      </c>
      <c r="E376">
        <v>50</v>
      </c>
      <c r="F376">
        <v>14.999197005999999</v>
      </c>
      <c r="G376">
        <v>1384.8745117000001</v>
      </c>
      <c r="H376">
        <v>1371.4475098</v>
      </c>
      <c r="I376">
        <v>1250.9873047000001</v>
      </c>
      <c r="J376">
        <v>1211.4576416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144.627408</v>
      </c>
      <c r="B377" s="1">
        <f>DATE(2010,9,22) + TIME(15,3,28)</f>
        <v>40443.62740740741</v>
      </c>
      <c r="C377">
        <v>80</v>
      </c>
      <c r="D377">
        <v>79.915962218999994</v>
      </c>
      <c r="E377">
        <v>50</v>
      </c>
      <c r="F377">
        <v>14.999233245999999</v>
      </c>
      <c r="G377">
        <v>1384.8455810999999</v>
      </c>
      <c r="H377">
        <v>1371.4204102000001</v>
      </c>
      <c r="I377">
        <v>1250.9997559000001</v>
      </c>
      <c r="J377">
        <v>1211.4691161999999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145.82414399999999</v>
      </c>
      <c r="B378" s="1">
        <f>DATE(2010,9,23) + TIME(19,46,46)</f>
        <v>40444.824143518519</v>
      </c>
      <c r="C378">
        <v>80</v>
      </c>
      <c r="D378">
        <v>79.916099548000005</v>
      </c>
      <c r="E378">
        <v>50</v>
      </c>
      <c r="F378">
        <v>14.999282837000001</v>
      </c>
      <c r="G378">
        <v>1384.7877197</v>
      </c>
      <c r="H378">
        <v>1371.3660889</v>
      </c>
      <c r="I378">
        <v>1251.0242920000001</v>
      </c>
      <c r="J378">
        <v>1211.4914550999999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147.03908000000001</v>
      </c>
      <c r="B379" s="1">
        <f>DATE(2010,9,25) + TIME(0,56,16)</f>
        <v>40446.039074074077</v>
      </c>
      <c r="C379">
        <v>80</v>
      </c>
      <c r="D379">
        <v>79.916229247999993</v>
      </c>
      <c r="E379">
        <v>50</v>
      </c>
      <c r="F379">
        <v>14.999343872000001</v>
      </c>
      <c r="G379">
        <v>1384.7297363</v>
      </c>
      <c r="H379">
        <v>1371.3117675999999</v>
      </c>
      <c r="I379">
        <v>1251.0491943</v>
      </c>
      <c r="J379">
        <v>1211.5142822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147.65680699999999</v>
      </c>
      <c r="B380" s="1">
        <f>DATE(2010,9,25) + TIME(15,45,48)</f>
        <v>40446.656805555554</v>
      </c>
      <c r="C380">
        <v>80</v>
      </c>
      <c r="D380">
        <v>79.916290282999995</v>
      </c>
      <c r="E380">
        <v>50</v>
      </c>
      <c r="F380">
        <v>14.99939537</v>
      </c>
      <c r="G380">
        <v>1384.6710204999999</v>
      </c>
      <c r="H380">
        <v>1371.2567139</v>
      </c>
      <c r="I380">
        <v>1251.0745850000001</v>
      </c>
      <c r="J380">
        <v>1211.5373535000001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148.27453399999999</v>
      </c>
      <c r="B381" s="1">
        <f>DATE(2010,9,26) + TIME(6,35,19)</f>
        <v>40447.274525462963</v>
      </c>
      <c r="C381">
        <v>80</v>
      </c>
      <c r="D381">
        <v>79.916358947999996</v>
      </c>
      <c r="E381">
        <v>50</v>
      </c>
      <c r="F381">
        <v>14.999444007999999</v>
      </c>
      <c r="G381">
        <v>1384.6408690999999</v>
      </c>
      <c r="H381">
        <v>1371.2283935999999</v>
      </c>
      <c r="I381">
        <v>1251.0880127</v>
      </c>
      <c r="J381">
        <v>1211.5496826000001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148.89226099999999</v>
      </c>
      <c r="B382" s="1">
        <f>DATE(2010,9,26) + TIME(21,24,51)</f>
        <v>40447.892256944448</v>
      </c>
      <c r="C382">
        <v>80</v>
      </c>
      <c r="D382">
        <v>79.916419982999997</v>
      </c>
      <c r="E382">
        <v>50</v>
      </c>
      <c r="F382">
        <v>14.999492645</v>
      </c>
      <c r="G382">
        <v>1384.6113281</v>
      </c>
      <c r="H382">
        <v>1371.2006836</v>
      </c>
      <c r="I382">
        <v>1251.1013184000001</v>
      </c>
      <c r="J382">
        <v>1211.5617675999999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149.50998799999999</v>
      </c>
      <c r="B383" s="1">
        <f>DATE(2010,9,27) + TIME(12,14,22)</f>
        <v>40448.509976851848</v>
      </c>
      <c r="C383">
        <v>80</v>
      </c>
      <c r="D383">
        <v>79.916488646999994</v>
      </c>
      <c r="E383">
        <v>50</v>
      </c>
      <c r="F383">
        <v>14.999543190000001</v>
      </c>
      <c r="G383">
        <v>1384.5820312000001</v>
      </c>
      <c r="H383">
        <v>1371.1730957</v>
      </c>
      <c r="I383">
        <v>1251.1147461</v>
      </c>
      <c r="J383">
        <v>1211.5740966999999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150.12771499999999</v>
      </c>
      <c r="B384" s="1">
        <f>DATE(2010,9,28) + TIME(3,3,54)</f>
        <v>40449.127708333333</v>
      </c>
      <c r="C384">
        <v>80</v>
      </c>
      <c r="D384">
        <v>79.916557311999995</v>
      </c>
      <c r="E384">
        <v>50</v>
      </c>
      <c r="F384">
        <v>14.999595641999999</v>
      </c>
      <c r="G384">
        <v>1384.5526123</v>
      </c>
      <c r="H384">
        <v>1371.1455077999999</v>
      </c>
      <c r="I384">
        <v>1251.1282959</v>
      </c>
      <c r="J384">
        <v>1211.5864257999999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150.745441</v>
      </c>
      <c r="B385" s="1">
        <f>DATE(2010,9,28) + TIME(17,53,26)</f>
        <v>40449.745439814818</v>
      </c>
      <c r="C385">
        <v>80</v>
      </c>
      <c r="D385">
        <v>79.916625976999995</v>
      </c>
      <c r="E385">
        <v>50</v>
      </c>
      <c r="F385">
        <v>14.999650955</v>
      </c>
      <c r="G385">
        <v>1384.5234375</v>
      </c>
      <c r="H385">
        <v>1371.1181641000001</v>
      </c>
      <c r="I385">
        <v>1251.1419678</v>
      </c>
      <c r="J385">
        <v>1211.5988769999999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151.363168</v>
      </c>
      <c r="B386" s="1">
        <f>DATE(2010,9,29) + TIME(8,42,57)</f>
        <v>40450.363159722219</v>
      </c>
      <c r="C386">
        <v>80</v>
      </c>
      <c r="D386">
        <v>79.916687011999997</v>
      </c>
      <c r="E386">
        <v>50</v>
      </c>
      <c r="F386">
        <v>14.999711037000001</v>
      </c>
      <c r="G386">
        <v>1384.4943848</v>
      </c>
      <c r="H386">
        <v>1371.0908202999999</v>
      </c>
      <c r="I386">
        <v>1251.1557617000001</v>
      </c>
      <c r="J386">
        <v>1211.6113281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151.980895</v>
      </c>
      <c r="B387" s="1">
        <f>DATE(2010,9,29) + TIME(23,32,29)</f>
        <v>40450.980891203704</v>
      </c>
      <c r="C387">
        <v>80</v>
      </c>
      <c r="D387">
        <v>79.916755675999994</v>
      </c>
      <c r="E387">
        <v>50</v>
      </c>
      <c r="F387">
        <v>14.999774932999999</v>
      </c>
      <c r="G387">
        <v>1384.465332</v>
      </c>
      <c r="H387">
        <v>1371.0635986</v>
      </c>
      <c r="I387">
        <v>1251.1695557</v>
      </c>
      <c r="J387">
        <v>1211.6239014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153</v>
      </c>
      <c r="B388" s="1">
        <f>DATE(2010,10,1) + TIME(0,0,0)</f>
        <v>40452</v>
      </c>
      <c r="C388">
        <v>80</v>
      </c>
      <c r="D388">
        <v>79.916870117000002</v>
      </c>
      <c r="E388">
        <v>50</v>
      </c>
      <c r="F388">
        <v>14.999862671000001</v>
      </c>
      <c r="G388">
        <v>1384.4366454999999</v>
      </c>
      <c r="H388">
        <v>1371.0366211</v>
      </c>
      <c r="I388">
        <v>1251.1837158000001</v>
      </c>
      <c r="J388">
        <v>1211.6368408000001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153.617727</v>
      </c>
      <c r="B389" s="1">
        <f>DATE(2010,10,1) + TIME(14,49,31)</f>
        <v>40452.617719907408</v>
      </c>
      <c r="C389">
        <v>80</v>
      </c>
      <c r="D389">
        <v>79.916931152000004</v>
      </c>
      <c r="E389">
        <v>50</v>
      </c>
      <c r="F389">
        <v>14.999948502000001</v>
      </c>
      <c r="G389">
        <v>1384.3892822</v>
      </c>
      <c r="H389">
        <v>1370.9921875</v>
      </c>
      <c r="I389">
        <v>1251.206543</v>
      </c>
      <c r="J389">
        <v>1211.6575928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154.231337</v>
      </c>
      <c r="B390" s="1">
        <f>DATE(2010,10,2) + TIME(5,33,7)</f>
        <v>40453.23133101852</v>
      </c>
      <c r="C390">
        <v>80</v>
      </c>
      <c r="D390">
        <v>79.916999817000004</v>
      </c>
      <c r="E390">
        <v>50</v>
      </c>
      <c r="F390">
        <v>15.00003624</v>
      </c>
      <c r="G390">
        <v>1384.3603516000001</v>
      </c>
      <c r="H390">
        <v>1370.9649658000001</v>
      </c>
      <c r="I390">
        <v>1251.2209473</v>
      </c>
      <c r="J390">
        <v>1211.6705322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154.844325</v>
      </c>
      <c r="B391" s="1">
        <f>DATE(2010,10,2) + TIME(20,15,49)</f>
        <v>40453.844317129631</v>
      </c>
      <c r="C391">
        <v>80</v>
      </c>
      <c r="D391">
        <v>79.917060852000006</v>
      </c>
      <c r="E391">
        <v>50</v>
      </c>
      <c r="F391">
        <v>15.000126839</v>
      </c>
      <c r="G391">
        <v>1384.3319091999999</v>
      </c>
      <c r="H391">
        <v>1370.9382324000001</v>
      </c>
      <c r="I391">
        <v>1251.2351074000001</v>
      </c>
      <c r="J391">
        <v>1211.6834716999999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156.06893500000001</v>
      </c>
      <c r="B392" s="1">
        <f>DATE(2010,10,4) + TIME(1,39,16)</f>
        <v>40455.068935185183</v>
      </c>
      <c r="C392">
        <v>80</v>
      </c>
      <c r="D392">
        <v>79.917205811000002</v>
      </c>
      <c r="E392">
        <v>50</v>
      </c>
      <c r="F392">
        <v>15.000261307000001</v>
      </c>
      <c r="G392">
        <v>1384.3040771000001</v>
      </c>
      <c r="H392">
        <v>1370.9121094</v>
      </c>
      <c r="I392">
        <v>1251.2497559000001</v>
      </c>
      <c r="J392">
        <v>1211.6967772999999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157.29552799999999</v>
      </c>
      <c r="B393" s="1">
        <f>DATE(2010,10,5) + TIME(7,5,33)</f>
        <v>40456.295520833337</v>
      </c>
      <c r="C393">
        <v>80</v>
      </c>
      <c r="D393">
        <v>79.917335510000001</v>
      </c>
      <c r="E393">
        <v>50</v>
      </c>
      <c r="F393">
        <v>15.000445365999999</v>
      </c>
      <c r="G393">
        <v>1384.2481689000001</v>
      </c>
      <c r="H393">
        <v>1370.8596190999999</v>
      </c>
      <c r="I393">
        <v>1251.2785644999999</v>
      </c>
      <c r="J393">
        <v>1211.7229004000001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158.53786199999999</v>
      </c>
      <c r="B394" s="1">
        <f>DATE(2010,10,6) + TIME(12,54,31)</f>
        <v>40457.537858796299</v>
      </c>
      <c r="C394">
        <v>80</v>
      </c>
      <c r="D394">
        <v>79.917465210000003</v>
      </c>
      <c r="E394">
        <v>50</v>
      </c>
      <c r="F394">
        <v>15.000670433</v>
      </c>
      <c r="G394">
        <v>1384.1923827999999</v>
      </c>
      <c r="H394">
        <v>1370.8071289</v>
      </c>
      <c r="I394">
        <v>1251.3078613</v>
      </c>
      <c r="J394">
        <v>1211.7493896000001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159.16805400000001</v>
      </c>
      <c r="B395" s="1">
        <f>DATE(2010,10,7) + TIME(4,1,59)</f>
        <v>40458.168043981481</v>
      </c>
      <c r="C395">
        <v>80</v>
      </c>
      <c r="D395">
        <v>79.917526245000005</v>
      </c>
      <c r="E395">
        <v>50</v>
      </c>
      <c r="F395">
        <v>15.000859261</v>
      </c>
      <c r="G395">
        <v>1384.1361084</v>
      </c>
      <c r="H395">
        <v>1370.7542725000001</v>
      </c>
      <c r="I395">
        <v>1251.3377685999999</v>
      </c>
      <c r="J395">
        <v>1211.7763672000001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159.79824600000001</v>
      </c>
      <c r="B396" s="1">
        <f>DATE(2010,10,7) + TIME(19,9,28)</f>
        <v>40458.79824074074</v>
      </c>
      <c r="C396">
        <v>80</v>
      </c>
      <c r="D396">
        <v>79.917594910000005</v>
      </c>
      <c r="E396">
        <v>50</v>
      </c>
      <c r="F396">
        <v>15.001040459</v>
      </c>
      <c r="G396">
        <v>1384.1071777</v>
      </c>
      <c r="H396">
        <v>1370.7270507999999</v>
      </c>
      <c r="I396">
        <v>1251.3535156</v>
      </c>
      <c r="J396">
        <v>1211.7906493999999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160.428438</v>
      </c>
      <c r="B397" s="1">
        <f>DATE(2010,10,8) + TIME(10,16,57)</f>
        <v>40459.428437499999</v>
      </c>
      <c r="C397">
        <v>80</v>
      </c>
      <c r="D397">
        <v>79.917655945000007</v>
      </c>
      <c r="E397">
        <v>50</v>
      </c>
      <c r="F397">
        <v>15.001221657</v>
      </c>
      <c r="G397">
        <v>1384.0787353999999</v>
      </c>
      <c r="H397">
        <v>1370.7003173999999</v>
      </c>
      <c r="I397">
        <v>1251.3691406</v>
      </c>
      <c r="J397">
        <v>1211.8048096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161.05862999999999</v>
      </c>
      <c r="B398" s="1">
        <f>DATE(2010,10,9) + TIME(1,24,25)</f>
        <v>40460.058622685188</v>
      </c>
      <c r="C398">
        <v>80</v>
      </c>
      <c r="D398">
        <v>79.917724609000004</v>
      </c>
      <c r="E398">
        <v>50</v>
      </c>
      <c r="F398">
        <v>15.001409531</v>
      </c>
      <c r="G398">
        <v>1384.0505370999999</v>
      </c>
      <c r="H398">
        <v>1370.6738281</v>
      </c>
      <c r="I398">
        <v>1251.3850098</v>
      </c>
      <c r="J398">
        <v>1211.8190918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161.68882199999999</v>
      </c>
      <c r="B399" s="1">
        <f>DATE(2010,10,9) + TIME(16,31,54)</f>
        <v>40460.688819444447</v>
      </c>
      <c r="C399">
        <v>80</v>
      </c>
      <c r="D399">
        <v>79.917793274000005</v>
      </c>
      <c r="E399">
        <v>50</v>
      </c>
      <c r="F399">
        <v>15.001605988</v>
      </c>
      <c r="G399">
        <v>1384.0224608999999</v>
      </c>
      <c r="H399">
        <v>1370.6473389</v>
      </c>
      <c r="I399">
        <v>1251.401001</v>
      </c>
      <c r="J399">
        <v>1211.8336182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162.31901400000001</v>
      </c>
      <c r="B400" s="1">
        <f>DATE(2010,10,10) + TIME(7,39,22)</f>
        <v>40461.319004629629</v>
      </c>
      <c r="C400">
        <v>80</v>
      </c>
      <c r="D400">
        <v>79.917854309000006</v>
      </c>
      <c r="E400">
        <v>50</v>
      </c>
      <c r="F400">
        <v>15.001814842</v>
      </c>
      <c r="G400">
        <v>1383.9943848</v>
      </c>
      <c r="H400">
        <v>1370.6208495999999</v>
      </c>
      <c r="I400">
        <v>1251.4171143000001</v>
      </c>
      <c r="J400">
        <v>1211.8481445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162.949206</v>
      </c>
      <c r="B401" s="1">
        <f>DATE(2010,10,10) + TIME(22,46,51)</f>
        <v>40461.949201388888</v>
      </c>
      <c r="C401">
        <v>80</v>
      </c>
      <c r="D401">
        <v>79.917922974000007</v>
      </c>
      <c r="E401">
        <v>50</v>
      </c>
      <c r="F401">
        <v>15.002037048</v>
      </c>
      <c r="G401">
        <v>1383.9663086</v>
      </c>
      <c r="H401">
        <v>1370.5946045000001</v>
      </c>
      <c r="I401">
        <v>1251.4334716999999</v>
      </c>
      <c r="J401">
        <v>1211.862793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163.57875100000001</v>
      </c>
      <c r="B402" s="1">
        <f>DATE(2010,10,11) + TIME(13,53,24)</f>
        <v>40462.578750000001</v>
      </c>
      <c r="C402">
        <v>80</v>
      </c>
      <c r="D402">
        <v>79.917991638000004</v>
      </c>
      <c r="E402">
        <v>50</v>
      </c>
      <c r="F402">
        <v>15.002275467</v>
      </c>
      <c r="G402">
        <v>1383.9384766000001</v>
      </c>
      <c r="H402">
        <v>1370.5683594</v>
      </c>
      <c r="I402">
        <v>1251.4498291</v>
      </c>
      <c r="J402">
        <v>1211.8776855000001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164.206603</v>
      </c>
      <c r="B403" s="1">
        <f>DATE(2010,10,12) + TIME(4,57,30)</f>
        <v>40463.206597222219</v>
      </c>
      <c r="C403">
        <v>80</v>
      </c>
      <c r="D403">
        <v>79.918052673000005</v>
      </c>
      <c r="E403">
        <v>50</v>
      </c>
      <c r="F403">
        <v>15.002529144</v>
      </c>
      <c r="G403">
        <v>1383.9106445</v>
      </c>
      <c r="H403">
        <v>1370.5421143000001</v>
      </c>
      <c r="I403">
        <v>1251.4664307</v>
      </c>
      <c r="J403">
        <v>1211.8925781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164.83293499999999</v>
      </c>
      <c r="B404" s="1">
        <f>DATE(2010,10,12) + TIME(19,59,25)</f>
        <v>40463.832928240743</v>
      </c>
      <c r="C404">
        <v>80</v>
      </c>
      <c r="D404">
        <v>79.918121338000006</v>
      </c>
      <c r="E404">
        <v>50</v>
      </c>
      <c r="F404">
        <v>15.002800941</v>
      </c>
      <c r="G404">
        <v>1383.8830565999999</v>
      </c>
      <c r="H404">
        <v>1370.5161132999999</v>
      </c>
      <c r="I404">
        <v>1251.4830322</v>
      </c>
      <c r="J404">
        <v>1211.9075928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165.45787999999999</v>
      </c>
      <c r="B405" s="1">
        <f>DATE(2010,10,13) + TIME(10,59,20)</f>
        <v>40464.457870370374</v>
      </c>
      <c r="C405">
        <v>80</v>
      </c>
      <c r="D405">
        <v>79.918190002000003</v>
      </c>
      <c r="E405">
        <v>50</v>
      </c>
      <c r="F405">
        <v>15.003090858</v>
      </c>
      <c r="G405">
        <v>1383.8555908000001</v>
      </c>
      <c r="H405">
        <v>1370.4903564000001</v>
      </c>
      <c r="I405">
        <v>1251.4997559000001</v>
      </c>
      <c r="J405">
        <v>1211.9227295000001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166.08158399999999</v>
      </c>
      <c r="B406" s="1">
        <f>DATE(2010,10,14) + TIME(1,57,28)</f>
        <v>40465.081574074073</v>
      </c>
      <c r="C406">
        <v>80</v>
      </c>
      <c r="D406">
        <v>79.918251037999994</v>
      </c>
      <c r="E406">
        <v>50</v>
      </c>
      <c r="F406">
        <v>15.003400803</v>
      </c>
      <c r="G406">
        <v>1383.8282471</v>
      </c>
      <c r="H406">
        <v>1370.4645995999999</v>
      </c>
      <c r="I406">
        <v>1251.5167236</v>
      </c>
      <c r="J406">
        <v>1211.9378661999999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166.704206</v>
      </c>
      <c r="B407" s="1">
        <f>DATE(2010,10,14) + TIME(16,54,3)</f>
        <v>40465.704201388886</v>
      </c>
      <c r="C407">
        <v>80</v>
      </c>
      <c r="D407">
        <v>79.918319702000005</v>
      </c>
      <c r="E407">
        <v>50</v>
      </c>
      <c r="F407">
        <v>15.003731728</v>
      </c>
      <c r="G407">
        <v>1383.8010254000001</v>
      </c>
      <c r="H407">
        <v>1370.4389647999999</v>
      </c>
      <c r="I407">
        <v>1251.5336914</v>
      </c>
      <c r="J407">
        <v>1211.9532471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167.325917</v>
      </c>
      <c r="B408" s="1">
        <f>DATE(2010,10,15) + TIME(7,49,19)</f>
        <v>40466.325914351852</v>
      </c>
      <c r="C408">
        <v>80</v>
      </c>
      <c r="D408">
        <v>79.918380737000007</v>
      </c>
      <c r="E408">
        <v>50</v>
      </c>
      <c r="F408">
        <v>15.004085541</v>
      </c>
      <c r="G408">
        <v>1383.7739257999999</v>
      </c>
      <c r="H408">
        <v>1370.4134521000001</v>
      </c>
      <c r="I408">
        <v>1251.5507812000001</v>
      </c>
      <c r="J408">
        <v>1211.9686279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168.56787800000001</v>
      </c>
      <c r="B409" s="1">
        <f>DATE(2010,10,16) + TIME(13,37,44)</f>
        <v>40467.567870370367</v>
      </c>
      <c r="C409">
        <v>80</v>
      </c>
      <c r="D409">
        <v>79.918518066000004</v>
      </c>
      <c r="E409">
        <v>50</v>
      </c>
      <c r="F409">
        <v>15.004619598</v>
      </c>
      <c r="G409">
        <v>1383.7473144999999</v>
      </c>
      <c r="H409">
        <v>1370.3884277</v>
      </c>
      <c r="I409">
        <v>1251.5683594</v>
      </c>
      <c r="J409">
        <v>1211.9844971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169.810543</v>
      </c>
      <c r="B410" s="1">
        <f>DATE(2010,10,17) + TIME(19,27,10)</f>
        <v>40468.810532407406</v>
      </c>
      <c r="C410">
        <v>80</v>
      </c>
      <c r="D410">
        <v>79.918647766000007</v>
      </c>
      <c r="E410">
        <v>50</v>
      </c>
      <c r="F410">
        <v>15.005355835</v>
      </c>
      <c r="G410">
        <v>1383.6939697</v>
      </c>
      <c r="H410">
        <v>1370.3381348</v>
      </c>
      <c r="I410">
        <v>1251.6030272999999</v>
      </c>
      <c r="J410">
        <v>1212.0157471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171.07231400000001</v>
      </c>
      <c r="B411" s="1">
        <f>DATE(2010,10,19) + TIME(1,44,7)</f>
        <v>40470.07230324074</v>
      </c>
      <c r="C411">
        <v>80</v>
      </c>
      <c r="D411">
        <v>79.918777465999995</v>
      </c>
      <c r="E411">
        <v>50</v>
      </c>
      <c r="F411">
        <v>15.006252289000001</v>
      </c>
      <c r="G411">
        <v>1383.6407471</v>
      </c>
      <c r="H411">
        <v>1370.2879639</v>
      </c>
      <c r="I411">
        <v>1251.6385498</v>
      </c>
      <c r="J411">
        <v>1212.0477295000001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171.71271999999999</v>
      </c>
      <c r="B412" s="1">
        <f>DATE(2010,10,19) + TIME(17,6,18)</f>
        <v>40470.712708333333</v>
      </c>
      <c r="C412">
        <v>80</v>
      </c>
      <c r="D412">
        <v>79.918838500999996</v>
      </c>
      <c r="E412">
        <v>50</v>
      </c>
      <c r="F412">
        <v>15.007001877</v>
      </c>
      <c r="G412">
        <v>1383.5867920000001</v>
      </c>
      <c r="H412">
        <v>1370.2371826000001</v>
      </c>
      <c r="I412">
        <v>1251.6750488</v>
      </c>
      <c r="J412">
        <v>1212.0803223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172.96551099999999</v>
      </c>
      <c r="B413" s="1">
        <f>DATE(2010,10,20) + TIME(23,10,20)</f>
        <v>40471.965509259258</v>
      </c>
      <c r="C413">
        <v>80</v>
      </c>
      <c r="D413">
        <v>79.918975829999994</v>
      </c>
      <c r="E413">
        <v>50</v>
      </c>
      <c r="F413">
        <v>15.007998466</v>
      </c>
      <c r="G413">
        <v>1383.5593262</v>
      </c>
      <c r="H413">
        <v>1370.2113036999999</v>
      </c>
      <c r="I413">
        <v>1251.6943358999999</v>
      </c>
      <c r="J413">
        <v>1212.0980225000001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173.597295</v>
      </c>
      <c r="B414" s="1">
        <f>DATE(2010,10,21) + TIME(14,20,6)</f>
        <v>40472.597291666665</v>
      </c>
      <c r="C414">
        <v>80</v>
      </c>
      <c r="D414">
        <v>79.919036864999995</v>
      </c>
      <c r="E414">
        <v>50</v>
      </c>
      <c r="F414">
        <v>15.008872986</v>
      </c>
      <c r="G414">
        <v>1383.5064697</v>
      </c>
      <c r="H414">
        <v>1370.161499</v>
      </c>
      <c r="I414">
        <v>1251.7316894999999</v>
      </c>
      <c r="J414">
        <v>1212.1312256000001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174.83117999999999</v>
      </c>
      <c r="B415" s="1">
        <f>DATE(2010,10,22) + TIME(19,56,53)</f>
        <v>40473.83116898148</v>
      </c>
      <c r="C415">
        <v>80</v>
      </c>
      <c r="D415">
        <v>79.919166564999998</v>
      </c>
      <c r="E415">
        <v>50</v>
      </c>
      <c r="F415">
        <v>15.010046959</v>
      </c>
      <c r="G415">
        <v>1383.4796143000001</v>
      </c>
      <c r="H415">
        <v>1370.1361084</v>
      </c>
      <c r="I415">
        <v>1251.7513428</v>
      </c>
      <c r="J415">
        <v>1212.1492920000001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176.08785</v>
      </c>
      <c r="B416" s="1">
        <f>DATE(2010,10,24) + TIME(2,6,30)</f>
        <v>40475.087847222225</v>
      </c>
      <c r="C416">
        <v>80</v>
      </c>
      <c r="D416">
        <v>79.919296265</v>
      </c>
      <c r="E416">
        <v>50</v>
      </c>
      <c r="F416">
        <v>15.011514664</v>
      </c>
      <c r="G416">
        <v>1383.4279785000001</v>
      </c>
      <c r="H416">
        <v>1370.0875243999999</v>
      </c>
      <c r="I416">
        <v>1251.7895507999999</v>
      </c>
      <c r="J416">
        <v>1212.1837158000001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177.34789000000001</v>
      </c>
      <c r="B417" s="1">
        <f>DATE(2010,10,25) + TIME(8,20,57)</f>
        <v>40476.347881944443</v>
      </c>
      <c r="C417">
        <v>80</v>
      </c>
      <c r="D417">
        <v>79.919425963999998</v>
      </c>
      <c r="E417">
        <v>50</v>
      </c>
      <c r="F417">
        <v>15.013241768</v>
      </c>
      <c r="G417">
        <v>1383.3754882999999</v>
      </c>
      <c r="H417">
        <v>1370.0379639</v>
      </c>
      <c r="I417">
        <v>1251.8293457</v>
      </c>
      <c r="J417">
        <v>1212.2194824000001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177.98141699999999</v>
      </c>
      <c r="B418" s="1">
        <f>DATE(2010,10,25) + TIME(23,33,14)</f>
        <v>40476.981412037036</v>
      </c>
      <c r="C418">
        <v>80</v>
      </c>
      <c r="D418">
        <v>79.919479370000005</v>
      </c>
      <c r="E418">
        <v>50</v>
      </c>
      <c r="F418">
        <v>15.014653206</v>
      </c>
      <c r="G418">
        <v>1383.3229980000001</v>
      </c>
      <c r="H418">
        <v>1369.9885254000001</v>
      </c>
      <c r="I418">
        <v>1251.8699951000001</v>
      </c>
      <c r="J418">
        <v>1212.2557373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178.61494500000001</v>
      </c>
      <c r="B419" s="1">
        <f>DATE(2010,10,26) + TIME(14,45,31)</f>
        <v>40477.614942129629</v>
      </c>
      <c r="C419">
        <v>80</v>
      </c>
      <c r="D419">
        <v>79.919548035000005</v>
      </c>
      <c r="E419">
        <v>50</v>
      </c>
      <c r="F419">
        <v>15.015987396</v>
      </c>
      <c r="G419">
        <v>1383.2961425999999</v>
      </c>
      <c r="H419">
        <v>1369.9631348</v>
      </c>
      <c r="I419">
        <v>1251.8911132999999</v>
      </c>
      <c r="J419">
        <v>1212.2750243999999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179.24847199999999</v>
      </c>
      <c r="B420" s="1">
        <f>DATE(2010,10,27) + TIME(5,57,48)</f>
        <v>40478.248472222222</v>
      </c>
      <c r="C420">
        <v>80</v>
      </c>
      <c r="D420">
        <v>79.919609070000007</v>
      </c>
      <c r="E420">
        <v>50</v>
      </c>
      <c r="F420">
        <v>15.017311096</v>
      </c>
      <c r="G420">
        <v>1383.2698975000001</v>
      </c>
      <c r="H420">
        <v>1369.9383545000001</v>
      </c>
      <c r="I420">
        <v>1251.9123535000001</v>
      </c>
      <c r="J420">
        <v>1212.2941894999999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179.88200000000001</v>
      </c>
      <c r="B421" s="1">
        <f>DATE(2010,10,27) + TIME(21,10,4)</f>
        <v>40478.881990740738</v>
      </c>
      <c r="C421">
        <v>80</v>
      </c>
      <c r="D421">
        <v>79.919670104999994</v>
      </c>
      <c r="E421">
        <v>50</v>
      </c>
      <c r="F421">
        <v>15.018663406</v>
      </c>
      <c r="G421">
        <v>1383.2437743999999</v>
      </c>
      <c r="H421">
        <v>1369.9136963000001</v>
      </c>
      <c r="I421">
        <v>1251.9337158000001</v>
      </c>
      <c r="J421">
        <v>1212.3137207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180.51552699999999</v>
      </c>
      <c r="B422" s="1">
        <f>DATE(2010,10,28) + TIME(12,22,21)</f>
        <v>40479.515520833331</v>
      </c>
      <c r="C422">
        <v>80</v>
      </c>
      <c r="D422">
        <v>79.919738769999995</v>
      </c>
      <c r="E422">
        <v>50</v>
      </c>
      <c r="F422">
        <v>15.02007103</v>
      </c>
      <c r="G422">
        <v>1383.2176514</v>
      </c>
      <c r="H422">
        <v>1369.8890381000001</v>
      </c>
      <c r="I422">
        <v>1251.9554443</v>
      </c>
      <c r="J422">
        <v>1212.333374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181.149055</v>
      </c>
      <c r="B423" s="1">
        <f>DATE(2010,10,29) + TIME(3,34,38)</f>
        <v>40480.149050925924</v>
      </c>
      <c r="C423">
        <v>80</v>
      </c>
      <c r="D423">
        <v>79.919799804999997</v>
      </c>
      <c r="E423">
        <v>50</v>
      </c>
      <c r="F423">
        <v>15.021549224999999</v>
      </c>
      <c r="G423">
        <v>1383.1916504000001</v>
      </c>
      <c r="H423">
        <v>1369.8643798999999</v>
      </c>
      <c r="I423">
        <v>1251.9775391000001</v>
      </c>
      <c r="J423">
        <v>1212.3533935999999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181.78258299999999</v>
      </c>
      <c r="B424" s="1">
        <f>DATE(2010,10,29) + TIME(18,46,55)</f>
        <v>40480.782581018517</v>
      </c>
      <c r="C424">
        <v>80</v>
      </c>
      <c r="D424">
        <v>79.919860839999998</v>
      </c>
      <c r="E424">
        <v>50</v>
      </c>
      <c r="F424">
        <v>15.023110389999999</v>
      </c>
      <c r="G424">
        <v>1383.1656493999999</v>
      </c>
      <c r="H424">
        <v>1369.8398437999999</v>
      </c>
      <c r="I424">
        <v>1251.9997559000001</v>
      </c>
      <c r="J424">
        <v>1212.3736572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182.41611</v>
      </c>
      <c r="B425" s="1">
        <f>DATE(2010,10,30) + TIME(9,59,11)</f>
        <v>40481.41609953704</v>
      </c>
      <c r="C425">
        <v>80</v>
      </c>
      <c r="D425">
        <v>79.919929503999995</v>
      </c>
      <c r="E425">
        <v>50</v>
      </c>
      <c r="F425">
        <v>15.024764061000001</v>
      </c>
      <c r="G425">
        <v>1383.1396483999999</v>
      </c>
      <c r="H425">
        <v>1369.8153076000001</v>
      </c>
      <c r="I425">
        <v>1252.0223389</v>
      </c>
      <c r="J425">
        <v>1212.394043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183.04963799999999</v>
      </c>
      <c r="B426" s="1">
        <f>DATE(2010,10,31) + TIME(1,11,28)</f>
        <v>40482.049629629626</v>
      </c>
      <c r="C426">
        <v>80</v>
      </c>
      <c r="D426">
        <v>79.919990540000001</v>
      </c>
      <c r="E426">
        <v>50</v>
      </c>
      <c r="F426">
        <v>15.026518822</v>
      </c>
      <c r="G426">
        <v>1383.1137695</v>
      </c>
      <c r="H426">
        <v>1369.7908935999999</v>
      </c>
      <c r="I426">
        <v>1252.0451660000001</v>
      </c>
      <c r="J426">
        <v>1212.4149170000001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184</v>
      </c>
      <c r="B427" s="1">
        <f>DATE(2010,11,1) + TIME(0,0,0)</f>
        <v>40483</v>
      </c>
      <c r="C427">
        <v>80</v>
      </c>
      <c r="D427">
        <v>79.920089722</v>
      </c>
      <c r="E427">
        <v>50</v>
      </c>
      <c r="F427">
        <v>15.028827667</v>
      </c>
      <c r="G427">
        <v>1383.0881348</v>
      </c>
      <c r="H427">
        <v>1369.7666016000001</v>
      </c>
      <c r="I427">
        <v>1252.0681152</v>
      </c>
      <c r="J427">
        <v>1212.4361572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184.000001</v>
      </c>
      <c r="B428" s="1">
        <f>DATE(2010,11,1) + TIME(0,0,0)</f>
        <v>40483</v>
      </c>
      <c r="C428">
        <v>80</v>
      </c>
      <c r="D428">
        <v>79.919967650999993</v>
      </c>
      <c r="E428">
        <v>50</v>
      </c>
      <c r="F428">
        <v>15.028957367</v>
      </c>
      <c r="G428">
        <v>1368.8950195</v>
      </c>
      <c r="H428">
        <v>1356.9001464999999</v>
      </c>
      <c r="I428">
        <v>1292.1419678</v>
      </c>
      <c r="J428">
        <v>1252.9442139</v>
      </c>
      <c r="K428">
        <v>0</v>
      </c>
      <c r="L428">
        <v>2400</v>
      </c>
      <c r="M428">
        <v>2400</v>
      </c>
      <c r="N428">
        <v>0</v>
      </c>
    </row>
    <row r="429" spans="1:14" x14ac:dyDescent="0.25">
      <c r="A429">
        <v>184.00000399999999</v>
      </c>
      <c r="B429" s="1">
        <f>DATE(2010,11,1) + TIME(0,0,0)</f>
        <v>40483</v>
      </c>
      <c r="C429">
        <v>80</v>
      </c>
      <c r="D429">
        <v>79.919654846</v>
      </c>
      <c r="E429">
        <v>50</v>
      </c>
      <c r="F429">
        <v>15.029329300000001</v>
      </c>
      <c r="G429">
        <v>1366.6929932</v>
      </c>
      <c r="H429">
        <v>1354.6970214999999</v>
      </c>
      <c r="I429">
        <v>1294.6176757999999</v>
      </c>
      <c r="J429">
        <v>1255.4212646000001</v>
      </c>
      <c r="K429">
        <v>0</v>
      </c>
      <c r="L429">
        <v>2400</v>
      </c>
      <c r="M429">
        <v>2400</v>
      </c>
      <c r="N429">
        <v>0</v>
      </c>
    </row>
    <row r="430" spans="1:14" x14ac:dyDescent="0.25">
      <c r="A430">
        <v>184.000013</v>
      </c>
      <c r="B430" s="1">
        <f>DATE(2010,11,1) + TIME(0,0,1)</f>
        <v>40483.000011574077</v>
      </c>
      <c r="C430">
        <v>80</v>
      </c>
      <c r="D430">
        <v>79.919021606000001</v>
      </c>
      <c r="E430">
        <v>50</v>
      </c>
      <c r="F430">
        <v>15.030333518999999</v>
      </c>
      <c r="G430">
        <v>1362.2470702999999</v>
      </c>
      <c r="H430">
        <v>1350.2501221</v>
      </c>
      <c r="I430">
        <v>1300.9481201000001</v>
      </c>
      <c r="J430">
        <v>1261.7548827999999</v>
      </c>
      <c r="K430">
        <v>0</v>
      </c>
      <c r="L430">
        <v>2400</v>
      </c>
      <c r="M430">
        <v>2400</v>
      </c>
      <c r="N430">
        <v>0</v>
      </c>
    </row>
    <row r="431" spans="1:14" x14ac:dyDescent="0.25">
      <c r="A431">
        <v>184.00004000000001</v>
      </c>
      <c r="B431" s="1">
        <f>DATE(2010,11,1) + TIME(0,0,3)</f>
        <v>40483.000034722223</v>
      </c>
      <c r="C431">
        <v>80</v>
      </c>
      <c r="D431">
        <v>79.918098450000002</v>
      </c>
      <c r="E431">
        <v>50</v>
      </c>
      <c r="F431">
        <v>15.032737731999999</v>
      </c>
      <c r="G431">
        <v>1355.7520752</v>
      </c>
      <c r="H431">
        <v>1343.7562256000001</v>
      </c>
      <c r="I431">
        <v>1314.0216064000001</v>
      </c>
      <c r="J431">
        <v>1274.8327637</v>
      </c>
      <c r="K431">
        <v>0</v>
      </c>
      <c r="L431">
        <v>2400</v>
      </c>
      <c r="M431">
        <v>2400</v>
      </c>
      <c r="N431">
        <v>0</v>
      </c>
    </row>
    <row r="432" spans="1:14" x14ac:dyDescent="0.25">
      <c r="A432">
        <v>184.00012100000001</v>
      </c>
      <c r="B432" s="1">
        <f>DATE(2010,11,1) + TIME(0,0,10)</f>
        <v>40483.000115740739</v>
      </c>
      <c r="C432">
        <v>80</v>
      </c>
      <c r="D432">
        <v>79.917037964000002</v>
      </c>
      <c r="E432">
        <v>50</v>
      </c>
      <c r="F432">
        <v>15.037936211</v>
      </c>
      <c r="G432">
        <v>1348.5136719</v>
      </c>
      <c r="H432">
        <v>1336.5295410000001</v>
      </c>
      <c r="I432">
        <v>1333.6606445</v>
      </c>
      <c r="J432">
        <v>1294.4771728999999</v>
      </c>
      <c r="K432">
        <v>0</v>
      </c>
      <c r="L432">
        <v>2400</v>
      </c>
      <c r="M432">
        <v>2400</v>
      </c>
      <c r="N432">
        <v>0</v>
      </c>
    </row>
    <row r="433" spans="1:14" x14ac:dyDescent="0.25">
      <c r="A433">
        <v>184.00036399999999</v>
      </c>
      <c r="B433" s="1">
        <f>DATE(2010,11,1) + TIME(0,0,31)</f>
        <v>40483.000358796293</v>
      </c>
      <c r="C433">
        <v>80</v>
      </c>
      <c r="D433">
        <v>79.915916443</v>
      </c>
      <c r="E433">
        <v>50</v>
      </c>
      <c r="F433">
        <v>15.049757004</v>
      </c>
      <c r="G433">
        <v>1341.2292480000001</v>
      </c>
      <c r="H433">
        <v>1329.2608643000001</v>
      </c>
      <c r="I433">
        <v>1355.9291992000001</v>
      </c>
      <c r="J433">
        <v>1316.7564697</v>
      </c>
      <c r="K433">
        <v>0</v>
      </c>
      <c r="L433">
        <v>2400</v>
      </c>
      <c r="M433">
        <v>2400</v>
      </c>
      <c r="N433">
        <v>0</v>
      </c>
    </row>
    <row r="434" spans="1:14" x14ac:dyDescent="0.25">
      <c r="A434">
        <v>184.001093</v>
      </c>
      <c r="B434" s="1">
        <f>DATE(2010,11,1) + TIME(0,1,34)</f>
        <v>40483.001087962963</v>
      </c>
      <c r="C434">
        <v>80</v>
      </c>
      <c r="D434">
        <v>79.914604186999995</v>
      </c>
      <c r="E434">
        <v>50</v>
      </c>
      <c r="F434">
        <v>15.080639839</v>
      </c>
      <c r="G434">
        <v>1333.8592529</v>
      </c>
      <c r="H434">
        <v>1321.8889160000001</v>
      </c>
      <c r="I434">
        <v>1378.3973389</v>
      </c>
      <c r="J434">
        <v>1339.2512207</v>
      </c>
      <c r="K434">
        <v>0</v>
      </c>
      <c r="L434">
        <v>2400</v>
      </c>
      <c r="M434">
        <v>2400</v>
      </c>
      <c r="N434">
        <v>0</v>
      </c>
    </row>
    <row r="435" spans="1:14" x14ac:dyDescent="0.25">
      <c r="A435">
        <v>184.00327999999999</v>
      </c>
      <c r="B435" s="1">
        <f>DATE(2010,11,1) + TIME(0,4,43)</f>
        <v>40483.003275462965</v>
      </c>
      <c r="C435">
        <v>80</v>
      </c>
      <c r="D435">
        <v>79.912635803000001</v>
      </c>
      <c r="E435">
        <v>50</v>
      </c>
      <c r="F435">
        <v>15.168478966</v>
      </c>
      <c r="G435">
        <v>1325.7727050999999</v>
      </c>
      <c r="H435">
        <v>1313.7347411999999</v>
      </c>
      <c r="I435">
        <v>1400.5955810999999</v>
      </c>
      <c r="J435">
        <v>1361.5153809000001</v>
      </c>
      <c r="K435">
        <v>0</v>
      </c>
      <c r="L435">
        <v>2400</v>
      </c>
      <c r="M435">
        <v>2400</v>
      </c>
      <c r="N435">
        <v>0</v>
      </c>
    </row>
    <row r="436" spans="1:14" x14ac:dyDescent="0.25">
      <c r="A436">
        <v>184.00984099999999</v>
      </c>
      <c r="B436" s="1">
        <f>DATE(2010,11,1) + TIME(0,14,10)</f>
        <v>40483.009837962964</v>
      </c>
      <c r="C436">
        <v>80</v>
      </c>
      <c r="D436">
        <v>79.908798218000001</v>
      </c>
      <c r="E436">
        <v>50</v>
      </c>
      <c r="F436">
        <v>15.425917625</v>
      </c>
      <c r="G436">
        <v>1316.1081543</v>
      </c>
      <c r="H436">
        <v>1303.9743652</v>
      </c>
      <c r="I436">
        <v>1421.2547606999999</v>
      </c>
      <c r="J436">
        <v>1382.3673096</v>
      </c>
      <c r="K436">
        <v>0</v>
      </c>
      <c r="L436">
        <v>2400</v>
      </c>
      <c r="M436">
        <v>2400</v>
      </c>
      <c r="N436">
        <v>0</v>
      </c>
    </row>
    <row r="437" spans="1:14" x14ac:dyDescent="0.25">
      <c r="A437">
        <v>184.02952400000001</v>
      </c>
      <c r="B437" s="1">
        <f>DATE(2010,11,1) + TIME(0,42,30)</f>
        <v>40483.029513888891</v>
      </c>
      <c r="C437">
        <v>80</v>
      </c>
      <c r="D437">
        <v>79.900138854999994</v>
      </c>
      <c r="E437">
        <v>50</v>
      </c>
      <c r="F437">
        <v>16.179050446000002</v>
      </c>
      <c r="G437">
        <v>1306.4079589999999</v>
      </c>
      <c r="H437">
        <v>1294.2180175999999</v>
      </c>
      <c r="I437">
        <v>1436.2373047000001</v>
      </c>
      <c r="J437">
        <v>1398.0240478999999</v>
      </c>
      <c r="K437">
        <v>0</v>
      </c>
      <c r="L437">
        <v>2400</v>
      </c>
      <c r="M437">
        <v>2400</v>
      </c>
      <c r="N437">
        <v>0</v>
      </c>
    </row>
    <row r="438" spans="1:14" x14ac:dyDescent="0.25">
      <c r="A438">
        <v>184.05563100000001</v>
      </c>
      <c r="B438" s="1">
        <f>DATE(2010,11,1) + TIME(1,20,6)</f>
        <v>40483.055625000001</v>
      </c>
      <c r="C438">
        <v>80</v>
      </c>
      <c r="D438">
        <v>79.889938353999995</v>
      </c>
      <c r="E438">
        <v>50</v>
      </c>
      <c r="F438">
        <v>17.150564194000001</v>
      </c>
      <c r="G438">
        <v>1301.8381348</v>
      </c>
      <c r="H438">
        <v>1289.6307373</v>
      </c>
      <c r="I438">
        <v>1440.9080810999999</v>
      </c>
      <c r="J438">
        <v>1403.59375</v>
      </c>
      <c r="K438">
        <v>0</v>
      </c>
      <c r="L438">
        <v>2400</v>
      </c>
      <c r="M438">
        <v>2400</v>
      </c>
      <c r="N438">
        <v>0</v>
      </c>
    </row>
    <row r="439" spans="1:14" x14ac:dyDescent="0.25">
      <c r="A439">
        <v>184.082503</v>
      </c>
      <c r="B439" s="1">
        <f>DATE(2010,11,1) + TIME(1,58,48)</f>
        <v>40483.082499999997</v>
      </c>
      <c r="C439">
        <v>80</v>
      </c>
      <c r="D439">
        <v>79.879928589000002</v>
      </c>
      <c r="E439">
        <v>50</v>
      </c>
      <c r="F439">
        <v>18.123132706</v>
      </c>
      <c r="G439">
        <v>1299.9831543</v>
      </c>
      <c r="H439">
        <v>1287.7696533000001</v>
      </c>
      <c r="I439">
        <v>1441.5123291</v>
      </c>
      <c r="J439">
        <v>1405.0783690999999</v>
      </c>
      <c r="K439">
        <v>0</v>
      </c>
      <c r="L439">
        <v>2400</v>
      </c>
      <c r="M439">
        <v>2400</v>
      </c>
      <c r="N439">
        <v>0</v>
      </c>
    </row>
    <row r="440" spans="1:14" x14ac:dyDescent="0.25">
      <c r="A440">
        <v>184.11013199999999</v>
      </c>
      <c r="B440" s="1">
        <f>DATE(2010,11,1) + TIME(2,38,35)</f>
        <v>40483.110127314816</v>
      </c>
      <c r="C440">
        <v>80</v>
      </c>
      <c r="D440">
        <v>79.869888306000007</v>
      </c>
      <c r="E440">
        <v>50</v>
      </c>
      <c r="F440">
        <v>19.094917296999999</v>
      </c>
      <c r="G440">
        <v>1299.1844481999999</v>
      </c>
      <c r="H440">
        <v>1286.9682617000001</v>
      </c>
      <c r="I440">
        <v>1440.8300781</v>
      </c>
      <c r="J440">
        <v>1405.2467041</v>
      </c>
      <c r="K440">
        <v>0</v>
      </c>
      <c r="L440">
        <v>2400</v>
      </c>
      <c r="M440">
        <v>2400</v>
      </c>
      <c r="N440">
        <v>0</v>
      </c>
    </row>
    <row r="441" spans="1:14" x14ac:dyDescent="0.25">
      <c r="A441">
        <v>184.138565</v>
      </c>
      <c r="B441" s="1">
        <f>DATE(2010,11,1) + TIME(3,19,31)</f>
        <v>40483.138553240744</v>
      </c>
      <c r="C441">
        <v>80</v>
      </c>
      <c r="D441">
        <v>79.859725952000005</v>
      </c>
      <c r="E441">
        <v>50</v>
      </c>
      <c r="F441">
        <v>20.065837859999998</v>
      </c>
      <c r="G441">
        <v>1298.8242187999999</v>
      </c>
      <c r="H441">
        <v>1286.6066894999999</v>
      </c>
      <c r="I441">
        <v>1439.7521973</v>
      </c>
      <c r="J441">
        <v>1404.9868164</v>
      </c>
      <c r="K441">
        <v>0</v>
      </c>
      <c r="L441">
        <v>2400</v>
      </c>
      <c r="M441">
        <v>2400</v>
      </c>
      <c r="N441">
        <v>0</v>
      </c>
    </row>
    <row r="442" spans="1:14" x14ac:dyDescent="0.25">
      <c r="A442">
        <v>184.16784799999999</v>
      </c>
      <c r="B442" s="1">
        <f>DATE(2010,11,1) + TIME(4,1,42)</f>
        <v>40483.167847222219</v>
      </c>
      <c r="C442">
        <v>80</v>
      </c>
      <c r="D442">
        <v>79.849395752000007</v>
      </c>
      <c r="E442">
        <v>50</v>
      </c>
      <c r="F442">
        <v>21.036523818999999</v>
      </c>
      <c r="G442">
        <v>1298.6547852000001</v>
      </c>
      <c r="H442">
        <v>1286.4362793</v>
      </c>
      <c r="I442">
        <v>1438.5809326000001</v>
      </c>
      <c r="J442">
        <v>1404.6016846</v>
      </c>
      <c r="K442">
        <v>0</v>
      </c>
      <c r="L442">
        <v>2400</v>
      </c>
      <c r="M442">
        <v>2400</v>
      </c>
      <c r="N442">
        <v>0</v>
      </c>
    </row>
    <row r="443" spans="1:14" x14ac:dyDescent="0.25">
      <c r="A443">
        <v>184.19801699999999</v>
      </c>
      <c r="B443" s="1">
        <f>DATE(2010,11,1) + TIME(4,45,8)</f>
        <v>40483.198009259257</v>
      </c>
      <c r="C443">
        <v>80</v>
      </c>
      <c r="D443">
        <v>79.838874817000004</v>
      </c>
      <c r="E443">
        <v>50</v>
      </c>
      <c r="F443">
        <v>22.005380630000001</v>
      </c>
      <c r="G443">
        <v>1298.5718993999999</v>
      </c>
      <c r="H443">
        <v>1286.3526611</v>
      </c>
      <c r="I443">
        <v>1437.4187012</v>
      </c>
      <c r="J443">
        <v>1404.1936035000001</v>
      </c>
      <c r="K443">
        <v>0</v>
      </c>
      <c r="L443">
        <v>2400</v>
      </c>
      <c r="M443">
        <v>2400</v>
      </c>
      <c r="N443">
        <v>0</v>
      </c>
    </row>
    <row r="444" spans="1:14" x14ac:dyDescent="0.25">
      <c r="A444">
        <v>184.22915399999999</v>
      </c>
      <c r="B444" s="1">
        <f>DATE(2010,11,1) + TIME(5,29,58)</f>
        <v>40483.229143518518</v>
      </c>
      <c r="C444">
        <v>80</v>
      </c>
      <c r="D444">
        <v>79.828140258999994</v>
      </c>
      <c r="E444">
        <v>50</v>
      </c>
      <c r="F444">
        <v>22.973096848000001</v>
      </c>
      <c r="G444">
        <v>1298.5300293</v>
      </c>
      <c r="H444">
        <v>1286.3100586</v>
      </c>
      <c r="I444">
        <v>1436.2945557</v>
      </c>
      <c r="J444">
        <v>1403.7938231999999</v>
      </c>
      <c r="K444">
        <v>0</v>
      </c>
      <c r="L444">
        <v>2400</v>
      </c>
      <c r="M444">
        <v>2400</v>
      </c>
      <c r="N444">
        <v>0</v>
      </c>
    </row>
    <row r="445" spans="1:14" x14ac:dyDescent="0.25">
      <c r="A445">
        <v>184.26133100000001</v>
      </c>
      <c r="B445" s="1">
        <f>DATE(2010,11,1) + TIME(6,16,18)</f>
        <v>40483.261319444442</v>
      </c>
      <c r="C445">
        <v>80</v>
      </c>
      <c r="D445">
        <v>79.817176818999997</v>
      </c>
      <c r="E445">
        <v>50</v>
      </c>
      <c r="F445">
        <v>23.939599991000001</v>
      </c>
      <c r="G445">
        <v>1298.5080565999999</v>
      </c>
      <c r="H445">
        <v>1286.2875977000001</v>
      </c>
      <c r="I445">
        <v>1435.2148437999999</v>
      </c>
      <c r="J445">
        <v>1403.4097899999999</v>
      </c>
      <c r="K445">
        <v>0</v>
      </c>
      <c r="L445">
        <v>2400</v>
      </c>
      <c r="M445">
        <v>2400</v>
      </c>
      <c r="N445">
        <v>0</v>
      </c>
    </row>
    <row r="446" spans="1:14" x14ac:dyDescent="0.25">
      <c r="A446">
        <v>184.294623</v>
      </c>
      <c r="B446" s="1">
        <f>DATE(2010,11,1) + TIME(7,4,15)</f>
        <v>40483.294618055559</v>
      </c>
      <c r="C446">
        <v>80</v>
      </c>
      <c r="D446">
        <v>79.805953978999995</v>
      </c>
      <c r="E446">
        <v>50</v>
      </c>
      <c r="F446">
        <v>24.904806137000001</v>
      </c>
      <c r="G446">
        <v>1298.4964600000001</v>
      </c>
      <c r="H446">
        <v>1286.2752685999999</v>
      </c>
      <c r="I446">
        <v>1434.1779785000001</v>
      </c>
      <c r="J446">
        <v>1403.041626</v>
      </c>
      <c r="K446">
        <v>0</v>
      </c>
      <c r="L446">
        <v>2400</v>
      </c>
      <c r="M446">
        <v>2400</v>
      </c>
      <c r="N446">
        <v>0</v>
      </c>
    </row>
    <row r="447" spans="1:14" x14ac:dyDescent="0.25">
      <c r="A447">
        <v>184.329115</v>
      </c>
      <c r="B447" s="1">
        <f>DATE(2010,11,1) + TIME(7,53,55)</f>
        <v>40483.329108796293</v>
      </c>
      <c r="C447">
        <v>80</v>
      </c>
      <c r="D447">
        <v>79.794456482000001</v>
      </c>
      <c r="E447">
        <v>50</v>
      </c>
      <c r="F447">
        <v>25.869220733999999</v>
      </c>
      <c r="G447">
        <v>1298.4898682</v>
      </c>
      <c r="H447">
        <v>1286.2681885</v>
      </c>
      <c r="I447">
        <v>1433.1806641000001</v>
      </c>
      <c r="J447">
        <v>1402.6875</v>
      </c>
      <c r="K447">
        <v>0</v>
      </c>
      <c r="L447">
        <v>2400</v>
      </c>
      <c r="M447">
        <v>2400</v>
      </c>
      <c r="N447">
        <v>0</v>
      </c>
    </row>
    <row r="448" spans="1:14" x14ac:dyDescent="0.25">
      <c r="A448">
        <v>184.364879</v>
      </c>
      <c r="B448" s="1">
        <f>DATE(2010,11,1) + TIME(8,45,25)</f>
        <v>40483.364872685182</v>
      </c>
      <c r="C448">
        <v>80</v>
      </c>
      <c r="D448">
        <v>79.782676696999999</v>
      </c>
      <c r="E448">
        <v>50</v>
      </c>
      <c r="F448">
        <v>26.831655502</v>
      </c>
      <c r="G448">
        <v>1298.4860839999999</v>
      </c>
      <c r="H448">
        <v>1286.2637939000001</v>
      </c>
      <c r="I448">
        <v>1432.2203368999999</v>
      </c>
      <c r="J448">
        <v>1402.3455810999999</v>
      </c>
      <c r="K448">
        <v>0</v>
      </c>
      <c r="L448">
        <v>2400</v>
      </c>
      <c r="M448">
        <v>2400</v>
      </c>
      <c r="N448">
        <v>0</v>
      </c>
    </row>
    <row r="449" spans="1:14" x14ac:dyDescent="0.25">
      <c r="A449">
        <v>184.40204</v>
      </c>
      <c r="B449" s="1">
        <f>DATE(2010,11,1) + TIME(9,38,56)</f>
        <v>40483.402037037034</v>
      </c>
      <c r="C449">
        <v>80</v>
      </c>
      <c r="D449">
        <v>79.770568847999996</v>
      </c>
      <c r="E449">
        <v>50</v>
      </c>
      <c r="F449">
        <v>27.792419433999999</v>
      </c>
      <c r="G449">
        <v>1298.4836425999999</v>
      </c>
      <c r="H449">
        <v>1286.2607422000001</v>
      </c>
      <c r="I449">
        <v>1431.2941894999999</v>
      </c>
      <c r="J449">
        <v>1402.0141602000001</v>
      </c>
      <c r="K449">
        <v>0</v>
      </c>
      <c r="L449">
        <v>2400</v>
      </c>
      <c r="M449">
        <v>2400</v>
      </c>
      <c r="N449">
        <v>0</v>
      </c>
    </row>
    <row r="450" spans="1:14" x14ac:dyDescent="0.25">
      <c r="A450">
        <v>184.440718</v>
      </c>
      <c r="B450" s="1">
        <f>DATE(2010,11,1) + TIME(10,34,38)</f>
        <v>40483.440717592595</v>
      </c>
      <c r="C450">
        <v>80</v>
      </c>
      <c r="D450">
        <v>79.758117675999998</v>
      </c>
      <c r="E450">
        <v>50</v>
      </c>
      <c r="F450">
        <v>28.75144577</v>
      </c>
      <c r="G450">
        <v>1298.4819336</v>
      </c>
      <c r="H450">
        <v>1286.2583007999999</v>
      </c>
      <c r="I450">
        <v>1430.3996582</v>
      </c>
      <c r="J450">
        <v>1401.6920166</v>
      </c>
      <c r="K450">
        <v>0</v>
      </c>
      <c r="L450">
        <v>2400</v>
      </c>
      <c r="M450">
        <v>2400</v>
      </c>
      <c r="N450">
        <v>0</v>
      </c>
    </row>
    <row r="451" spans="1:14" x14ac:dyDescent="0.25">
      <c r="A451">
        <v>184.48104799999999</v>
      </c>
      <c r="B451" s="1">
        <f>DATE(2010,11,1) + TIME(11,32,42)</f>
        <v>40483.481041666666</v>
      </c>
      <c r="C451">
        <v>80</v>
      </c>
      <c r="D451">
        <v>79.745292664000004</v>
      </c>
      <c r="E451">
        <v>50</v>
      </c>
      <c r="F451">
        <v>29.708583831999999</v>
      </c>
      <c r="G451">
        <v>1298.4803466999999</v>
      </c>
      <c r="H451">
        <v>1286.2562256000001</v>
      </c>
      <c r="I451">
        <v>1429.534668</v>
      </c>
      <c r="J451">
        <v>1401.3780518000001</v>
      </c>
      <c r="K451">
        <v>0</v>
      </c>
      <c r="L451">
        <v>2400</v>
      </c>
      <c r="M451">
        <v>2400</v>
      </c>
      <c r="N451">
        <v>0</v>
      </c>
    </row>
    <row r="452" spans="1:14" x14ac:dyDescent="0.25">
      <c r="A452">
        <v>184.52318500000001</v>
      </c>
      <c r="B452" s="1">
        <f>DATE(2010,11,1) + TIME(12,33,23)</f>
        <v>40483.523182870369</v>
      </c>
      <c r="C452">
        <v>80</v>
      </c>
      <c r="D452">
        <v>79.732055664000001</v>
      </c>
      <c r="E452">
        <v>50</v>
      </c>
      <c r="F452">
        <v>30.663827896000001</v>
      </c>
      <c r="G452">
        <v>1298.4788818</v>
      </c>
      <c r="H452">
        <v>1286.2540283000001</v>
      </c>
      <c r="I452">
        <v>1428.6972656</v>
      </c>
      <c r="J452">
        <v>1401.0714111</v>
      </c>
      <c r="K452">
        <v>0</v>
      </c>
      <c r="L452">
        <v>2400</v>
      </c>
      <c r="M452">
        <v>2400</v>
      </c>
      <c r="N452">
        <v>0</v>
      </c>
    </row>
    <row r="453" spans="1:14" x14ac:dyDescent="0.25">
      <c r="A453">
        <v>184.567296</v>
      </c>
      <c r="B453" s="1">
        <f>DATE(2010,11,1) + TIME(13,36,54)</f>
        <v>40483.567291666666</v>
      </c>
      <c r="C453">
        <v>80</v>
      </c>
      <c r="D453">
        <v>79.718360900999997</v>
      </c>
      <c r="E453">
        <v>50</v>
      </c>
      <c r="F453">
        <v>31.616760253999999</v>
      </c>
      <c r="G453">
        <v>1298.4774170000001</v>
      </c>
      <c r="H453">
        <v>1286.2518310999999</v>
      </c>
      <c r="I453">
        <v>1427.8858643000001</v>
      </c>
      <c r="J453">
        <v>1400.7709961</v>
      </c>
      <c r="K453">
        <v>0</v>
      </c>
      <c r="L453">
        <v>2400</v>
      </c>
      <c r="M453">
        <v>2400</v>
      </c>
      <c r="N453">
        <v>0</v>
      </c>
    </row>
    <row r="454" spans="1:14" x14ac:dyDescent="0.25">
      <c r="A454">
        <v>184.613585</v>
      </c>
      <c r="B454" s="1">
        <f>DATE(2010,11,1) + TIME(14,43,33)</f>
        <v>40483.613576388889</v>
      </c>
      <c r="C454">
        <v>80</v>
      </c>
      <c r="D454">
        <v>79.704177856000001</v>
      </c>
      <c r="E454">
        <v>50</v>
      </c>
      <c r="F454">
        <v>32.567176818999997</v>
      </c>
      <c r="G454">
        <v>1298.4758300999999</v>
      </c>
      <c r="H454">
        <v>1286.2495117000001</v>
      </c>
      <c r="I454">
        <v>1427.0986327999999</v>
      </c>
      <c r="J454">
        <v>1400.4763184000001</v>
      </c>
      <c r="K454">
        <v>0</v>
      </c>
      <c r="L454">
        <v>2400</v>
      </c>
      <c r="M454">
        <v>2400</v>
      </c>
      <c r="N454">
        <v>0</v>
      </c>
    </row>
    <row r="455" spans="1:14" x14ac:dyDescent="0.25">
      <c r="A455">
        <v>184.66229000000001</v>
      </c>
      <c r="B455" s="1">
        <f>DATE(2010,11,1) + TIME(15,53,41)</f>
        <v>40483.662280092591</v>
      </c>
      <c r="C455">
        <v>80</v>
      </c>
      <c r="D455">
        <v>79.689445496000005</v>
      </c>
      <c r="E455">
        <v>50</v>
      </c>
      <c r="F455">
        <v>33.514888763000002</v>
      </c>
      <c r="G455">
        <v>1298.4741211</v>
      </c>
      <c r="H455">
        <v>1286.2470702999999</v>
      </c>
      <c r="I455">
        <v>1426.3341064000001</v>
      </c>
      <c r="J455">
        <v>1400.1861572</v>
      </c>
      <c r="K455">
        <v>0</v>
      </c>
      <c r="L455">
        <v>2400</v>
      </c>
      <c r="M455">
        <v>2400</v>
      </c>
      <c r="N455">
        <v>0</v>
      </c>
    </row>
    <row r="456" spans="1:14" x14ac:dyDescent="0.25">
      <c r="A456">
        <v>184.71368200000001</v>
      </c>
      <c r="B456" s="1">
        <f>DATE(2010,11,1) + TIME(17,7,42)</f>
        <v>40483.713680555556</v>
      </c>
      <c r="C456">
        <v>80</v>
      </c>
      <c r="D456">
        <v>79.674102782999995</v>
      </c>
      <c r="E456">
        <v>50</v>
      </c>
      <c r="F456">
        <v>34.4596138</v>
      </c>
      <c r="G456">
        <v>1298.472168</v>
      </c>
      <c r="H456">
        <v>1286.2445068</v>
      </c>
      <c r="I456">
        <v>1425.5906981999999</v>
      </c>
      <c r="J456">
        <v>1399.9000243999999</v>
      </c>
      <c r="K456">
        <v>0</v>
      </c>
      <c r="L456">
        <v>2400</v>
      </c>
      <c r="M456">
        <v>2400</v>
      </c>
      <c r="N456">
        <v>0</v>
      </c>
    </row>
    <row r="457" spans="1:14" x14ac:dyDescent="0.25">
      <c r="A457">
        <v>184.76808</v>
      </c>
      <c r="B457" s="1">
        <f>DATE(2010,11,1) + TIME(18,26,2)</f>
        <v>40483.768078703702</v>
      </c>
      <c r="C457">
        <v>80</v>
      </c>
      <c r="D457">
        <v>79.658088684000006</v>
      </c>
      <c r="E457">
        <v>50</v>
      </c>
      <c r="F457">
        <v>35.401016235</v>
      </c>
      <c r="G457">
        <v>1298.4702147999999</v>
      </c>
      <c r="H457">
        <v>1286.2416992000001</v>
      </c>
      <c r="I457">
        <v>1424.8669434000001</v>
      </c>
      <c r="J457">
        <v>1399.6168213000001</v>
      </c>
      <c r="K457">
        <v>0</v>
      </c>
      <c r="L457">
        <v>2400</v>
      </c>
      <c r="M457">
        <v>2400</v>
      </c>
      <c r="N457">
        <v>0</v>
      </c>
    </row>
    <row r="458" spans="1:14" x14ac:dyDescent="0.25">
      <c r="A458">
        <v>184.82586499999999</v>
      </c>
      <c r="B458" s="1">
        <f>DATE(2010,11,1) + TIME(19,49,14)</f>
        <v>40483.825856481482</v>
      </c>
      <c r="C458">
        <v>80</v>
      </c>
      <c r="D458">
        <v>79.641311646000005</v>
      </c>
      <c r="E458">
        <v>50</v>
      </c>
      <c r="F458">
        <v>36.338703156000001</v>
      </c>
      <c r="G458">
        <v>1298.4680175999999</v>
      </c>
      <c r="H458">
        <v>1286.2386475000001</v>
      </c>
      <c r="I458">
        <v>1424.1612548999999</v>
      </c>
      <c r="J458">
        <v>1399.3358154</v>
      </c>
      <c r="K458">
        <v>0</v>
      </c>
      <c r="L458">
        <v>2400</v>
      </c>
      <c r="M458">
        <v>2400</v>
      </c>
      <c r="N458">
        <v>0</v>
      </c>
    </row>
    <row r="459" spans="1:14" x14ac:dyDescent="0.25">
      <c r="A459">
        <v>184.88748899999999</v>
      </c>
      <c r="B459" s="1">
        <f>DATE(2010,11,1) + TIME(21,17,59)</f>
        <v>40483.887488425928</v>
      </c>
      <c r="C459">
        <v>80</v>
      </c>
      <c r="D459">
        <v>79.623680114999999</v>
      </c>
      <c r="E459">
        <v>50</v>
      </c>
      <c r="F459">
        <v>37.272212981999999</v>
      </c>
      <c r="G459">
        <v>1298.4655762</v>
      </c>
      <c r="H459">
        <v>1286.2353516000001</v>
      </c>
      <c r="I459">
        <v>1423.4720459</v>
      </c>
      <c r="J459">
        <v>1399.0560303</v>
      </c>
      <c r="K459">
        <v>0</v>
      </c>
      <c r="L459">
        <v>2400</v>
      </c>
      <c r="M459">
        <v>2400</v>
      </c>
      <c r="N459">
        <v>0</v>
      </c>
    </row>
    <row r="460" spans="1:14" x14ac:dyDescent="0.25">
      <c r="A460">
        <v>184.95350300000001</v>
      </c>
      <c r="B460" s="1">
        <f>DATE(2010,11,1) + TIME(22,53,2)</f>
        <v>40483.95349537037</v>
      </c>
      <c r="C460">
        <v>80</v>
      </c>
      <c r="D460">
        <v>79.605072020999998</v>
      </c>
      <c r="E460">
        <v>50</v>
      </c>
      <c r="F460">
        <v>38.200996398999997</v>
      </c>
      <c r="G460">
        <v>1298.4628906</v>
      </c>
      <c r="H460">
        <v>1286.2319336</v>
      </c>
      <c r="I460">
        <v>1422.7979736</v>
      </c>
      <c r="J460">
        <v>1398.7763672000001</v>
      </c>
      <c r="K460">
        <v>0</v>
      </c>
      <c r="L460">
        <v>2400</v>
      </c>
      <c r="M460">
        <v>2400</v>
      </c>
      <c r="N460">
        <v>0</v>
      </c>
    </row>
    <row r="461" spans="1:14" x14ac:dyDescent="0.25">
      <c r="A461">
        <v>185.02457899999999</v>
      </c>
      <c r="B461" s="1">
        <f>DATE(2010,11,2) + TIME(0,35,23)</f>
        <v>40484.024571759262</v>
      </c>
      <c r="C461">
        <v>80</v>
      </c>
      <c r="D461">
        <v>79.585350036999998</v>
      </c>
      <c r="E461">
        <v>50</v>
      </c>
      <c r="F461">
        <v>39.124382019000002</v>
      </c>
      <c r="G461">
        <v>1298.4600829999999</v>
      </c>
      <c r="H461">
        <v>1286.2281493999999</v>
      </c>
      <c r="I461">
        <v>1422.1374512</v>
      </c>
      <c r="J461">
        <v>1398.4957274999999</v>
      </c>
      <c r="K461">
        <v>0</v>
      </c>
      <c r="L461">
        <v>2400</v>
      </c>
      <c r="M461">
        <v>2400</v>
      </c>
      <c r="N461">
        <v>0</v>
      </c>
    </row>
    <row r="462" spans="1:14" x14ac:dyDescent="0.25">
      <c r="A462">
        <v>185.101552</v>
      </c>
      <c r="B462" s="1">
        <f>DATE(2010,11,2) + TIME(2,26,14)</f>
        <v>40484.101550925923</v>
      </c>
      <c r="C462">
        <v>80</v>
      </c>
      <c r="D462">
        <v>79.564346313000001</v>
      </c>
      <c r="E462">
        <v>50</v>
      </c>
      <c r="F462">
        <v>40.041568755999997</v>
      </c>
      <c r="G462">
        <v>1298.4570312000001</v>
      </c>
      <c r="H462">
        <v>1286.2241211</v>
      </c>
      <c r="I462">
        <v>1421.4886475000001</v>
      </c>
      <c r="J462">
        <v>1398.2127685999999</v>
      </c>
      <c r="K462">
        <v>0</v>
      </c>
      <c r="L462">
        <v>2400</v>
      </c>
      <c r="M462">
        <v>2400</v>
      </c>
      <c r="N462">
        <v>0</v>
      </c>
    </row>
    <row r="463" spans="1:14" x14ac:dyDescent="0.25">
      <c r="A463">
        <v>185.18546499999999</v>
      </c>
      <c r="B463" s="1">
        <f>DATE(2010,11,2) + TIME(4,27,4)</f>
        <v>40484.18546296296</v>
      </c>
      <c r="C463">
        <v>80</v>
      </c>
      <c r="D463">
        <v>79.541831970000004</v>
      </c>
      <c r="E463">
        <v>50</v>
      </c>
      <c r="F463">
        <v>40.951652527</v>
      </c>
      <c r="G463">
        <v>1298.4537353999999</v>
      </c>
      <c r="H463">
        <v>1286.2197266000001</v>
      </c>
      <c r="I463">
        <v>1420.8498535000001</v>
      </c>
      <c r="J463">
        <v>1397.9260254000001</v>
      </c>
      <c r="K463">
        <v>0</v>
      </c>
      <c r="L463">
        <v>2400</v>
      </c>
      <c r="M463">
        <v>2400</v>
      </c>
      <c r="N463">
        <v>0</v>
      </c>
    </row>
    <row r="464" spans="1:14" x14ac:dyDescent="0.25">
      <c r="A464">
        <v>185.277624</v>
      </c>
      <c r="B464" s="1">
        <f>DATE(2010,11,2) + TIME(6,39,46)</f>
        <v>40484.277615740742</v>
      </c>
      <c r="C464">
        <v>80</v>
      </c>
      <c r="D464">
        <v>79.517562866000006</v>
      </c>
      <c r="E464">
        <v>50</v>
      </c>
      <c r="F464">
        <v>41.852821349999999</v>
      </c>
      <c r="G464">
        <v>1298.4499512</v>
      </c>
      <c r="H464">
        <v>1286.2149658000001</v>
      </c>
      <c r="I464">
        <v>1420.2194824000001</v>
      </c>
      <c r="J464">
        <v>1397.6340332</v>
      </c>
      <c r="K464">
        <v>0</v>
      </c>
      <c r="L464">
        <v>2400</v>
      </c>
      <c r="M464">
        <v>2400</v>
      </c>
      <c r="N464">
        <v>0</v>
      </c>
    </row>
    <row r="465" spans="1:14" x14ac:dyDescent="0.25">
      <c r="A465">
        <v>185.37979999999999</v>
      </c>
      <c r="B465" s="1">
        <f>DATE(2010,11,2) + TIME(9,6,54)</f>
        <v>40484.379791666666</v>
      </c>
      <c r="C465">
        <v>80</v>
      </c>
      <c r="D465">
        <v>79.491172790999997</v>
      </c>
      <c r="E465">
        <v>50</v>
      </c>
      <c r="F465">
        <v>42.743602752999998</v>
      </c>
      <c r="G465">
        <v>1298.4459228999999</v>
      </c>
      <c r="H465">
        <v>1286.2097168</v>
      </c>
      <c r="I465">
        <v>1419.5954589999999</v>
      </c>
      <c r="J465">
        <v>1397.3345947</v>
      </c>
      <c r="K465">
        <v>0</v>
      </c>
      <c r="L465">
        <v>2400</v>
      </c>
      <c r="M465">
        <v>2400</v>
      </c>
      <c r="N465">
        <v>0</v>
      </c>
    </row>
    <row r="466" spans="1:14" x14ac:dyDescent="0.25">
      <c r="A466">
        <v>185.43666999999999</v>
      </c>
      <c r="B466" s="1">
        <f>DATE(2010,11,2) + TIME(10,28,48)</f>
        <v>40484.436666666668</v>
      </c>
      <c r="C466">
        <v>80</v>
      </c>
      <c r="D466">
        <v>79.475875853999995</v>
      </c>
      <c r="E466">
        <v>50</v>
      </c>
      <c r="F466">
        <v>43.208438872999999</v>
      </c>
      <c r="G466">
        <v>1298.4407959</v>
      </c>
      <c r="H466">
        <v>1286.2043457</v>
      </c>
      <c r="I466">
        <v>1419.2161865</v>
      </c>
      <c r="J466">
        <v>1397.098999</v>
      </c>
      <c r="K466">
        <v>0</v>
      </c>
      <c r="L466">
        <v>2400</v>
      </c>
      <c r="M466">
        <v>2400</v>
      </c>
      <c r="N466">
        <v>0</v>
      </c>
    </row>
    <row r="467" spans="1:14" x14ac:dyDescent="0.25">
      <c r="A467">
        <v>185.55041199999999</v>
      </c>
      <c r="B467" s="1">
        <f>DATE(2010,11,2) + TIME(13,12,35)</f>
        <v>40484.550405092596</v>
      </c>
      <c r="C467">
        <v>80</v>
      </c>
      <c r="D467">
        <v>79.447311400999993</v>
      </c>
      <c r="E467">
        <v>50</v>
      </c>
      <c r="F467">
        <v>44.025608063</v>
      </c>
      <c r="G467">
        <v>1298.4388428</v>
      </c>
      <c r="H467">
        <v>1286.2006836</v>
      </c>
      <c r="I467">
        <v>1418.6839600000001</v>
      </c>
      <c r="J467">
        <v>1396.8724365</v>
      </c>
      <c r="K467">
        <v>0</v>
      </c>
      <c r="L467">
        <v>2400</v>
      </c>
      <c r="M467">
        <v>2400</v>
      </c>
      <c r="N467">
        <v>0</v>
      </c>
    </row>
    <row r="468" spans="1:14" x14ac:dyDescent="0.25">
      <c r="A468">
        <v>185.664185</v>
      </c>
      <c r="B468" s="1">
        <f>DATE(2010,11,2) + TIME(15,56,25)</f>
        <v>40484.664178240739</v>
      </c>
      <c r="C468">
        <v>80</v>
      </c>
      <c r="D468">
        <v>79.418930054</v>
      </c>
      <c r="E468">
        <v>50</v>
      </c>
      <c r="F468">
        <v>44.744670868</v>
      </c>
      <c r="G468">
        <v>1298.4337158000001</v>
      </c>
      <c r="H468">
        <v>1286.1944579999999</v>
      </c>
      <c r="I468">
        <v>1418.1496582</v>
      </c>
      <c r="J468">
        <v>1396.5802002</v>
      </c>
      <c r="K468">
        <v>0</v>
      </c>
      <c r="L468">
        <v>2400</v>
      </c>
      <c r="M468">
        <v>2400</v>
      </c>
      <c r="N468">
        <v>0</v>
      </c>
    </row>
    <row r="469" spans="1:14" x14ac:dyDescent="0.25">
      <c r="A469">
        <v>185.77922699999999</v>
      </c>
      <c r="B469" s="1">
        <f>DATE(2010,11,2) + TIME(18,42,5)</f>
        <v>40484.779224537036</v>
      </c>
      <c r="C469">
        <v>80</v>
      </c>
      <c r="D469">
        <v>79.390464782999999</v>
      </c>
      <c r="E469">
        <v>50</v>
      </c>
      <c r="F469">
        <v>45.383117675999998</v>
      </c>
      <c r="G469">
        <v>1298.4284668</v>
      </c>
      <c r="H469">
        <v>1286.1881103999999</v>
      </c>
      <c r="I469">
        <v>1417.6628418</v>
      </c>
      <c r="J469">
        <v>1396.3037108999999</v>
      </c>
      <c r="K469">
        <v>0</v>
      </c>
      <c r="L469">
        <v>2400</v>
      </c>
      <c r="M469">
        <v>2400</v>
      </c>
      <c r="N469">
        <v>0</v>
      </c>
    </row>
    <row r="470" spans="1:14" x14ac:dyDescent="0.25">
      <c r="A470">
        <v>185.89609300000001</v>
      </c>
      <c r="B470" s="1">
        <f>DATE(2010,11,2) + TIME(21,30,22)</f>
        <v>40484.896087962959</v>
      </c>
      <c r="C470">
        <v>80</v>
      </c>
      <c r="D470">
        <v>79.361778259000005</v>
      </c>
      <c r="E470">
        <v>50</v>
      </c>
      <c r="F470">
        <v>45.951278686999999</v>
      </c>
      <c r="G470">
        <v>1298.4232178</v>
      </c>
      <c r="H470">
        <v>1286.1816406</v>
      </c>
      <c r="I470">
        <v>1417.2149658000001</v>
      </c>
      <c r="J470">
        <v>1396.0395507999999</v>
      </c>
      <c r="K470">
        <v>0</v>
      </c>
      <c r="L470">
        <v>2400</v>
      </c>
      <c r="M470">
        <v>2400</v>
      </c>
      <c r="N470">
        <v>0</v>
      </c>
    </row>
    <row r="471" spans="1:14" x14ac:dyDescent="0.25">
      <c r="A471">
        <v>186.01530099999999</v>
      </c>
      <c r="B471" s="1">
        <f>DATE(2010,11,3) + TIME(0,22,2)</f>
        <v>40485.015300925923</v>
      </c>
      <c r="C471">
        <v>80</v>
      </c>
      <c r="D471">
        <v>79.332763671999999</v>
      </c>
      <c r="E471">
        <v>50</v>
      </c>
      <c r="F471">
        <v>46.457530974999997</v>
      </c>
      <c r="G471">
        <v>1298.4178466999999</v>
      </c>
      <c r="H471">
        <v>1286.1751709</v>
      </c>
      <c r="I471">
        <v>1416.8000488</v>
      </c>
      <c r="J471">
        <v>1395.7856445</v>
      </c>
      <c r="K471">
        <v>0</v>
      </c>
      <c r="L471">
        <v>2400</v>
      </c>
      <c r="M471">
        <v>2400</v>
      </c>
      <c r="N471">
        <v>0</v>
      </c>
    </row>
    <row r="472" spans="1:14" x14ac:dyDescent="0.25">
      <c r="A472">
        <v>186.13737800000001</v>
      </c>
      <c r="B472" s="1">
        <f>DATE(2010,11,3) + TIME(3,17,49)</f>
        <v>40485.137372685182</v>
      </c>
      <c r="C472">
        <v>80</v>
      </c>
      <c r="D472">
        <v>79.303306579999997</v>
      </c>
      <c r="E472">
        <v>50</v>
      </c>
      <c r="F472">
        <v>46.908866881999998</v>
      </c>
      <c r="G472">
        <v>1298.4123535000001</v>
      </c>
      <c r="H472">
        <v>1286.168457</v>
      </c>
      <c r="I472">
        <v>1416.4130858999999</v>
      </c>
      <c r="J472">
        <v>1395.5400391000001</v>
      </c>
      <c r="K472">
        <v>0</v>
      </c>
      <c r="L472">
        <v>2400</v>
      </c>
      <c r="M472">
        <v>2400</v>
      </c>
      <c r="N472">
        <v>0</v>
      </c>
    </row>
    <row r="473" spans="1:14" x14ac:dyDescent="0.25">
      <c r="A473">
        <v>186.26286500000001</v>
      </c>
      <c r="B473" s="1">
        <f>DATE(2010,11,3) + TIME(6,18,31)</f>
        <v>40485.262858796297</v>
      </c>
      <c r="C473">
        <v>80</v>
      </c>
      <c r="D473">
        <v>79.273284911999994</v>
      </c>
      <c r="E473">
        <v>50</v>
      </c>
      <c r="F473">
        <v>47.311195374</v>
      </c>
      <c r="G473">
        <v>1298.4067382999999</v>
      </c>
      <c r="H473">
        <v>1286.1617432</v>
      </c>
      <c r="I473">
        <v>1416.0498047000001</v>
      </c>
      <c r="J473">
        <v>1395.3011475000001</v>
      </c>
      <c r="K473">
        <v>0</v>
      </c>
      <c r="L473">
        <v>2400</v>
      </c>
      <c r="M473">
        <v>2400</v>
      </c>
      <c r="N473">
        <v>0</v>
      </c>
    </row>
    <row r="474" spans="1:14" x14ac:dyDescent="0.25">
      <c r="A474">
        <v>186.39232100000001</v>
      </c>
      <c r="B474" s="1">
        <f>DATE(2010,11,3) + TIME(9,24,56)</f>
        <v>40485.392314814817</v>
      </c>
      <c r="C474">
        <v>80</v>
      </c>
      <c r="D474">
        <v>79.242599487000007</v>
      </c>
      <c r="E474">
        <v>50</v>
      </c>
      <c r="F474">
        <v>47.669521332000002</v>
      </c>
      <c r="G474">
        <v>1298.4008789</v>
      </c>
      <c r="H474">
        <v>1286.1546631000001</v>
      </c>
      <c r="I474">
        <v>1415.7067870999999</v>
      </c>
      <c r="J474">
        <v>1395.0676269999999</v>
      </c>
      <c r="K474">
        <v>0</v>
      </c>
      <c r="L474">
        <v>2400</v>
      </c>
      <c r="M474">
        <v>2400</v>
      </c>
      <c r="N474">
        <v>0</v>
      </c>
    </row>
    <row r="475" spans="1:14" x14ac:dyDescent="0.25">
      <c r="A475">
        <v>186.5264</v>
      </c>
      <c r="B475" s="1">
        <f>DATE(2010,11,3) + TIME(12,38,0)</f>
        <v>40485.526388888888</v>
      </c>
      <c r="C475">
        <v>80</v>
      </c>
      <c r="D475">
        <v>79.211105347</v>
      </c>
      <c r="E475">
        <v>50</v>
      </c>
      <c r="F475">
        <v>47.988307953000003</v>
      </c>
      <c r="G475">
        <v>1298.3948975000001</v>
      </c>
      <c r="H475">
        <v>1286.1474608999999</v>
      </c>
      <c r="I475">
        <v>1415.3811035000001</v>
      </c>
      <c r="J475">
        <v>1394.8383789</v>
      </c>
      <c r="K475">
        <v>0</v>
      </c>
      <c r="L475">
        <v>2400</v>
      </c>
      <c r="M475">
        <v>2400</v>
      </c>
      <c r="N475">
        <v>0</v>
      </c>
    </row>
    <row r="476" spans="1:14" x14ac:dyDescent="0.25">
      <c r="A476">
        <v>186.66580200000001</v>
      </c>
      <c r="B476" s="1">
        <f>DATE(2010,11,3) + TIME(15,58,45)</f>
        <v>40485.665798611109</v>
      </c>
      <c r="C476">
        <v>80</v>
      </c>
      <c r="D476">
        <v>79.178672790999997</v>
      </c>
      <c r="E476">
        <v>50</v>
      </c>
      <c r="F476">
        <v>48.271369933999999</v>
      </c>
      <c r="G476">
        <v>1298.3885498</v>
      </c>
      <c r="H476">
        <v>1286.1398925999999</v>
      </c>
      <c r="I476">
        <v>1415.0699463000001</v>
      </c>
      <c r="J476">
        <v>1394.6123047000001</v>
      </c>
      <c r="K476">
        <v>0</v>
      </c>
      <c r="L476">
        <v>2400</v>
      </c>
      <c r="M476">
        <v>2400</v>
      </c>
      <c r="N476">
        <v>0</v>
      </c>
    </row>
    <row r="477" spans="1:14" x14ac:dyDescent="0.25">
      <c r="A477">
        <v>186.811228</v>
      </c>
      <c r="B477" s="1">
        <f>DATE(2010,11,3) + TIME(19,28,10)</f>
        <v>40485.811226851853</v>
      </c>
      <c r="C477">
        <v>80</v>
      </c>
      <c r="D477">
        <v>79.145164489999999</v>
      </c>
      <c r="E477">
        <v>50</v>
      </c>
      <c r="F477">
        <v>48.521945952999999</v>
      </c>
      <c r="G477">
        <v>1298.3820800999999</v>
      </c>
      <c r="H477">
        <v>1286.1320800999999</v>
      </c>
      <c r="I477">
        <v>1414.7712402</v>
      </c>
      <c r="J477">
        <v>1394.3881836</v>
      </c>
      <c r="K477">
        <v>0</v>
      </c>
      <c r="L477">
        <v>2400</v>
      </c>
      <c r="M477">
        <v>2400</v>
      </c>
      <c r="N477">
        <v>0</v>
      </c>
    </row>
    <row r="478" spans="1:14" x14ac:dyDescent="0.25">
      <c r="A478">
        <v>186.96352899999999</v>
      </c>
      <c r="B478" s="1">
        <f>DATE(2010,11,3) + TIME(23,7,28)</f>
        <v>40485.963518518518</v>
      </c>
      <c r="C478">
        <v>80</v>
      </c>
      <c r="D478">
        <v>79.110420227000006</v>
      </c>
      <c r="E478">
        <v>50</v>
      </c>
      <c r="F478">
        <v>48.743034363</v>
      </c>
      <c r="G478">
        <v>1298.3752440999999</v>
      </c>
      <c r="H478">
        <v>1286.1239014</v>
      </c>
      <c r="I478">
        <v>1414.4827881000001</v>
      </c>
      <c r="J478">
        <v>1394.1651611</v>
      </c>
      <c r="K478">
        <v>0</v>
      </c>
      <c r="L478">
        <v>2400</v>
      </c>
      <c r="M478">
        <v>2400</v>
      </c>
      <c r="N478">
        <v>0</v>
      </c>
    </row>
    <row r="479" spans="1:14" x14ac:dyDescent="0.25">
      <c r="A479">
        <v>187.12372500000001</v>
      </c>
      <c r="B479" s="1">
        <f>DATE(2010,11,4) + TIME(2,58,9)</f>
        <v>40486.123715277776</v>
      </c>
      <c r="C479">
        <v>80</v>
      </c>
      <c r="D479">
        <v>79.074249268000003</v>
      </c>
      <c r="E479">
        <v>50</v>
      </c>
      <c r="F479">
        <v>48.937358856000003</v>
      </c>
      <c r="G479">
        <v>1298.3680420000001</v>
      </c>
      <c r="H479">
        <v>1286.1153564000001</v>
      </c>
      <c r="I479">
        <v>1414.2028809000001</v>
      </c>
      <c r="J479">
        <v>1393.9426269999999</v>
      </c>
      <c r="K479">
        <v>0</v>
      </c>
      <c r="L479">
        <v>2400</v>
      </c>
      <c r="M479">
        <v>2400</v>
      </c>
      <c r="N479">
        <v>0</v>
      </c>
    </row>
    <row r="480" spans="1:14" x14ac:dyDescent="0.25">
      <c r="A480">
        <v>187.29301000000001</v>
      </c>
      <c r="B480" s="1">
        <f>DATE(2010,11,4) + TIME(7,1,56)</f>
        <v>40486.293009259258</v>
      </c>
      <c r="C480">
        <v>80</v>
      </c>
      <c r="D480">
        <v>79.036430358999993</v>
      </c>
      <c r="E480">
        <v>50</v>
      </c>
      <c r="F480">
        <v>49.107376099</v>
      </c>
      <c r="G480">
        <v>1298.3604736</v>
      </c>
      <c r="H480">
        <v>1286.1063231999999</v>
      </c>
      <c r="I480">
        <v>1413.9295654</v>
      </c>
      <c r="J480">
        <v>1393.7192382999999</v>
      </c>
      <c r="K480">
        <v>0</v>
      </c>
      <c r="L480">
        <v>2400</v>
      </c>
      <c r="M480">
        <v>2400</v>
      </c>
      <c r="N480">
        <v>0</v>
      </c>
    </row>
    <row r="481" spans="1:14" x14ac:dyDescent="0.25">
      <c r="A481">
        <v>187.47280900000001</v>
      </c>
      <c r="B481" s="1">
        <f>DATE(2010,11,4) + TIME(11,20,50)</f>
        <v>40486.472800925927</v>
      </c>
      <c r="C481">
        <v>80</v>
      </c>
      <c r="D481">
        <v>78.996711731000005</v>
      </c>
      <c r="E481">
        <v>50</v>
      </c>
      <c r="F481">
        <v>49.255321502999998</v>
      </c>
      <c r="G481">
        <v>1298.3524170000001</v>
      </c>
      <c r="H481">
        <v>1286.0968018000001</v>
      </c>
      <c r="I481">
        <v>1413.6611327999999</v>
      </c>
      <c r="J481">
        <v>1393.4941406</v>
      </c>
      <c r="K481">
        <v>0</v>
      </c>
      <c r="L481">
        <v>2400</v>
      </c>
      <c r="M481">
        <v>2400</v>
      </c>
      <c r="N481">
        <v>0</v>
      </c>
    </row>
    <row r="482" spans="1:14" x14ac:dyDescent="0.25">
      <c r="A482">
        <v>187.66404600000001</v>
      </c>
      <c r="B482" s="1">
        <f>DATE(2010,11,4) + TIME(15,56,13)</f>
        <v>40486.664039351854</v>
      </c>
      <c r="C482">
        <v>80</v>
      </c>
      <c r="D482">
        <v>78.954933166999993</v>
      </c>
      <c r="E482">
        <v>50</v>
      </c>
      <c r="F482">
        <v>49.382804870999998</v>
      </c>
      <c r="G482">
        <v>1298.3438721</v>
      </c>
      <c r="H482">
        <v>1286.0866699000001</v>
      </c>
      <c r="I482">
        <v>1413.3959961</v>
      </c>
      <c r="J482">
        <v>1393.2663574000001</v>
      </c>
      <c r="K482">
        <v>0</v>
      </c>
      <c r="L482">
        <v>2400</v>
      </c>
      <c r="M482">
        <v>2400</v>
      </c>
      <c r="N482">
        <v>0</v>
      </c>
    </row>
    <row r="483" spans="1:14" x14ac:dyDescent="0.25">
      <c r="A483">
        <v>187.86736999999999</v>
      </c>
      <c r="B483" s="1">
        <f>DATE(2010,11,4) + TIME(20,49,0)</f>
        <v>40486.867361111108</v>
      </c>
      <c r="C483">
        <v>80</v>
      </c>
      <c r="D483">
        <v>78.910987853999998</v>
      </c>
      <c r="E483">
        <v>50</v>
      </c>
      <c r="F483">
        <v>49.491348266999999</v>
      </c>
      <c r="G483">
        <v>1298.3347168</v>
      </c>
      <c r="H483">
        <v>1286.0758057</v>
      </c>
      <c r="I483">
        <v>1413.1334228999999</v>
      </c>
      <c r="J483">
        <v>1393.0355225000001</v>
      </c>
      <c r="K483">
        <v>0</v>
      </c>
      <c r="L483">
        <v>2400</v>
      </c>
      <c r="M483">
        <v>2400</v>
      </c>
      <c r="N483">
        <v>0</v>
      </c>
    </row>
    <row r="484" spans="1:14" x14ac:dyDescent="0.25">
      <c r="A484">
        <v>188.08479299999999</v>
      </c>
      <c r="B484" s="1">
        <f>DATE(2010,11,5) + TIME(2,2,6)</f>
        <v>40487.084791666668</v>
      </c>
      <c r="C484">
        <v>80</v>
      </c>
      <c r="D484">
        <v>78.864524841000005</v>
      </c>
      <c r="E484">
        <v>50</v>
      </c>
      <c r="F484">
        <v>49.583080291999998</v>
      </c>
      <c r="G484">
        <v>1298.3249512</v>
      </c>
      <c r="H484">
        <v>1286.0643310999999</v>
      </c>
      <c r="I484">
        <v>1412.8726807</v>
      </c>
      <c r="J484">
        <v>1392.8018798999999</v>
      </c>
      <c r="K484">
        <v>0</v>
      </c>
      <c r="L484">
        <v>2400</v>
      </c>
      <c r="M484">
        <v>2400</v>
      </c>
      <c r="N484">
        <v>0</v>
      </c>
    </row>
    <row r="485" spans="1:14" x14ac:dyDescent="0.25">
      <c r="A485">
        <v>188.31740500000001</v>
      </c>
      <c r="B485" s="1">
        <f>DATE(2010,11,5) + TIME(7,37,3)</f>
        <v>40487.317395833335</v>
      </c>
      <c r="C485">
        <v>80</v>
      </c>
      <c r="D485">
        <v>78.815376282000003</v>
      </c>
      <c r="E485">
        <v>50</v>
      </c>
      <c r="F485">
        <v>49.659572601000001</v>
      </c>
      <c r="G485">
        <v>1298.3145752</v>
      </c>
      <c r="H485">
        <v>1286.0520019999999</v>
      </c>
      <c r="I485">
        <v>1412.6123047000001</v>
      </c>
      <c r="J485">
        <v>1392.5642089999999</v>
      </c>
      <c r="K485">
        <v>0</v>
      </c>
      <c r="L485">
        <v>2400</v>
      </c>
      <c r="M485">
        <v>2400</v>
      </c>
      <c r="N485">
        <v>0</v>
      </c>
    </row>
    <row r="486" spans="1:14" x14ac:dyDescent="0.25">
      <c r="A486">
        <v>188.55805899999999</v>
      </c>
      <c r="B486" s="1">
        <f>DATE(2010,11,5) + TIME(13,23,36)</f>
        <v>40487.558055555557</v>
      </c>
      <c r="C486">
        <v>80</v>
      </c>
      <c r="D486">
        <v>78.764686584000003</v>
      </c>
      <c r="E486">
        <v>50</v>
      </c>
      <c r="F486">
        <v>49.720844268999997</v>
      </c>
      <c r="G486">
        <v>1298.3032227000001</v>
      </c>
      <c r="H486">
        <v>1286.0388184000001</v>
      </c>
      <c r="I486">
        <v>1412.3525391000001</v>
      </c>
      <c r="J486">
        <v>1392.3227539</v>
      </c>
      <c r="K486">
        <v>0</v>
      </c>
      <c r="L486">
        <v>2400</v>
      </c>
      <c r="M486">
        <v>2400</v>
      </c>
      <c r="N486">
        <v>0</v>
      </c>
    </row>
    <row r="487" spans="1:14" x14ac:dyDescent="0.25">
      <c r="A487">
        <v>188.79953699999999</v>
      </c>
      <c r="B487" s="1">
        <f>DATE(2010,11,5) + TIME(19,11,19)</f>
        <v>40487.799525462964</v>
      </c>
      <c r="C487">
        <v>80</v>
      </c>
      <c r="D487">
        <v>78.713684082</v>
      </c>
      <c r="E487">
        <v>50</v>
      </c>
      <c r="F487">
        <v>49.768459319999998</v>
      </c>
      <c r="G487">
        <v>1298.2913818</v>
      </c>
      <c r="H487">
        <v>1286.0252685999999</v>
      </c>
      <c r="I487">
        <v>1412.1004639</v>
      </c>
      <c r="J487">
        <v>1392.0853271000001</v>
      </c>
      <c r="K487">
        <v>0</v>
      </c>
      <c r="L487">
        <v>2400</v>
      </c>
      <c r="M487">
        <v>2400</v>
      </c>
      <c r="N487">
        <v>0</v>
      </c>
    </row>
    <row r="488" spans="1:14" x14ac:dyDescent="0.25">
      <c r="A488">
        <v>189.043102</v>
      </c>
      <c r="B488" s="1">
        <f>DATE(2010,11,6) + TIME(1,2,4)</f>
        <v>40488.04310185185</v>
      </c>
      <c r="C488">
        <v>80</v>
      </c>
      <c r="D488">
        <v>78.662277222</v>
      </c>
      <c r="E488">
        <v>50</v>
      </c>
      <c r="F488">
        <v>49.805625915999997</v>
      </c>
      <c r="G488">
        <v>1298.2795410000001</v>
      </c>
      <c r="H488">
        <v>1286.0114745999999</v>
      </c>
      <c r="I488">
        <v>1411.8618164</v>
      </c>
      <c r="J488">
        <v>1391.8582764</v>
      </c>
      <c r="K488">
        <v>0</v>
      </c>
      <c r="L488">
        <v>2400</v>
      </c>
      <c r="M488">
        <v>2400</v>
      </c>
      <c r="N488">
        <v>0</v>
      </c>
    </row>
    <row r="489" spans="1:14" x14ac:dyDescent="0.25">
      <c r="A489">
        <v>189.28975199999999</v>
      </c>
      <c r="B489" s="1">
        <f>DATE(2010,11,6) + TIME(6,57,14)</f>
        <v>40488.28974537037</v>
      </c>
      <c r="C489">
        <v>80</v>
      </c>
      <c r="D489">
        <v>78.610359192000004</v>
      </c>
      <c r="E489">
        <v>50</v>
      </c>
      <c r="F489">
        <v>49.834716796999999</v>
      </c>
      <c r="G489">
        <v>1298.2674560999999</v>
      </c>
      <c r="H489">
        <v>1285.9975586</v>
      </c>
      <c r="I489">
        <v>1411.6339111</v>
      </c>
      <c r="J489">
        <v>1391.6397704999999</v>
      </c>
      <c r="K489">
        <v>0</v>
      </c>
      <c r="L489">
        <v>2400</v>
      </c>
      <c r="M489">
        <v>2400</v>
      </c>
      <c r="N489">
        <v>0</v>
      </c>
    </row>
    <row r="490" spans="1:14" x14ac:dyDescent="0.25">
      <c r="A490">
        <v>189.54065199999999</v>
      </c>
      <c r="B490" s="1">
        <f>DATE(2010,11,6) + TIME(12,58,32)</f>
        <v>40488.540648148148</v>
      </c>
      <c r="C490">
        <v>80</v>
      </c>
      <c r="D490">
        <v>78.557807921999995</v>
      </c>
      <c r="E490">
        <v>50</v>
      </c>
      <c r="F490">
        <v>49.857540131</v>
      </c>
      <c r="G490">
        <v>1298.2553711</v>
      </c>
      <c r="H490">
        <v>1285.9835204999999</v>
      </c>
      <c r="I490">
        <v>1411.4146728999999</v>
      </c>
      <c r="J490">
        <v>1391.4282227000001</v>
      </c>
      <c r="K490">
        <v>0</v>
      </c>
      <c r="L490">
        <v>2400</v>
      </c>
      <c r="M490">
        <v>2400</v>
      </c>
      <c r="N490">
        <v>0</v>
      </c>
    </row>
    <row r="491" spans="1:14" x14ac:dyDescent="0.25">
      <c r="A491">
        <v>189.79692900000001</v>
      </c>
      <c r="B491" s="1">
        <f>DATE(2010,11,6) + TIME(19,7,34)</f>
        <v>40488.7969212963</v>
      </c>
      <c r="C491">
        <v>80</v>
      </c>
      <c r="D491">
        <v>78.504455566000004</v>
      </c>
      <c r="E491">
        <v>50</v>
      </c>
      <c r="F491">
        <v>49.875473022000001</v>
      </c>
      <c r="G491">
        <v>1298.2429199000001</v>
      </c>
      <c r="H491">
        <v>1285.9691161999999</v>
      </c>
      <c r="I491">
        <v>1411.2023925999999</v>
      </c>
      <c r="J491">
        <v>1391.2225341999999</v>
      </c>
      <c r="K491">
        <v>0</v>
      </c>
      <c r="L491">
        <v>2400</v>
      </c>
      <c r="M491">
        <v>2400</v>
      </c>
      <c r="N491">
        <v>0</v>
      </c>
    </row>
    <row r="492" spans="1:14" x14ac:dyDescent="0.25">
      <c r="A492">
        <v>190.05982800000001</v>
      </c>
      <c r="B492" s="1">
        <f>DATE(2010,11,7) + TIME(1,26,9)</f>
        <v>40489.05982638889</v>
      </c>
      <c r="C492">
        <v>80</v>
      </c>
      <c r="D492">
        <v>78.450134277000004</v>
      </c>
      <c r="E492">
        <v>50</v>
      </c>
      <c r="F492">
        <v>49.889579773000001</v>
      </c>
      <c r="G492">
        <v>1298.2303466999999</v>
      </c>
      <c r="H492">
        <v>1285.9544678</v>
      </c>
      <c r="I492">
        <v>1410.9956055</v>
      </c>
      <c r="J492">
        <v>1391.0212402</v>
      </c>
      <c r="K492">
        <v>0</v>
      </c>
      <c r="L492">
        <v>2400</v>
      </c>
      <c r="M492">
        <v>2400</v>
      </c>
      <c r="N492">
        <v>0</v>
      </c>
    </row>
    <row r="493" spans="1:14" x14ac:dyDescent="0.25">
      <c r="A493">
        <v>190.33062699999999</v>
      </c>
      <c r="B493" s="1">
        <f>DATE(2010,11,7) + TIME(7,56,6)</f>
        <v>40489.330625000002</v>
      </c>
      <c r="C493">
        <v>80</v>
      </c>
      <c r="D493">
        <v>78.394645690999994</v>
      </c>
      <c r="E493">
        <v>50</v>
      </c>
      <c r="F493">
        <v>49.900676726999997</v>
      </c>
      <c r="G493">
        <v>1298.2172852000001</v>
      </c>
      <c r="H493">
        <v>1285.9394531</v>
      </c>
      <c r="I493">
        <v>1410.7930908000001</v>
      </c>
      <c r="J493">
        <v>1390.8233643000001</v>
      </c>
      <c r="K493">
        <v>0</v>
      </c>
      <c r="L493">
        <v>2400</v>
      </c>
      <c r="M493">
        <v>2400</v>
      </c>
      <c r="N493">
        <v>0</v>
      </c>
    </row>
    <row r="494" spans="1:14" x14ac:dyDescent="0.25">
      <c r="A494">
        <v>190.610726</v>
      </c>
      <c r="B494" s="1">
        <f>DATE(2010,11,7) + TIME(14,39,26)</f>
        <v>40489.610717592594</v>
      </c>
      <c r="C494">
        <v>80</v>
      </c>
      <c r="D494">
        <v>78.337760924999998</v>
      </c>
      <c r="E494">
        <v>50</v>
      </c>
      <c r="F494">
        <v>49.909412383999999</v>
      </c>
      <c r="G494">
        <v>1298.2039795000001</v>
      </c>
      <c r="H494">
        <v>1285.9238281</v>
      </c>
      <c r="I494">
        <v>1410.5935059000001</v>
      </c>
      <c r="J494">
        <v>1390.6280518000001</v>
      </c>
      <c r="K494">
        <v>0</v>
      </c>
      <c r="L494">
        <v>2400</v>
      </c>
      <c r="M494">
        <v>2400</v>
      </c>
      <c r="N494">
        <v>0</v>
      </c>
    </row>
    <row r="495" spans="1:14" x14ac:dyDescent="0.25">
      <c r="A495">
        <v>190.90168800000001</v>
      </c>
      <c r="B495" s="1">
        <f>DATE(2010,11,7) + TIME(21,38,25)</f>
        <v>40489.901678240742</v>
      </c>
      <c r="C495">
        <v>80</v>
      </c>
      <c r="D495">
        <v>78.279258728000002</v>
      </c>
      <c r="E495">
        <v>50</v>
      </c>
      <c r="F495">
        <v>49.916282654</v>
      </c>
      <c r="G495">
        <v>1298.1900635</v>
      </c>
      <c r="H495">
        <v>1285.9077147999999</v>
      </c>
      <c r="I495">
        <v>1410.3959961</v>
      </c>
      <c r="J495">
        <v>1390.4342041</v>
      </c>
      <c r="K495">
        <v>0</v>
      </c>
      <c r="L495">
        <v>2400</v>
      </c>
      <c r="M495">
        <v>2400</v>
      </c>
      <c r="N495">
        <v>0</v>
      </c>
    </row>
    <row r="496" spans="1:14" x14ac:dyDescent="0.25">
      <c r="A496">
        <v>191.205297</v>
      </c>
      <c r="B496" s="1">
        <f>DATE(2010,11,8) + TIME(4,55,37)</f>
        <v>40490.205289351848</v>
      </c>
      <c r="C496">
        <v>80</v>
      </c>
      <c r="D496">
        <v>78.218841553000004</v>
      </c>
      <c r="E496">
        <v>50</v>
      </c>
      <c r="F496">
        <v>49.921688080000003</v>
      </c>
      <c r="G496">
        <v>1298.1756591999999</v>
      </c>
      <c r="H496">
        <v>1285.8909911999999</v>
      </c>
      <c r="I496">
        <v>1410.1994629000001</v>
      </c>
      <c r="J496">
        <v>1390.2410889</v>
      </c>
      <c r="K496">
        <v>0</v>
      </c>
      <c r="L496">
        <v>2400</v>
      </c>
      <c r="M496">
        <v>2400</v>
      </c>
      <c r="N496">
        <v>0</v>
      </c>
    </row>
    <row r="497" spans="1:14" x14ac:dyDescent="0.25">
      <c r="A497">
        <v>191.523627</v>
      </c>
      <c r="B497" s="1">
        <f>DATE(2010,11,8) + TIME(12,34,1)</f>
        <v>40490.523622685185</v>
      </c>
      <c r="C497">
        <v>80</v>
      </c>
      <c r="D497">
        <v>78.156204224000007</v>
      </c>
      <c r="E497">
        <v>50</v>
      </c>
      <c r="F497">
        <v>49.925945282000001</v>
      </c>
      <c r="G497">
        <v>1298.1605225000001</v>
      </c>
      <c r="H497">
        <v>1285.8734131000001</v>
      </c>
      <c r="I497">
        <v>1410.0029297000001</v>
      </c>
      <c r="J497">
        <v>1390.0478516000001</v>
      </c>
      <c r="K497">
        <v>0</v>
      </c>
      <c r="L497">
        <v>2400</v>
      </c>
      <c r="M497">
        <v>2400</v>
      </c>
      <c r="N497">
        <v>0</v>
      </c>
    </row>
    <row r="498" spans="1:14" x14ac:dyDescent="0.25">
      <c r="A498">
        <v>191.85861700000001</v>
      </c>
      <c r="B498" s="1">
        <f>DATE(2010,11,8) + TIME(20,36,24)</f>
        <v>40490.858611111114</v>
      </c>
      <c r="C498">
        <v>80</v>
      </c>
      <c r="D498">
        <v>78.091033936000002</v>
      </c>
      <c r="E498">
        <v>50</v>
      </c>
      <c r="F498">
        <v>49.929290770999998</v>
      </c>
      <c r="G498">
        <v>1298.1446533000001</v>
      </c>
      <c r="H498">
        <v>1285.8551024999999</v>
      </c>
      <c r="I498">
        <v>1409.8055420000001</v>
      </c>
      <c r="J498">
        <v>1389.8536377</v>
      </c>
      <c r="K498">
        <v>0</v>
      </c>
      <c r="L498">
        <v>2400</v>
      </c>
      <c r="M498">
        <v>2400</v>
      </c>
      <c r="N498">
        <v>0</v>
      </c>
    </row>
    <row r="499" spans="1:14" x14ac:dyDescent="0.25">
      <c r="A499">
        <v>192.211805</v>
      </c>
      <c r="B499" s="1">
        <f>DATE(2010,11,9) + TIME(5,4,59)</f>
        <v>40491.211793981478</v>
      </c>
      <c r="C499">
        <v>80</v>
      </c>
      <c r="D499">
        <v>78.023094177000004</v>
      </c>
      <c r="E499">
        <v>50</v>
      </c>
      <c r="F499">
        <v>49.931919098000002</v>
      </c>
      <c r="G499">
        <v>1298.1278076000001</v>
      </c>
      <c r="H499">
        <v>1285.8356934000001</v>
      </c>
      <c r="I499">
        <v>1409.6065673999999</v>
      </c>
      <c r="J499">
        <v>1389.6578368999999</v>
      </c>
      <c r="K499">
        <v>0</v>
      </c>
      <c r="L499">
        <v>2400</v>
      </c>
      <c r="M499">
        <v>2400</v>
      </c>
      <c r="N499">
        <v>0</v>
      </c>
    </row>
    <row r="500" spans="1:14" x14ac:dyDescent="0.25">
      <c r="A500">
        <v>192.585363</v>
      </c>
      <c r="B500" s="1">
        <f>DATE(2010,11,9) + TIME(14,2,55)</f>
        <v>40491.585358796299</v>
      </c>
      <c r="C500">
        <v>80</v>
      </c>
      <c r="D500">
        <v>77.952056885000005</v>
      </c>
      <c r="E500">
        <v>50</v>
      </c>
      <c r="F500">
        <v>49.933986664000003</v>
      </c>
      <c r="G500">
        <v>1298.1101074000001</v>
      </c>
      <c r="H500">
        <v>1285.8151855000001</v>
      </c>
      <c r="I500">
        <v>1409.4056396000001</v>
      </c>
      <c r="J500">
        <v>1389.4600829999999</v>
      </c>
      <c r="K500">
        <v>0</v>
      </c>
      <c r="L500">
        <v>2400</v>
      </c>
      <c r="M500">
        <v>2400</v>
      </c>
      <c r="N500">
        <v>0</v>
      </c>
    </row>
    <row r="501" spans="1:14" x14ac:dyDescent="0.25">
      <c r="A501">
        <v>192.96923699999999</v>
      </c>
      <c r="B501" s="1">
        <f>DATE(2010,11,9) + TIME(23,15,42)</f>
        <v>40491.969236111108</v>
      </c>
      <c r="C501">
        <v>80</v>
      </c>
      <c r="D501">
        <v>77.879180907999995</v>
      </c>
      <c r="E501">
        <v>50</v>
      </c>
      <c r="F501">
        <v>49.935577393000003</v>
      </c>
      <c r="G501">
        <v>1298.0913086</v>
      </c>
      <c r="H501">
        <v>1285.7935791</v>
      </c>
      <c r="I501">
        <v>1409.2022704999999</v>
      </c>
      <c r="J501">
        <v>1389.2597656</v>
      </c>
      <c r="K501">
        <v>0</v>
      </c>
      <c r="L501">
        <v>2400</v>
      </c>
      <c r="M501">
        <v>2400</v>
      </c>
      <c r="N501">
        <v>0</v>
      </c>
    </row>
    <row r="502" spans="1:14" x14ac:dyDescent="0.25">
      <c r="A502">
        <v>193.35369399999999</v>
      </c>
      <c r="B502" s="1">
        <f>DATE(2010,11,10) + TIME(8,29,19)</f>
        <v>40492.353692129633</v>
      </c>
      <c r="C502">
        <v>80</v>
      </c>
      <c r="D502">
        <v>77.805877686000002</v>
      </c>
      <c r="E502">
        <v>50</v>
      </c>
      <c r="F502">
        <v>49.936786652000002</v>
      </c>
      <c r="G502">
        <v>1298.0716553</v>
      </c>
      <c r="H502">
        <v>1285.7712402</v>
      </c>
      <c r="I502">
        <v>1409.0020752</v>
      </c>
      <c r="J502">
        <v>1389.0627440999999</v>
      </c>
      <c r="K502">
        <v>0</v>
      </c>
      <c r="L502">
        <v>2400</v>
      </c>
      <c r="M502">
        <v>2400</v>
      </c>
      <c r="N502">
        <v>0</v>
      </c>
    </row>
    <row r="503" spans="1:14" x14ac:dyDescent="0.25">
      <c r="A503">
        <v>193.74079599999999</v>
      </c>
      <c r="B503" s="1">
        <f>DATE(2010,11,10) + TIME(17,46,44)</f>
        <v>40492.740787037037</v>
      </c>
      <c r="C503">
        <v>80</v>
      </c>
      <c r="D503">
        <v>77.732162475999999</v>
      </c>
      <c r="E503">
        <v>50</v>
      </c>
      <c r="F503">
        <v>49.937721252000003</v>
      </c>
      <c r="G503">
        <v>1298.052124</v>
      </c>
      <c r="H503">
        <v>1285.7487793</v>
      </c>
      <c r="I503">
        <v>1408.8100586</v>
      </c>
      <c r="J503">
        <v>1388.8739014</v>
      </c>
      <c r="K503">
        <v>0</v>
      </c>
      <c r="L503">
        <v>2400</v>
      </c>
      <c r="M503">
        <v>2400</v>
      </c>
      <c r="N503">
        <v>0</v>
      </c>
    </row>
    <row r="504" spans="1:14" x14ac:dyDescent="0.25">
      <c r="A504">
        <v>194.13247899999999</v>
      </c>
      <c r="B504" s="1">
        <f>DATE(2010,11,11) + TIME(3,10,46)</f>
        <v>40493.132476851853</v>
      </c>
      <c r="C504">
        <v>80</v>
      </c>
      <c r="D504">
        <v>77.657928467000005</v>
      </c>
      <c r="E504">
        <v>50</v>
      </c>
      <c r="F504">
        <v>49.938457489000001</v>
      </c>
      <c r="G504">
        <v>1298.0323486</v>
      </c>
      <c r="H504">
        <v>1285.7260742000001</v>
      </c>
      <c r="I504">
        <v>1408.6245117000001</v>
      </c>
      <c r="J504">
        <v>1388.6914062000001</v>
      </c>
      <c r="K504">
        <v>0</v>
      </c>
      <c r="L504">
        <v>2400</v>
      </c>
      <c r="M504">
        <v>2400</v>
      </c>
      <c r="N504">
        <v>0</v>
      </c>
    </row>
    <row r="505" spans="1:14" x14ac:dyDescent="0.25">
      <c r="A505">
        <v>194.530619</v>
      </c>
      <c r="B505" s="1">
        <f>DATE(2010,11,11) + TIME(12,44,5)</f>
        <v>40493.530613425923</v>
      </c>
      <c r="C505">
        <v>80</v>
      </c>
      <c r="D505">
        <v>77.583015442000004</v>
      </c>
      <c r="E505">
        <v>50</v>
      </c>
      <c r="F505">
        <v>49.939048767000003</v>
      </c>
      <c r="G505">
        <v>1298.012207</v>
      </c>
      <c r="H505">
        <v>1285.703125</v>
      </c>
      <c r="I505">
        <v>1408.4442139</v>
      </c>
      <c r="J505">
        <v>1388.5142822</v>
      </c>
      <c r="K505">
        <v>0</v>
      </c>
      <c r="L505">
        <v>2400</v>
      </c>
      <c r="M505">
        <v>2400</v>
      </c>
      <c r="N505">
        <v>0</v>
      </c>
    </row>
    <row r="506" spans="1:14" x14ac:dyDescent="0.25">
      <c r="A506">
        <v>194.93720200000001</v>
      </c>
      <c r="B506" s="1">
        <f>DATE(2010,11,11) + TIME(22,29,34)</f>
        <v>40493.937199074076</v>
      </c>
      <c r="C506">
        <v>80</v>
      </c>
      <c r="D506">
        <v>77.50718689</v>
      </c>
      <c r="E506">
        <v>50</v>
      </c>
      <c r="F506">
        <v>49.939525604000004</v>
      </c>
      <c r="G506">
        <v>1297.9918213000001</v>
      </c>
      <c r="H506">
        <v>1285.6795654</v>
      </c>
      <c r="I506">
        <v>1408.2679443</v>
      </c>
      <c r="J506">
        <v>1388.3410644999999</v>
      </c>
      <c r="K506">
        <v>0</v>
      </c>
      <c r="L506">
        <v>2400</v>
      </c>
      <c r="M506">
        <v>2400</v>
      </c>
      <c r="N506">
        <v>0</v>
      </c>
    </row>
    <row r="507" spans="1:14" x14ac:dyDescent="0.25">
      <c r="A507">
        <v>195.35424900000001</v>
      </c>
      <c r="B507" s="1">
        <f>DATE(2010,11,12) + TIME(8,30,7)</f>
        <v>40494.354247685187</v>
      </c>
      <c r="C507">
        <v>80</v>
      </c>
      <c r="D507">
        <v>77.430191039999997</v>
      </c>
      <c r="E507">
        <v>50</v>
      </c>
      <c r="F507">
        <v>49.939922332999998</v>
      </c>
      <c r="G507">
        <v>1297.9709473</v>
      </c>
      <c r="H507">
        <v>1285.6555175999999</v>
      </c>
      <c r="I507">
        <v>1408.0947266000001</v>
      </c>
      <c r="J507">
        <v>1388.1710204999999</v>
      </c>
      <c r="K507">
        <v>0</v>
      </c>
      <c r="L507">
        <v>2400</v>
      </c>
      <c r="M507">
        <v>2400</v>
      </c>
      <c r="N507">
        <v>0</v>
      </c>
    </row>
    <row r="508" spans="1:14" x14ac:dyDescent="0.25">
      <c r="A508">
        <v>195.783941</v>
      </c>
      <c r="B508" s="1">
        <f>DATE(2010,11,12) + TIME(18,48,52)</f>
        <v>40494.783935185187</v>
      </c>
      <c r="C508">
        <v>80</v>
      </c>
      <c r="D508">
        <v>77.351730347</v>
      </c>
      <c r="E508">
        <v>50</v>
      </c>
      <c r="F508">
        <v>49.940254211000003</v>
      </c>
      <c r="G508">
        <v>1297.9494629000001</v>
      </c>
      <c r="H508">
        <v>1285.6308594</v>
      </c>
      <c r="I508">
        <v>1407.9235839999999</v>
      </c>
      <c r="J508">
        <v>1388.0031738</v>
      </c>
      <c r="K508">
        <v>0</v>
      </c>
      <c r="L508">
        <v>2400</v>
      </c>
      <c r="M508">
        <v>2400</v>
      </c>
      <c r="N508">
        <v>0</v>
      </c>
    </row>
    <row r="509" spans="1:14" x14ac:dyDescent="0.25">
      <c r="A509">
        <v>196.22868800000001</v>
      </c>
      <c r="B509" s="1">
        <f>DATE(2010,11,13) + TIME(5,29,18)</f>
        <v>40495.228680555556</v>
      </c>
      <c r="C509">
        <v>80</v>
      </c>
      <c r="D509">
        <v>77.271461486999996</v>
      </c>
      <c r="E509">
        <v>50</v>
      </c>
      <c r="F509">
        <v>49.940532683999997</v>
      </c>
      <c r="G509">
        <v>1297.9272461</v>
      </c>
      <c r="H509">
        <v>1285.6053466999999</v>
      </c>
      <c r="I509">
        <v>1407.7537841999999</v>
      </c>
      <c r="J509">
        <v>1387.8367920000001</v>
      </c>
      <c r="K509">
        <v>0</v>
      </c>
      <c r="L509">
        <v>2400</v>
      </c>
      <c r="M509">
        <v>2400</v>
      </c>
      <c r="N509">
        <v>0</v>
      </c>
    </row>
    <row r="510" spans="1:14" x14ac:dyDescent="0.25">
      <c r="A510">
        <v>196.691058</v>
      </c>
      <c r="B510" s="1">
        <f>DATE(2010,11,13) + TIME(16,35,7)</f>
        <v>40495.691053240742</v>
      </c>
      <c r="C510">
        <v>80</v>
      </c>
      <c r="D510">
        <v>77.189033507999994</v>
      </c>
      <c r="E510">
        <v>50</v>
      </c>
      <c r="F510">
        <v>49.940773010000001</v>
      </c>
      <c r="G510">
        <v>1297.9041748</v>
      </c>
      <c r="H510">
        <v>1285.5787353999999</v>
      </c>
      <c r="I510">
        <v>1407.5845947</v>
      </c>
      <c r="J510">
        <v>1387.6708983999999</v>
      </c>
      <c r="K510">
        <v>0</v>
      </c>
      <c r="L510">
        <v>2400</v>
      </c>
      <c r="M510">
        <v>2400</v>
      </c>
      <c r="N510">
        <v>0</v>
      </c>
    </row>
    <row r="511" spans="1:14" x14ac:dyDescent="0.25">
      <c r="A511">
        <v>197.17284599999999</v>
      </c>
      <c r="B511" s="1">
        <f>DATE(2010,11,14) + TIME(4,8,53)</f>
        <v>40496.172835648147</v>
      </c>
      <c r="C511">
        <v>80</v>
      </c>
      <c r="D511">
        <v>77.104156493999994</v>
      </c>
      <c r="E511">
        <v>50</v>
      </c>
      <c r="F511">
        <v>49.940979003999999</v>
      </c>
      <c r="G511">
        <v>1297.8800048999999</v>
      </c>
      <c r="H511">
        <v>1285.5511475000001</v>
      </c>
      <c r="I511">
        <v>1407.4150391000001</v>
      </c>
      <c r="J511">
        <v>1387.5050048999999</v>
      </c>
      <c r="K511">
        <v>0</v>
      </c>
      <c r="L511">
        <v>2400</v>
      </c>
      <c r="M511">
        <v>2400</v>
      </c>
      <c r="N511">
        <v>0</v>
      </c>
    </row>
    <row r="512" spans="1:14" x14ac:dyDescent="0.25">
      <c r="A512">
        <v>197.67570900000001</v>
      </c>
      <c r="B512" s="1">
        <f>DATE(2010,11,14) + TIME(16,13,1)</f>
        <v>40496.675706018519</v>
      </c>
      <c r="C512">
        <v>80</v>
      </c>
      <c r="D512">
        <v>77.016586304</v>
      </c>
      <c r="E512">
        <v>50</v>
      </c>
      <c r="F512">
        <v>49.941162108999997</v>
      </c>
      <c r="G512">
        <v>1297.8548584</v>
      </c>
      <c r="H512">
        <v>1285.5222168</v>
      </c>
      <c r="I512">
        <v>1407.2449951000001</v>
      </c>
      <c r="J512">
        <v>1387.338501</v>
      </c>
      <c r="K512">
        <v>0</v>
      </c>
      <c r="L512">
        <v>2400</v>
      </c>
      <c r="M512">
        <v>2400</v>
      </c>
      <c r="N512">
        <v>0</v>
      </c>
    </row>
    <row r="513" spans="1:14" x14ac:dyDescent="0.25">
      <c r="A513">
        <v>198.20246900000001</v>
      </c>
      <c r="B513" s="1">
        <f>DATE(2010,11,15) + TIME(4,51,33)</f>
        <v>40497.202465277776</v>
      </c>
      <c r="C513">
        <v>80</v>
      </c>
      <c r="D513">
        <v>76.925971985000004</v>
      </c>
      <c r="E513">
        <v>50</v>
      </c>
      <c r="F513">
        <v>49.941322327000002</v>
      </c>
      <c r="G513">
        <v>1297.8284911999999</v>
      </c>
      <c r="H513">
        <v>1285.4918213000001</v>
      </c>
      <c r="I513">
        <v>1407.0739745999999</v>
      </c>
      <c r="J513">
        <v>1387.1713867000001</v>
      </c>
      <c r="K513">
        <v>0</v>
      </c>
      <c r="L513">
        <v>2400</v>
      </c>
      <c r="M513">
        <v>2400</v>
      </c>
      <c r="N513">
        <v>0</v>
      </c>
    </row>
    <row r="514" spans="1:14" x14ac:dyDescent="0.25">
      <c r="A514">
        <v>198.73580899999999</v>
      </c>
      <c r="B514" s="1">
        <f>DATE(2010,11,15) + TIME(17,39,33)</f>
        <v>40497.735798611109</v>
      </c>
      <c r="C514">
        <v>80</v>
      </c>
      <c r="D514">
        <v>76.834045410000002</v>
      </c>
      <c r="E514">
        <v>50</v>
      </c>
      <c r="F514">
        <v>49.941459655999999</v>
      </c>
      <c r="G514">
        <v>1297.8005370999999</v>
      </c>
      <c r="H514">
        <v>1285.4600829999999</v>
      </c>
      <c r="I514">
        <v>1406.9016113</v>
      </c>
      <c r="J514">
        <v>1387.0029297000001</v>
      </c>
      <c r="K514">
        <v>0</v>
      </c>
      <c r="L514">
        <v>2400</v>
      </c>
      <c r="M514">
        <v>2400</v>
      </c>
      <c r="N514">
        <v>0</v>
      </c>
    </row>
    <row r="515" spans="1:14" x14ac:dyDescent="0.25">
      <c r="A515">
        <v>199.27100999999999</v>
      </c>
      <c r="B515" s="1">
        <f>DATE(2010,11,16) + TIME(6,30,15)</f>
        <v>40498.271006944444</v>
      </c>
      <c r="C515">
        <v>80</v>
      </c>
      <c r="D515">
        <v>76.741714478000006</v>
      </c>
      <c r="E515">
        <v>50</v>
      </c>
      <c r="F515">
        <v>49.941577911000003</v>
      </c>
      <c r="G515">
        <v>1297.7720947</v>
      </c>
      <c r="H515">
        <v>1285.4276123</v>
      </c>
      <c r="I515">
        <v>1406.7335204999999</v>
      </c>
      <c r="J515">
        <v>1386.8387451000001</v>
      </c>
      <c r="K515">
        <v>0</v>
      </c>
      <c r="L515">
        <v>2400</v>
      </c>
      <c r="M515">
        <v>2400</v>
      </c>
      <c r="N515">
        <v>0</v>
      </c>
    </row>
    <row r="516" spans="1:14" x14ac:dyDescent="0.25">
      <c r="A516">
        <v>199.81081399999999</v>
      </c>
      <c r="B516" s="1">
        <f>DATE(2010,11,16) + TIME(19,27,34)</f>
        <v>40498.810810185183</v>
      </c>
      <c r="C516">
        <v>80</v>
      </c>
      <c r="D516">
        <v>76.649017334000007</v>
      </c>
      <c r="E516">
        <v>50</v>
      </c>
      <c r="F516">
        <v>49.941684723000002</v>
      </c>
      <c r="G516">
        <v>1297.7435303</v>
      </c>
      <c r="H516">
        <v>1285.3948975000001</v>
      </c>
      <c r="I516">
        <v>1406.5710449000001</v>
      </c>
      <c r="J516">
        <v>1386.6801757999999</v>
      </c>
      <c r="K516">
        <v>0</v>
      </c>
      <c r="L516">
        <v>2400</v>
      </c>
      <c r="M516">
        <v>2400</v>
      </c>
      <c r="N516">
        <v>0</v>
      </c>
    </row>
    <row r="517" spans="1:14" x14ac:dyDescent="0.25">
      <c r="A517">
        <v>200.357901</v>
      </c>
      <c r="B517" s="1">
        <f>DATE(2010,11,17) + TIME(8,35,22)</f>
        <v>40499.357893518521</v>
      </c>
      <c r="C517">
        <v>80</v>
      </c>
      <c r="D517">
        <v>76.555854796999995</v>
      </c>
      <c r="E517">
        <v>50</v>
      </c>
      <c r="F517">
        <v>49.941780090000002</v>
      </c>
      <c r="G517">
        <v>1297.7144774999999</v>
      </c>
      <c r="H517">
        <v>1285.3616943</v>
      </c>
      <c r="I517">
        <v>1406.4129639</v>
      </c>
      <c r="J517">
        <v>1386.526001</v>
      </c>
      <c r="K517">
        <v>0</v>
      </c>
      <c r="L517">
        <v>2400</v>
      </c>
      <c r="M517">
        <v>2400</v>
      </c>
      <c r="N517">
        <v>0</v>
      </c>
    </row>
    <row r="518" spans="1:14" x14ac:dyDescent="0.25">
      <c r="A518">
        <v>200.91502500000001</v>
      </c>
      <c r="B518" s="1">
        <f>DATE(2010,11,17) + TIME(21,57,38)</f>
        <v>40499.915023148147</v>
      </c>
      <c r="C518">
        <v>80</v>
      </c>
      <c r="D518">
        <v>76.461967467999997</v>
      </c>
      <c r="E518">
        <v>50</v>
      </c>
      <c r="F518">
        <v>49.941867827999999</v>
      </c>
      <c r="G518">
        <v>1297.6850586</v>
      </c>
      <c r="H518">
        <v>1285.3278809000001</v>
      </c>
      <c r="I518">
        <v>1406.2583007999999</v>
      </c>
      <c r="J518">
        <v>1386.3752440999999</v>
      </c>
      <c r="K518">
        <v>0</v>
      </c>
      <c r="L518">
        <v>2400</v>
      </c>
      <c r="M518">
        <v>2400</v>
      </c>
      <c r="N518">
        <v>0</v>
      </c>
    </row>
    <row r="519" spans="1:14" x14ac:dyDescent="0.25">
      <c r="A519">
        <v>201.484981</v>
      </c>
      <c r="B519" s="1">
        <f>DATE(2010,11,18) + TIME(11,38,22)</f>
        <v>40500.484976851854</v>
      </c>
      <c r="C519">
        <v>80</v>
      </c>
      <c r="D519">
        <v>76.367042541999993</v>
      </c>
      <c r="E519">
        <v>50</v>
      </c>
      <c r="F519">
        <v>49.941947937000002</v>
      </c>
      <c r="G519">
        <v>1297.6549072</v>
      </c>
      <c r="H519">
        <v>1285.2932129000001</v>
      </c>
      <c r="I519">
        <v>1406.1062012</v>
      </c>
      <c r="J519">
        <v>1386.2271728999999</v>
      </c>
      <c r="K519">
        <v>0</v>
      </c>
      <c r="L519">
        <v>2400</v>
      </c>
      <c r="M519">
        <v>2400</v>
      </c>
      <c r="N519">
        <v>0</v>
      </c>
    </row>
    <row r="520" spans="1:14" x14ac:dyDescent="0.25">
      <c r="A520">
        <v>202.070761</v>
      </c>
      <c r="B520" s="1">
        <f>DATE(2010,11,19) + TIME(1,41,53)</f>
        <v>40501.070752314816</v>
      </c>
      <c r="C520">
        <v>80</v>
      </c>
      <c r="D520">
        <v>76.270721436000002</v>
      </c>
      <c r="E520">
        <v>50</v>
      </c>
      <c r="F520">
        <v>49.942024230999998</v>
      </c>
      <c r="G520">
        <v>1297.6237793</v>
      </c>
      <c r="H520">
        <v>1285.2576904</v>
      </c>
      <c r="I520">
        <v>1405.9559326000001</v>
      </c>
      <c r="J520">
        <v>1386.0808105000001</v>
      </c>
      <c r="K520">
        <v>0</v>
      </c>
      <c r="L520">
        <v>2400</v>
      </c>
      <c r="M520">
        <v>2400</v>
      </c>
      <c r="N520">
        <v>0</v>
      </c>
    </row>
    <row r="521" spans="1:14" x14ac:dyDescent="0.25">
      <c r="A521">
        <v>202.67564999999999</v>
      </c>
      <c r="B521" s="1">
        <f>DATE(2010,11,19) + TIME(16,12,56)</f>
        <v>40501.67564814815</v>
      </c>
      <c r="C521">
        <v>80</v>
      </c>
      <c r="D521">
        <v>76.172584533999995</v>
      </c>
      <c r="E521">
        <v>50</v>
      </c>
      <c r="F521">
        <v>49.942100525000001</v>
      </c>
      <c r="G521">
        <v>1297.5917969</v>
      </c>
      <c r="H521">
        <v>1285.2208252</v>
      </c>
      <c r="I521">
        <v>1405.8065185999999</v>
      </c>
      <c r="J521">
        <v>1385.9355469</v>
      </c>
      <c r="K521">
        <v>0</v>
      </c>
      <c r="L521">
        <v>2400</v>
      </c>
      <c r="M521">
        <v>2400</v>
      </c>
      <c r="N521">
        <v>0</v>
      </c>
    </row>
    <row r="522" spans="1:14" x14ac:dyDescent="0.25">
      <c r="A522">
        <v>203.302741</v>
      </c>
      <c r="B522" s="1">
        <f>DATE(2010,11,20) + TIME(7,15,56)</f>
        <v>40502.302731481483</v>
      </c>
      <c r="C522">
        <v>80</v>
      </c>
      <c r="D522">
        <v>76.072227478000002</v>
      </c>
      <c r="E522">
        <v>50</v>
      </c>
      <c r="F522">
        <v>49.942169188999998</v>
      </c>
      <c r="G522">
        <v>1297.5584716999999</v>
      </c>
      <c r="H522">
        <v>1285.1826172000001</v>
      </c>
      <c r="I522">
        <v>1405.6574707</v>
      </c>
      <c r="J522">
        <v>1385.7906493999999</v>
      </c>
      <c r="K522">
        <v>0</v>
      </c>
      <c r="L522">
        <v>2400</v>
      </c>
      <c r="M522">
        <v>2400</v>
      </c>
      <c r="N522">
        <v>0</v>
      </c>
    </row>
    <row r="523" spans="1:14" x14ac:dyDescent="0.25">
      <c r="A523">
        <v>203.95317</v>
      </c>
      <c r="B523" s="1">
        <f>DATE(2010,11,20) + TIME(22,52,33)</f>
        <v>40502.953159722223</v>
      </c>
      <c r="C523">
        <v>80</v>
      </c>
      <c r="D523">
        <v>75.969421386999997</v>
      </c>
      <c r="E523">
        <v>50</v>
      </c>
      <c r="F523">
        <v>49.942241668999998</v>
      </c>
      <c r="G523">
        <v>1297.5238036999999</v>
      </c>
      <c r="H523">
        <v>1285.1427002</v>
      </c>
      <c r="I523">
        <v>1405.5081786999999</v>
      </c>
      <c r="J523">
        <v>1385.6455077999999</v>
      </c>
      <c r="K523">
        <v>0</v>
      </c>
      <c r="L523">
        <v>2400</v>
      </c>
      <c r="M523">
        <v>2400</v>
      </c>
      <c r="N523">
        <v>0</v>
      </c>
    </row>
    <row r="524" spans="1:14" x14ac:dyDescent="0.25">
      <c r="A524">
        <v>204.62949399999999</v>
      </c>
      <c r="B524" s="1">
        <f>DATE(2010,11,21) + TIME(15,6,28)</f>
        <v>40503.629490740743</v>
      </c>
      <c r="C524">
        <v>80</v>
      </c>
      <c r="D524">
        <v>75.863868713000002</v>
      </c>
      <c r="E524">
        <v>50</v>
      </c>
      <c r="F524">
        <v>49.942314148000001</v>
      </c>
      <c r="G524">
        <v>1297.4875488</v>
      </c>
      <c r="H524">
        <v>1285.1009521000001</v>
      </c>
      <c r="I524">
        <v>1405.3583983999999</v>
      </c>
      <c r="J524">
        <v>1385.5001221</v>
      </c>
      <c r="K524">
        <v>0</v>
      </c>
      <c r="L524">
        <v>2400</v>
      </c>
      <c r="M524">
        <v>2400</v>
      </c>
      <c r="N524">
        <v>0</v>
      </c>
    </row>
    <row r="525" spans="1:14" x14ac:dyDescent="0.25">
      <c r="A525">
        <v>205.32197600000001</v>
      </c>
      <c r="B525" s="1">
        <f>DATE(2010,11,22) + TIME(7,43,38)</f>
        <v>40504.321967592594</v>
      </c>
      <c r="C525">
        <v>80</v>
      </c>
      <c r="D525">
        <v>75.756324767999999</v>
      </c>
      <c r="E525">
        <v>50</v>
      </c>
      <c r="F525">
        <v>49.942382811999998</v>
      </c>
      <c r="G525">
        <v>1297.4494629000001</v>
      </c>
      <c r="H525">
        <v>1285.0573730000001</v>
      </c>
      <c r="I525">
        <v>1405.2080077999999</v>
      </c>
      <c r="J525">
        <v>1385.3542480000001</v>
      </c>
      <c r="K525">
        <v>0</v>
      </c>
      <c r="L525">
        <v>2400</v>
      </c>
      <c r="M525">
        <v>2400</v>
      </c>
      <c r="N525">
        <v>0</v>
      </c>
    </row>
    <row r="526" spans="1:14" x14ac:dyDescent="0.25">
      <c r="A526">
        <v>206.015613</v>
      </c>
      <c r="B526" s="1">
        <f>DATE(2010,11,23) + TIME(0,22,28)</f>
        <v>40505.015601851854</v>
      </c>
      <c r="C526">
        <v>80</v>
      </c>
      <c r="D526">
        <v>75.648361206000004</v>
      </c>
      <c r="E526">
        <v>50</v>
      </c>
      <c r="F526">
        <v>49.942451476999999</v>
      </c>
      <c r="G526">
        <v>1297.4101562000001</v>
      </c>
      <c r="H526">
        <v>1285.0123291</v>
      </c>
      <c r="I526">
        <v>1405.0592041</v>
      </c>
      <c r="J526">
        <v>1385.2099608999999</v>
      </c>
      <c r="K526">
        <v>0</v>
      </c>
      <c r="L526">
        <v>2400</v>
      </c>
      <c r="M526">
        <v>2400</v>
      </c>
      <c r="N526">
        <v>0</v>
      </c>
    </row>
    <row r="527" spans="1:14" x14ac:dyDescent="0.25">
      <c r="A527">
        <v>206.71395899999999</v>
      </c>
      <c r="B527" s="1">
        <f>DATE(2010,11,23) + TIME(17,8,6)</f>
        <v>40505.713958333334</v>
      </c>
      <c r="C527">
        <v>80</v>
      </c>
      <c r="D527">
        <v>75.540252686000002</v>
      </c>
      <c r="E527">
        <v>50</v>
      </c>
      <c r="F527">
        <v>49.942520141999999</v>
      </c>
      <c r="G527">
        <v>1297.3704834</v>
      </c>
      <c r="H527">
        <v>1284.9667969</v>
      </c>
      <c r="I527">
        <v>1404.9150391000001</v>
      </c>
      <c r="J527">
        <v>1385.0703125</v>
      </c>
      <c r="K527">
        <v>0</v>
      </c>
      <c r="L527">
        <v>2400</v>
      </c>
      <c r="M527">
        <v>2400</v>
      </c>
      <c r="N527">
        <v>0</v>
      </c>
    </row>
    <row r="528" spans="1:14" x14ac:dyDescent="0.25">
      <c r="A528">
        <v>207.42063099999999</v>
      </c>
      <c r="B528" s="1">
        <f>DATE(2010,11,24) + TIME(10,5,42)</f>
        <v>40506.420624999999</v>
      </c>
      <c r="C528">
        <v>80</v>
      </c>
      <c r="D528">
        <v>75.431945800999998</v>
      </c>
      <c r="E528">
        <v>50</v>
      </c>
      <c r="F528">
        <v>49.942588806000003</v>
      </c>
      <c r="G528">
        <v>1297.3303223</v>
      </c>
      <c r="H528">
        <v>1284.9205322</v>
      </c>
      <c r="I528">
        <v>1404.7747803</v>
      </c>
      <c r="J528">
        <v>1384.9343262</v>
      </c>
      <c r="K528">
        <v>0</v>
      </c>
      <c r="L528">
        <v>2400</v>
      </c>
      <c r="M528">
        <v>2400</v>
      </c>
      <c r="N528">
        <v>0</v>
      </c>
    </row>
    <row r="529" spans="1:14" x14ac:dyDescent="0.25">
      <c r="A529">
        <v>208.13922600000001</v>
      </c>
      <c r="B529" s="1">
        <f>DATE(2010,11,25) + TIME(3,20,29)</f>
        <v>40507.139224537037</v>
      </c>
      <c r="C529">
        <v>80</v>
      </c>
      <c r="D529">
        <v>75.323158264</v>
      </c>
      <c r="E529">
        <v>50</v>
      </c>
      <c r="F529">
        <v>49.942653655999997</v>
      </c>
      <c r="G529">
        <v>1297.2893065999999</v>
      </c>
      <c r="H529">
        <v>1284.8731689000001</v>
      </c>
      <c r="I529">
        <v>1404.637207</v>
      </c>
      <c r="J529">
        <v>1384.8012695</v>
      </c>
      <c r="K529">
        <v>0</v>
      </c>
      <c r="L529">
        <v>2400</v>
      </c>
      <c r="M529">
        <v>2400</v>
      </c>
      <c r="N529">
        <v>0</v>
      </c>
    </row>
    <row r="530" spans="1:14" x14ac:dyDescent="0.25">
      <c r="A530">
        <v>208.873423</v>
      </c>
      <c r="B530" s="1">
        <f>DATE(2010,11,25) + TIME(20,57,43)</f>
        <v>40507.873414351852</v>
      </c>
      <c r="C530">
        <v>80</v>
      </c>
      <c r="D530">
        <v>75.213531493999994</v>
      </c>
      <c r="E530">
        <v>50</v>
      </c>
      <c r="F530">
        <v>49.942722320999998</v>
      </c>
      <c r="G530">
        <v>1297.2473144999999</v>
      </c>
      <c r="H530">
        <v>1284.824707</v>
      </c>
      <c r="I530">
        <v>1404.5018310999999</v>
      </c>
      <c r="J530">
        <v>1384.6704102000001</v>
      </c>
      <c r="K530">
        <v>0</v>
      </c>
      <c r="L530">
        <v>2400</v>
      </c>
      <c r="M530">
        <v>2400</v>
      </c>
      <c r="N530">
        <v>0</v>
      </c>
    </row>
    <row r="531" spans="1:14" x14ac:dyDescent="0.25">
      <c r="A531">
        <v>209.62713299999999</v>
      </c>
      <c r="B531" s="1">
        <f>DATE(2010,11,26) + TIME(15,3,4)</f>
        <v>40508.627129629633</v>
      </c>
      <c r="C531">
        <v>80</v>
      </c>
      <c r="D531">
        <v>75.102615356000001</v>
      </c>
      <c r="E531">
        <v>50</v>
      </c>
      <c r="F531">
        <v>49.942794800000001</v>
      </c>
      <c r="G531">
        <v>1297.2041016000001</v>
      </c>
      <c r="H531">
        <v>1284.7745361</v>
      </c>
      <c r="I531">
        <v>1404.3677978999999</v>
      </c>
      <c r="J531">
        <v>1384.5407714999999</v>
      </c>
      <c r="K531">
        <v>0</v>
      </c>
      <c r="L531">
        <v>2400</v>
      </c>
      <c r="M531">
        <v>2400</v>
      </c>
      <c r="N531">
        <v>0</v>
      </c>
    </row>
    <row r="532" spans="1:14" x14ac:dyDescent="0.25">
      <c r="A532">
        <v>210.40451100000001</v>
      </c>
      <c r="B532" s="1">
        <f>DATE(2010,11,27) + TIME(9,42,29)</f>
        <v>40509.404502314814</v>
      </c>
      <c r="C532">
        <v>80</v>
      </c>
      <c r="D532">
        <v>74.989952087000006</v>
      </c>
      <c r="E532">
        <v>50</v>
      </c>
      <c r="F532">
        <v>49.942867278999998</v>
      </c>
      <c r="G532">
        <v>1297.1593018000001</v>
      </c>
      <c r="H532">
        <v>1284.7226562000001</v>
      </c>
      <c r="I532">
        <v>1404.2344971</v>
      </c>
      <c r="J532">
        <v>1384.4119873</v>
      </c>
      <c r="K532">
        <v>0</v>
      </c>
      <c r="L532">
        <v>2400</v>
      </c>
      <c r="M532">
        <v>2400</v>
      </c>
      <c r="N532">
        <v>0</v>
      </c>
    </row>
    <row r="533" spans="1:14" x14ac:dyDescent="0.25">
      <c r="A533">
        <v>211.20763199999999</v>
      </c>
      <c r="B533" s="1">
        <f>DATE(2010,11,28) + TIME(4,58,59)</f>
        <v>40510.207627314812</v>
      </c>
      <c r="C533">
        <v>80</v>
      </c>
      <c r="D533">
        <v>74.875106811999999</v>
      </c>
      <c r="E533">
        <v>50</v>
      </c>
      <c r="F533">
        <v>49.942939758000001</v>
      </c>
      <c r="G533">
        <v>1297.1126709</v>
      </c>
      <c r="H533">
        <v>1284.6685791</v>
      </c>
      <c r="I533">
        <v>1404.1013184000001</v>
      </c>
      <c r="J533">
        <v>1384.2833252</v>
      </c>
      <c r="K533">
        <v>0</v>
      </c>
      <c r="L533">
        <v>2400</v>
      </c>
      <c r="M533">
        <v>2400</v>
      </c>
      <c r="N533">
        <v>0</v>
      </c>
    </row>
    <row r="534" spans="1:14" x14ac:dyDescent="0.25">
      <c r="A534">
        <v>212.037736</v>
      </c>
      <c r="B534" s="1">
        <f>DATE(2010,11,29) + TIME(0,54,20)</f>
        <v>40511.037731481483</v>
      </c>
      <c r="C534">
        <v>80</v>
      </c>
      <c r="D534">
        <v>74.757934570000003</v>
      </c>
      <c r="E534">
        <v>50</v>
      </c>
      <c r="F534">
        <v>49.943016051999997</v>
      </c>
      <c r="G534">
        <v>1297.0639647999999</v>
      </c>
      <c r="H534">
        <v>1284.6120605000001</v>
      </c>
      <c r="I534">
        <v>1403.9680175999999</v>
      </c>
      <c r="J534">
        <v>1384.1546631000001</v>
      </c>
      <c r="K534">
        <v>0</v>
      </c>
      <c r="L534">
        <v>2400</v>
      </c>
      <c r="M534">
        <v>2400</v>
      </c>
      <c r="N534">
        <v>0</v>
      </c>
    </row>
    <row r="535" spans="1:14" x14ac:dyDescent="0.25">
      <c r="A535">
        <v>212.8991</v>
      </c>
      <c r="B535" s="1">
        <f>DATE(2010,11,29) + TIME(21,34,42)</f>
        <v>40511.899097222224</v>
      </c>
      <c r="C535">
        <v>80</v>
      </c>
      <c r="D535">
        <v>74.638046265</v>
      </c>
      <c r="E535">
        <v>50</v>
      </c>
      <c r="F535">
        <v>49.943096161</v>
      </c>
      <c r="G535">
        <v>1297.0130615</v>
      </c>
      <c r="H535">
        <v>1284.5529785000001</v>
      </c>
      <c r="I535">
        <v>1403.8344727000001</v>
      </c>
      <c r="J535">
        <v>1384.0258789</v>
      </c>
      <c r="K535">
        <v>0</v>
      </c>
      <c r="L535">
        <v>2400</v>
      </c>
      <c r="M535">
        <v>2400</v>
      </c>
      <c r="N535">
        <v>0</v>
      </c>
    </row>
    <row r="536" spans="1:14" x14ac:dyDescent="0.25">
      <c r="A536">
        <v>213.76977199999999</v>
      </c>
      <c r="B536" s="1">
        <f>DATE(2010,11,30) + TIME(18,28,28)</f>
        <v>40512.769768518519</v>
      </c>
      <c r="C536">
        <v>80</v>
      </c>
      <c r="D536">
        <v>74.516860961999996</v>
      </c>
      <c r="E536">
        <v>50</v>
      </c>
      <c r="F536">
        <v>49.943172455000003</v>
      </c>
      <c r="G536">
        <v>1296.9597168</v>
      </c>
      <c r="H536">
        <v>1284.4909668</v>
      </c>
      <c r="I536">
        <v>1403.7001952999999</v>
      </c>
      <c r="J536">
        <v>1383.8964844</v>
      </c>
      <c r="K536">
        <v>0</v>
      </c>
      <c r="L536">
        <v>2400</v>
      </c>
      <c r="M536">
        <v>2400</v>
      </c>
      <c r="N536">
        <v>0</v>
      </c>
    </row>
    <row r="537" spans="1:14" x14ac:dyDescent="0.25">
      <c r="A537">
        <v>214</v>
      </c>
      <c r="B537" s="1">
        <f>DATE(2010,12,1) + TIME(0,0,0)</f>
        <v>40513</v>
      </c>
      <c r="C537">
        <v>80</v>
      </c>
      <c r="D537">
        <v>74.466461182000003</v>
      </c>
      <c r="E537">
        <v>50</v>
      </c>
      <c r="F537">
        <v>49.943183898999997</v>
      </c>
      <c r="G537">
        <v>1296.9022216999999</v>
      </c>
      <c r="H537">
        <v>1284.4320068</v>
      </c>
      <c r="I537">
        <v>1403.5682373</v>
      </c>
      <c r="J537">
        <v>1383.7692870999999</v>
      </c>
      <c r="K537">
        <v>0</v>
      </c>
      <c r="L537">
        <v>2400</v>
      </c>
      <c r="M537">
        <v>2400</v>
      </c>
      <c r="N537">
        <v>0</v>
      </c>
    </row>
    <row r="538" spans="1:14" x14ac:dyDescent="0.25">
      <c r="A538">
        <v>214.87405999999999</v>
      </c>
      <c r="B538" s="1">
        <f>DATE(2010,12,1) + TIME(20,58,38)</f>
        <v>40513.874050925922</v>
      </c>
      <c r="C538">
        <v>80</v>
      </c>
      <c r="D538">
        <v>74.354339600000003</v>
      </c>
      <c r="E538">
        <v>50</v>
      </c>
      <c r="F538">
        <v>49.943275452000002</v>
      </c>
      <c r="G538">
        <v>1296.8901367000001</v>
      </c>
      <c r="H538">
        <v>1284.4088135</v>
      </c>
      <c r="I538">
        <v>1403.5344238</v>
      </c>
      <c r="J538">
        <v>1383.7366943</v>
      </c>
      <c r="K538">
        <v>0</v>
      </c>
      <c r="L538">
        <v>2400</v>
      </c>
      <c r="M538">
        <v>2400</v>
      </c>
      <c r="N538">
        <v>0</v>
      </c>
    </row>
    <row r="539" spans="1:14" x14ac:dyDescent="0.25">
      <c r="A539">
        <v>215.75936899999999</v>
      </c>
      <c r="B539" s="1">
        <f>DATE(2010,12,2) + TIME(18,13,29)</f>
        <v>40514.759363425925</v>
      </c>
      <c r="C539">
        <v>80</v>
      </c>
      <c r="D539">
        <v>74.237609863000003</v>
      </c>
      <c r="E539">
        <v>50</v>
      </c>
      <c r="F539">
        <v>49.943355560000001</v>
      </c>
      <c r="G539">
        <v>1296.8347168</v>
      </c>
      <c r="H539">
        <v>1284.3446045000001</v>
      </c>
      <c r="I539">
        <v>1403.4078368999999</v>
      </c>
      <c r="J539">
        <v>1383.6148682</v>
      </c>
      <c r="K539">
        <v>0</v>
      </c>
      <c r="L539">
        <v>2400</v>
      </c>
      <c r="M539">
        <v>2400</v>
      </c>
      <c r="N539">
        <v>0</v>
      </c>
    </row>
    <row r="540" spans="1:14" x14ac:dyDescent="0.25">
      <c r="A540">
        <v>216.658061</v>
      </c>
      <c r="B540" s="1">
        <f>DATE(2010,12,3) + TIME(15,47,36)</f>
        <v>40515.658055555556</v>
      </c>
      <c r="C540">
        <v>80</v>
      </c>
      <c r="D540">
        <v>74.118331909000005</v>
      </c>
      <c r="E540">
        <v>50</v>
      </c>
      <c r="F540">
        <v>49.943435669000003</v>
      </c>
      <c r="G540">
        <v>1296.7777100000001</v>
      </c>
      <c r="H540">
        <v>1284.2779541</v>
      </c>
      <c r="I540">
        <v>1403.2832031</v>
      </c>
      <c r="J540">
        <v>1383.4948730000001</v>
      </c>
      <c r="K540">
        <v>0</v>
      </c>
      <c r="L540">
        <v>2400</v>
      </c>
      <c r="M540">
        <v>2400</v>
      </c>
      <c r="N540">
        <v>0</v>
      </c>
    </row>
    <row r="541" spans="1:14" x14ac:dyDescent="0.25">
      <c r="A541">
        <v>217.57473999999999</v>
      </c>
      <c r="B541" s="1">
        <f>DATE(2010,12,4) + TIME(13,47,37)</f>
        <v>40516.574733796297</v>
      </c>
      <c r="C541">
        <v>80</v>
      </c>
      <c r="D541">
        <v>73.997245789000004</v>
      </c>
      <c r="E541">
        <v>50</v>
      </c>
      <c r="F541">
        <v>49.943519592000001</v>
      </c>
      <c r="G541">
        <v>1296.7191161999999</v>
      </c>
      <c r="H541">
        <v>1284.2092285000001</v>
      </c>
      <c r="I541">
        <v>1403.1604004000001</v>
      </c>
      <c r="J541">
        <v>1383.3768310999999</v>
      </c>
      <c r="K541">
        <v>0</v>
      </c>
      <c r="L541">
        <v>2400</v>
      </c>
      <c r="M541">
        <v>2400</v>
      </c>
      <c r="N541">
        <v>0</v>
      </c>
    </row>
    <row r="542" spans="1:14" x14ac:dyDescent="0.25">
      <c r="A542">
        <v>218.514306</v>
      </c>
      <c r="B542" s="1">
        <f>DATE(2010,12,5) + TIME(12,20,36)</f>
        <v>40517.514305555553</v>
      </c>
      <c r="C542">
        <v>80</v>
      </c>
      <c r="D542">
        <v>73.874450683999996</v>
      </c>
      <c r="E542">
        <v>50</v>
      </c>
      <c r="F542">
        <v>49.943603516000003</v>
      </c>
      <c r="G542">
        <v>1296.6585693</v>
      </c>
      <c r="H542">
        <v>1284.1380615</v>
      </c>
      <c r="I542">
        <v>1403.0388184000001</v>
      </c>
      <c r="J542">
        <v>1383.2600098</v>
      </c>
      <c r="K542">
        <v>0</v>
      </c>
      <c r="L542">
        <v>2400</v>
      </c>
      <c r="M542">
        <v>2400</v>
      </c>
      <c r="N542">
        <v>0</v>
      </c>
    </row>
    <row r="543" spans="1:14" x14ac:dyDescent="0.25">
      <c r="A543">
        <v>219.48180099999999</v>
      </c>
      <c r="B543" s="1">
        <f>DATE(2010,12,6) + TIME(11,33,47)</f>
        <v>40518.481793981482</v>
      </c>
      <c r="C543">
        <v>80</v>
      </c>
      <c r="D543">
        <v>73.749694824000002</v>
      </c>
      <c r="E543">
        <v>50</v>
      </c>
      <c r="F543">
        <v>49.943691254000001</v>
      </c>
      <c r="G543">
        <v>1296.5957031</v>
      </c>
      <c r="H543">
        <v>1284.0638428</v>
      </c>
      <c r="I543">
        <v>1402.9178466999999</v>
      </c>
      <c r="J543">
        <v>1383.1437988</v>
      </c>
      <c r="K543">
        <v>0</v>
      </c>
      <c r="L543">
        <v>2400</v>
      </c>
      <c r="M543">
        <v>2400</v>
      </c>
      <c r="N543">
        <v>0</v>
      </c>
    </row>
    <row r="544" spans="1:14" x14ac:dyDescent="0.25">
      <c r="A544">
        <v>220.47987900000001</v>
      </c>
      <c r="B544" s="1">
        <f>DATE(2010,12,7) + TIME(11,31,1)</f>
        <v>40519.479872685188</v>
      </c>
      <c r="C544">
        <v>80</v>
      </c>
      <c r="D544">
        <v>73.622726439999994</v>
      </c>
      <c r="E544">
        <v>50</v>
      </c>
      <c r="F544">
        <v>49.943778991999999</v>
      </c>
      <c r="G544">
        <v>1296.5300293</v>
      </c>
      <c r="H544">
        <v>1283.9862060999999</v>
      </c>
      <c r="I544">
        <v>1402.7969971</v>
      </c>
      <c r="J544">
        <v>1383.0277100000001</v>
      </c>
      <c r="K544">
        <v>0</v>
      </c>
      <c r="L544">
        <v>2400</v>
      </c>
      <c r="M544">
        <v>2400</v>
      </c>
      <c r="N544">
        <v>0</v>
      </c>
    </row>
    <row r="545" spans="1:14" x14ac:dyDescent="0.25">
      <c r="A545">
        <v>221.50916799999999</v>
      </c>
      <c r="B545" s="1">
        <f>DATE(2010,12,8) + TIME(12,13,12)</f>
        <v>40520.509166666663</v>
      </c>
      <c r="C545">
        <v>80</v>
      </c>
      <c r="D545">
        <v>73.493408203000001</v>
      </c>
      <c r="E545">
        <v>50</v>
      </c>
      <c r="F545">
        <v>49.943874358999999</v>
      </c>
      <c r="G545">
        <v>1296.4614257999999</v>
      </c>
      <c r="H545">
        <v>1283.9047852000001</v>
      </c>
      <c r="I545">
        <v>1402.6759033000001</v>
      </c>
      <c r="J545">
        <v>1382.911499</v>
      </c>
      <c r="K545">
        <v>0</v>
      </c>
      <c r="L545">
        <v>2400</v>
      </c>
      <c r="M545">
        <v>2400</v>
      </c>
      <c r="N545">
        <v>0</v>
      </c>
    </row>
    <row r="546" spans="1:14" x14ac:dyDescent="0.25">
      <c r="A546">
        <v>222.550106</v>
      </c>
      <c r="B546" s="1">
        <f>DATE(2010,12,9) + TIME(13,12,9)</f>
        <v>40521.550104166665</v>
      </c>
      <c r="C546">
        <v>80</v>
      </c>
      <c r="D546">
        <v>73.362838745000005</v>
      </c>
      <c r="E546">
        <v>50</v>
      </c>
      <c r="F546">
        <v>49.943965912000003</v>
      </c>
      <c r="G546">
        <v>1296.3895264</v>
      </c>
      <c r="H546">
        <v>1283.8194579999999</v>
      </c>
      <c r="I546">
        <v>1402.5548096</v>
      </c>
      <c r="J546">
        <v>1382.7952881000001</v>
      </c>
      <c r="K546">
        <v>0</v>
      </c>
      <c r="L546">
        <v>2400</v>
      </c>
      <c r="M546">
        <v>2400</v>
      </c>
      <c r="N546">
        <v>0</v>
      </c>
    </row>
    <row r="547" spans="1:14" x14ac:dyDescent="0.25">
      <c r="A547">
        <v>223.59396899999999</v>
      </c>
      <c r="B547" s="1">
        <f>DATE(2010,12,10) + TIME(14,15,18)</f>
        <v>40522.593958333331</v>
      </c>
      <c r="C547">
        <v>80</v>
      </c>
      <c r="D547">
        <v>73.232231139999996</v>
      </c>
      <c r="E547">
        <v>50</v>
      </c>
      <c r="F547">
        <v>49.944061279000003</v>
      </c>
      <c r="G547">
        <v>1296.3155518000001</v>
      </c>
      <c r="H547">
        <v>1283.7314452999999</v>
      </c>
      <c r="I547">
        <v>1402.4357910000001</v>
      </c>
      <c r="J547">
        <v>1382.6811522999999</v>
      </c>
      <c r="K547">
        <v>0</v>
      </c>
      <c r="L547">
        <v>2400</v>
      </c>
      <c r="M547">
        <v>2400</v>
      </c>
      <c r="N547">
        <v>0</v>
      </c>
    </row>
    <row r="548" spans="1:14" x14ac:dyDescent="0.25">
      <c r="A548">
        <v>224.646287</v>
      </c>
      <c r="B548" s="1">
        <f>DATE(2010,12,11) + TIME(15,30,39)</f>
        <v>40523.646284722221</v>
      </c>
      <c r="C548">
        <v>80</v>
      </c>
      <c r="D548">
        <v>73.101890564000001</v>
      </c>
      <c r="E548">
        <v>50</v>
      </c>
      <c r="F548">
        <v>49.944156647</v>
      </c>
      <c r="G548">
        <v>1296.2402344</v>
      </c>
      <c r="H548">
        <v>1283.6414795000001</v>
      </c>
      <c r="I548">
        <v>1402.3199463000001</v>
      </c>
      <c r="J548">
        <v>1382.5701904</v>
      </c>
      <c r="K548">
        <v>0</v>
      </c>
      <c r="L548">
        <v>2400</v>
      </c>
      <c r="M548">
        <v>2400</v>
      </c>
      <c r="N548">
        <v>0</v>
      </c>
    </row>
    <row r="549" spans="1:14" x14ac:dyDescent="0.25">
      <c r="A549">
        <v>225.71257499999999</v>
      </c>
      <c r="B549" s="1">
        <f>DATE(2010,12,12) + TIME(17,6,6)</f>
        <v>40524.712569444448</v>
      </c>
      <c r="C549">
        <v>80</v>
      </c>
      <c r="D549">
        <v>72.971603393999999</v>
      </c>
      <c r="E549">
        <v>50</v>
      </c>
      <c r="F549">
        <v>49.944252014</v>
      </c>
      <c r="G549">
        <v>1296.1632079999999</v>
      </c>
      <c r="H549">
        <v>1283.5489502</v>
      </c>
      <c r="I549">
        <v>1402.206543</v>
      </c>
      <c r="J549">
        <v>1382.4615478999999</v>
      </c>
      <c r="K549">
        <v>0</v>
      </c>
      <c r="L549">
        <v>2400</v>
      </c>
      <c r="M549">
        <v>2400</v>
      </c>
      <c r="N549">
        <v>0</v>
      </c>
    </row>
    <row r="550" spans="1:14" x14ac:dyDescent="0.25">
      <c r="A550">
        <v>226.79838799999999</v>
      </c>
      <c r="B550" s="1">
        <f>DATE(2010,12,13) + TIME(19,9,40)</f>
        <v>40525.798379629632</v>
      </c>
      <c r="C550">
        <v>80</v>
      </c>
      <c r="D550">
        <v>72.840896606000001</v>
      </c>
      <c r="E550">
        <v>50</v>
      </c>
      <c r="F550">
        <v>49.944347381999997</v>
      </c>
      <c r="G550">
        <v>1296.0837402</v>
      </c>
      <c r="H550">
        <v>1283.4533690999999</v>
      </c>
      <c r="I550">
        <v>1402.0948486</v>
      </c>
      <c r="J550">
        <v>1382.3544922000001</v>
      </c>
      <c r="K550">
        <v>0</v>
      </c>
      <c r="L550">
        <v>2400</v>
      </c>
      <c r="M550">
        <v>2400</v>
      </c>
      <c r="N550">
        <v>0</v>
      </c>
    </row>
    <row r="551" spans="1:14" x14ac:dyDescent="0.25">
      <c r="A551">
        <v>227.90956299999999</v>
      </c>
      <c r="B551" s="1">
        <f>DATE(2010,12,14) + TIME(21,49,46)</f>
        <v>40526.909560185188</v>
      </c>
      <c r="C551">
        <v>80</v>
      </c>
      <c r="D551">
        <v>72.709205627000003</v>
      </c>
      <c r="E551">
        <v>50</v>
      </c>
      <c r="F551">
        <v>49.944446564000003</v>
      </c>
      <c r="G551">
        <v>1296.0015868999999</v>
      </c>
      <c r="H551">
        <v>1283.354126</v>
      </c>
      <c r="I551">
        <v>1401.9842529</v>
      </c>
      <c r="J551">
        <v>1382.2486572</v>
      </c>
      <c r="K551">
        <v>0</v>
      </c>
      <c r="L551">
        <v>2400</v>
      </c>
      <c r="M551">
        <v>2400</v>
      </c>
      <c r="N551">
        <v>0</v>
      </c>
    </row>
    <row r="552" spans="1:14" x14ac:dyDescent="0.25">
      <c r="A552">
        <v>229.05102099999999</v>
      </c>
      <c r="B552" s="1">
        <f>DATE(2010,12,16) + TIME(1,13,28)</f>
        <v>40528.051018518519</v>
      </c>
      <c r="C552">
        <v>80</v>
      </c>
      <c r="D552">
        <v>72.575965881000002</v>
      </c>
      <c r="E552">
        <v>50</v>
      </c>
      <c r="F552">
        <v>49.944549561000002</v>
      </c>
      <c r="G552">
        <v>1295.9161377</v>
      </c>
      <c r="H552">
        <v>1283.2506103999999</v>
      </c>
      <c r="I552">
        <v>1401.8741454999999</v>
      </c>
      <c r="J552">
        <v>1382.1433105000001</v>
      </c>
      <c r="K552">
        <v>0</v>
      </c>
      <c r="L552">
        <v>2400</v>
      </c>
      <c r="M552">
        <v>2400</v>
      </c>
      <c r="N552">
        <v>0</v>
      </c>
    </row>
    <row r="553" spans="1:14" x14ac:dyDescent="0.25">
      <c r="A553">
        <v>230.226967</v>
      </c>
      <c r="B553" s="1">
        <f>DATE(2010,12,17) + TIME(5,26,49)</f>
        <v>40529.226956018516</v>
      </c>
      <c r="C553">
        <v>80</v>
      </c>
      <c r="D553">
        <v>72.440681458</v>
      </c>
      <c r="E553">
        <v>50</v>
      </c>
      <c r="F553">
        <v>49.944652556999998</v>
      </c>
      <c r="G553">
        <v>1295.8267822</v>
      </c>
      <c r="H553">
        <v>1283.1420897999999</v>
      </c>
      <c r="I553">
        <v>1401.7642822</v>
      </c>
      <c r="J553">
        <v>1382.0382079999999</v>
      </c>
      <c r="K553">
        <v>0</v>
      </c>
      <c r="L553">
        <v>2400</v>
      </c>
      <c r="M553">
        <v>2400</v>
      </c>
      <c r="N553">
        <v>0</v>
      </c>
    </row>
    <row r="554" spans="1:14" x14ac:dyDescent="0.25">
      <c r="A554">
        <v>231.437704</v>
      </c>
      <c r="B554" s="1">
        <f>DATE(2010,12,18) + TIME(10,30,17)</f>
        <v>40530.437696759262</v>
      </c>
      <c r="C554">
        <v>80</v>
      </c>
      <c r="D554">
        <v>72.303070067999997</v>
      </c>
      <c r="E554">
        <v>50</v>
      </c>
      <c r="F554">
        <v>49.944759369000003</v>
      </c>
      <c r="G554">
        <v>1295.7331543</v>
      </c>
      <c r="H554">
        <v>1283.0279541</v>
      </c>
      <c r="I554">
        <v>1401.6541748</v>
      </c>
      <c r="J554">
        <v>1381.9329834</v>
      </c>
      <c r="K554">
        <v>0</v>
      </c>
      <c r="L554">
        <v>2400</v>
      </c>
      <c r="M554">
        <v>2400</v>
      </c>
      <c r="N554">
        <v>0</v>
      </c>
    </row>
    <row r="555" spans="1:14" x14ac:dyDescent="0.25">
      <c r="A555">
        <v>232.66400100000001</v>
      </c>
      <c r="B555" s="1">
        <f>DATE(2010,12,19) + TIME(15,56,9)</f>
        <v>40531.663993055554</v>
      </c>
      <c r="C555">
        <v>80</v>
      </c>
      <c r="D555">
        <v>72.163948059000006</v>
      </c>
      <c r="E555">
        <v>50</v>
      </c>
      <c r="F555">
        <v>49.944869994999998</v>
      </c>
      <c r="G555">
        <v>1295.6348877</v>
      </c>
      <c r="H555">
        <v>1282.9079589999999</v>
      </c>
      <c r="I555">
        <v>1401.5439452999999</v>
      </c>
      <c r="J555">
        <v>1381.8276367000001</v>
      </c>
      <c r="K555">
        <v>0</v>
      </c>
      <c r="L555">
        <v>2400</v>
      </c>
      <c r="M555">
        <v>2400</v>
      </c>
      <c r="N555">
        <v>0</v>
      </c>
    </row>
    <row r="556" spans="1:14" x14ac:dyDescent="0.25">
      <c r="A556">
        <v>233.89374799999999</v>
      </c>
      <c r="B556" s="1">
        <f>DATE(2010,12,20) + TIME(21,26,59)</f>
        <v>40532.893738425926</v>
      </c>
      <c r="C556">
        <v>80</v>
      </c>
      <c r="D556">
        <v>72.024581909000005</v>
      </c>
      <c r="E556">
        <v>50</v>
      </c>
      <c r="F556">
        <v>49.944976807000003</v>
      </c>
      <c r="G556">
        <v>1295.5334473</v>
      </c>
      <c r="H556">
        <v>1282.7836914</v>
      </c>
      <c r="I556">
        <v>1401.4354248</v>
      </c>
      <c r="J556">
        <v>1381.723999</v>
      </c>
      <c r="K556">
        <v>0</v>
      </c>
      <c r="L556">
        <v>2400</v>
      </c>
      <c r="M556">
        <v>2400</v>
      </c>
      <c r="N556">
        <v>0</v>
      </c>
    </row>
    <row r="557" spans="1:14" x14ac:dyDescent="0.25">
      <c r="A557">
        <v>235.13362799999999</v>
      </c>
      <c r="B557" s="1">
        <f>DATE(2010,12,22) + TIME(3,12,25)</f>
        <v>40534.133622685185</v>
      </c>
      <c r="C557">
        <v>80</v>
      </c>
      <c r="D557">
        <v>71.885345459000007</v>
      </c>
      <c r="E557">
        <v>50</v>
      </c>
      <c r="F557">
        <v>49.945087432999998</v>
      </c>
      <c r="G557">
        <v>1295.4298096</v>
      </c>
      <c r="H557">
        <v>1282.6558838000001</v>
      </c>
      <c r="I557">
        <v>1401.3294678</v>
      </c>
      <c r="J557">
        <v>1381.6229248</v>
      </c>
      <c r="K557">
        <v>0</v>
      </c>
      <c r="L557">
        <v>2400</v>
      </c>
      <c r="M557">
        <v>2400</v>
      </c>
      <c r="N557">
        <v>0</v>
      </c>
    </row>
    <row r="558" spans="1:14" x14ac:dyDescent="0.25">
      <c r="A558">
        <v>236.390173</v>
      </c>
      <c r="B558" s="1">
        <f>DATE(2010,12,23) + TIME(9,21,50)</f>
        <v>40535.390162037038</v>
      </c>
      <c r="C558">
        <v>80</v>
      </c>
      <c r="D558">
        <v>71.745979309000006</v>
      </c>
      <c r="E558">
        <v>50</v>
      </c>
      <c r="F558">
        <v>49.945198058999999</v>
      </c>
      <c r="G558">
        <v>1295.3231201000001</v>
      </c>
      <c r="H558">
        <v>1282.5240478999999</v>
      </c>
      <c r="I558">
        <v>1401.2257079999999</v>
      </c>
      <c r="J558">
        <v>1381.5238036999999</v>
      </c>
      <c r="K558">
        <v>0</v>
      </c>
      <c r="L558">
        <v>2400</v>
      </c>
      <c r="M558">
        <v>2400</v>
      </c>
      <c r="N558">
        <v>0</v>
      </c>
    </row>
    <row r="559" spans="1:14" x14ac:dyDescent="0.25">
      <c r="A559">
        <v>237.670096</v>
      </c>
      <c r="B559" s="1">
        <f>DATE(2010,12,24) + TIME(16,4,56)</f>
        <v>40536.670092592591</v>
      </c>
      <c r="C559">
        <v>80</v>
      </c>
      <c r="D559">
        <v>71.605903624999996</v>
      </c>
      <c r="E559">
        <v>50</v>
      </c>
      <c r="F559">
        <v>49.945308685000001</v>
      </c>
      <c r="G559">
        <v>1295.2130127</v>
      </c>
      <c r="H559">
        <v>1282.3873291</v>
      </c>
      <c r="I559">
        <v>1401.1232910000001</v>
      </c>
      <c r="J559">
        <v>1381.4260254000001</v>
      </c>
      <c r="K559">
        <v>0</v>
      </c>
      <c r="L559">
        <v>2400</v>
      </c>
      <c r="M559">
        <v>2400</v>
      </c>
      <c r="N559">
        <v>0</v>
      </c>
    </row>
    <row r="560" spans="1:14" x14ac:dyDescent="0.25">
      <c r="A560">
        <v>238.98008200000001</v>
      </c>
      <c r="B560" s="1">
        <f>DATE(2010,12,25) + TIME(23,31,19)</f>
        <v>40537.980081018519</v>
      </c>
      <c r="C560">
        <v>80</v>
      </c>
      <c r="D560">
        <v>71.464454650999997</v>
      </c>
      <c r="E560">
        <v>50</v>
      </c>
      <c r="F560">
        <v>49.945426941000001</v>
      </c>
      <c r="G560">
        <v>1295.0987548999999</v>
      </c>
      <c r="H560">
        <v>1282.2449951000001</v>
      </c>
      <c r="I560">
        <v>1401.0217285000001</v>
      </c>
      <c r="J560">
        <v>1381.3291016000001</v>
      </c>
      <c r="K560">
        <v>0</v>
      </c>
      <c r="L560">
        <v>2400</v>
      </c>
      <c r="M560">
        <v>2400</v>
      </c>
      <c r="N560">
        <v>0</v>
      </c>
    </row>
    <row r="561" spans="1:14" x14ac:dyDescent="0.25">
      <c r="A561">
        <v>240.32341700000001</v>
      </c>
      <c r="B561" s="1">
        <f>DATE(2010,12,27) + TIME(7,45,43)</f>
        <v>40539.323414351849</v>
      </c>
      <c r="C561">
        <v>80</v>
      </c>
      <c r="D561">
        <v>71.321075438999998</v>
      </c>
      <c r="E561">
        <v>50</v>
      </c>
      <c r="F561">
        <v>49.945541382000002</v>
      </c>
      <c r="G561">
        <v>1294.9794922000001</v>
      </c>
      <c r="H561">
        <v>1282.0959473</v>
      </c>
      <c r="I561">
        <v>1400.9205322</v>
      </c>
      <c r="J561">
        <v>1381.2326660000001</v>
      </c>
      <c r="K561">
        <v>0</v>
      </c>
      <c r="L561">
        <v>2400</v>
      </c>
      <c r="M561">
        <v>2400</v>
      </c>
      <c r="N561">
        <v>0</v>
      </c>
    </row>
    <row r="562" spans="1:14" x14ac:dyDescent="0.25">
      <c r="A562">
        <v>241.70641900000001</v>
      </c>
      <c r="B562" s="1">
        <f>DATE(2010,12,28) + TIME(16,57,14)</f>
        <v>40540.706412037034</v>
      </c>
      <c r="C562">
        <v>80</v>
      </c>
      <c r="D562">
        <v>71.175170898000005</v>
      </c>
      <c r="E562">
        <v>50</v>
      </c>
      <c r="F562">
        <v>49.945663451999998</v>
      </c>
      <c r="G562">
        <v>1294.8547363</v>
      </c>
      <c r="H562">
        <v>1281.9395752</v>
      </c>
      <c r="I562">
        <v>1400.8194579999999</v>
      </c>
      <c r="J562">
        <v>1381.1363524999999</v>
      </c>
      <c r="K562">
        <v>0</v>
      </c>
      <c r="L562">
        <v>2400</v>
      </c>
      <c r="M562">
        <v>2400</v>
      </c>
      <c r="N562">
        <v>0</v>
      </c>
    </row>
    <row r="563" spans="1:14" x14ac:dyDescent="0.25">
      <c r="A563">
        <v>243.128929</v>
      </c>
      <c r="B563" s="1">
        <f>DATE(2010,12,30) + TIME(3,5,39)</f>
        <v>40542.128923611112</v>
      </c>
      <c r="C563">
        <v>80</v>
      </c>
      <c r="D563">
        <v>71.026359557999996</v>
      </c>
      <c r="E563">
        <v>50</v>
      </c>
      <c r="F563">
        <v>49.945785522000001</v>
      </c>
      <c r="G563">
        <v>1294.7237548999999</v>
      </c>
      <c r="H563">
        <v>1281.7746582</v>
      </c>
      <c r="I563">
        <v>1400.7181396000001</v>
      </c>
      <c r="J563">
        <v>1381.0397949000001</v>
      </c>
      <c r="K563">
        <v>0</v>
      </c>
      <c r="L563">
        <v>2400</v>
      </c>
      <c r="M563">
        <v>2400</v>
      </c>
      <c r="N563">
        <v>0</v>
      </c>
    </row>
    <row r="564" spans="1:14" x14ac:dyDescent="0.25">
      <c r="A564">
        <v>244.55474000000001</v>
      </c>
      <c r="B564" s="1">
        <f>DATE(2010,12,31) + TIME(13,18,49)</f>
        <v>40543.5547337963</v>
      </c>
      <c r="C564">
        <v>80</v>
      </c>
      <c r="D564">
        <v>70.875923157000003</v>
      </c>
      <c r="E564">
        <v>50</v>
      </c>
      <c r="F564">
        <v>49.945911406999997</v>
      </c>
      <c r="G564">
        <v>1294.5863036999999</v>
      </c>
      <c r="H564">
        <v>1281.6011963000001</v>
      </c>
      <c r="I564">
        <v>1400.6166992000001</v>
      </c>
      <c r="J564">
        <v>1380.9432373</v>
      </c>
      <c r="K564">
        <v>0</v>
      </c>
      <c r="L564">
        <v>2400</v>
      </c>
      <c r="M564">
        <v>2400</v>
      </c>
      <c r="N564">
        <v>0</v>
      </c>
    </row>
    <row r="565" spans="1:14" x14ac:dyDescent="0.25">
      <c r="A565">
        <v>245</v>
      </c>
      <c r="B565" s="1">
        <f>DATE(2011,1,1) + TIME(0,0,0)</f>
        <v>40544</v>
      </c>
      <c r="C565">
        <v>80</v>
      </c>
      <c r="D565">
        <v>70.794487000000004</v>
      </c>
      <c r="E565">
        <v>50</v>
      </c>
      <c r="F565">
        <v>49.945941925</v>
      </c>
      <c r="G565">
        <v>1294.4481201000001</v>
      </c>
      <c r="H565">
        <v>1281.4378661999999</v>
      </c>
      <c r="I565">
        <v>1400.5169678</v>
      </c>
      <c r="J565">
        <v>1380.8481445</v>
      </c>
      <c r="K565">
        <v>0</v>
      </c>
      <c r="L565">
        <v>2400</v>
      </c>
      <c r="M565">
        <v>2400</v>
      </c>
      <c r="N565">
        <v>0</v>
      </c>
    </row>
    <row r="566" spans="1:14" x14ac:dyDescent="0.25">
      <c r="A566">
        <v>246.432098</v>
      </c>
      <c r="B566" s="1">
        <f>DATE(2011,1,2) + TIME(10,22,13)</f>
        <v>40545.43209490741</v>
      </c>
      <c r="C566">
        <v>80</v>
      </c>
      <c r="D566">
        <v>70.664840698000006</v>
      </c>
      <c r="E566">
        <v>50</v>
      </c>
      <c r="F566">
        <v>49.946071625000002</v>
      </c>
      <c r="G566">
        <v>1294.3967285000001</v>
      </c>
      <c r="H566">
        <v>1281.3574219</v>
      </c>
      <c r="I566">
        <v>1400.4873047000001</v>
      </c>
      <c r="J566">
        <v>1380.8199463000001</v>
      </c>
      <c r="K566">
        <v>0</v>
      </c>
      <c r="L566">
        <v>2400</v>
      </c>
      <c r="M566">
        <v>2400</v>
      </c>
      <c r="N566">
        <v>0</v>
      </c>
    </row>
    <row r="567" spans="1:14" x14ac:dyDescent="0.25">
      <c r="A567">
        <v>247.88492500000001</v>
      </c>
      <c r="B567" s="1">
        <f>DATE(2011,1,3) + TIME(21,14,17)</f>
        <v>40546.884918981479</v>
      </c>
      <c r="C567">
        <v>80</v>
      </c>
      <c r="D567">
        <v>70.521553040000001</v>
      </c>
      <c r="E567">
        <v>50</v>
      </c>
      <c r="F567">
        <v>49.946197509999998</v>
      </c>
      <c r="G567">
        <v>1294.2536620999999</v>
      </c>
      <c r="H567">
        <v>1281.1770019999999</v>
      </c>
      <c r="I567">
        <v>1400.3914795000001</v>
      </c>
      <c r="J567">
        <v>1380.7286377</v>
      </c>
      <c r="K567">
        <v>0</v>
      </c>
      <c r="L567">
        <v>2400</v>
      </c>
      <c r="M567">
        <v>2400</v>
      </c>
      <c r="N567">
        <v>0</v>
      </c>
    </row>
    <row r="568" spans="1:14" x14ac:dyDescent="0.25">
      <c r="A568">
        <v>249.36174299999999</v>
      </c>
      <c r="B568" s="1">
        <f>DATE(2011,1,5) + TIME(8,40,54)</f>
        <v>40548.36173611111</v>
      </c>
      <c r="C568">
        <v>80</v>
      </c>
      <c r="D568">
        <v>70.371887207</v>
      </c>
      <c r="E568">
        <v>50</v>
      </c>
      <c r="F568">
        <v>49.946323395</v>
      </c>
      <c r="G568">
        <v>1294.1037598</v>
      </c>
      <c r="H568">
        <v>1280.9859618999999</v>
      </c>
      <c r="I568">
        <v>1400.2965088000001</v>
      </c>
      <c r="J568">
        <v>1380.6383057</v>
      </c>
      <c r="K568">
        <v>0</v>
      </c>
      <c r="L568">
        <v>2400</v>
      </c>
      <c r="M568">
        <v>2400</v>
      </c>
      <c r="N568">
        <v>0</v>
      </c>
    </row>
    <row r="569" spans="1:14" x14ac:dyDescent="0.25">
      <c r="A569">
        <v>250.87070199999999</v>
      </c>
      <c r="B569" s="1">
        <f>DATE(2011,1,6) + TIME(20,53,48)</f>
        <v>40549.870694444442</v>
      </c>
      <c r="C569">
        <v>80</v>
      </c>
      <c r="D569">
        <v>70.218193053999997</v>
      </c>
      <c r="E569">
        <v>50</v>
      </c>
      <c r="F569">
        <v>49.946453093999999</v>
      </c>
      <c r="G569">
        <v>1293.9477539</v>
      </c>
      <c r="H569">
        <v>1280.7857666</v>
      </c>
      <c r="I569">
        <v>1400.2023925999999</v>
      </c>
      <c r="J569">
        <v>1380.5488281</v>
      </c>
      <c r="K569">
        <v>0</v>
      </c>
      <c r="L569">
        <v>2400</v>
      </c>
      <c r="M569">
        <v>2400</v>
      </c>
      <c r="N569">
        <v>0</v>
      </c>
    </row>
    <row r="570" spans="1:14" x14ac:dyDescent="0.25">
      <c r="A570">
        <v>252.414232</v>
      </c>
      <c r="B570" s="1">
        <f>DATE(2011,1,8) + TIME(9,56,29)</f>
        <v>40551.414224537039</v>
      </c>
      <c r="C570">
        <v>80</v>
      </c>
      <c r="D570">
        <v>70.061027526999993</v>
      </c>
      <c r="E570">
        <v>50</v>
      </c>
      <c r="F570">
        <v>49.946582794000001</v>
      </c>
      <c r="G570">
        <v>1293.7847899999999</v>
      </c>
      <c r="H570">
        <v>1280.5759277</v>
      </c>
      <c r="I570">
        <v>1400.1087646000001</v>
      </c>
      <c r="J570">
        <v>1380.4597168</v>
      </c>
      <c r="K570">
        <v>0</v>
      </c>
      <c r="L570">
        <v>2400</v>
      </c>
      <c r="M570">
        <v>2400</v>
      </c>
      <c r="N570">
        <v>0</v>
      </c>
    </row>
    <row r="571" spans="1:14" x14ac:dyDescent="0.25">
      <c r="A571">
        <v>254.00125299999999</v>
      </c>
      <c r="B571" s="1">
        <f>DATE(2011,1,10) + TIME(0,1,48)</f>
        <v>40553.001250000001</v>
      </c>
      <c r="C571">
        <v>80</v>
      </c>
      <c r="D571">
        <v>69.900016785000005</v>
      </c>
      <c r="E571">
        <v>50</v>
      </c>
      <c r="F571">
        <v>49.946720122999999</v>
      </c>
      <c r="G571">
        <v>1293.614624</v>
      </c>
      <c r="H571">
        <v>1280.355957</v>
      </c>
      <c r="I571">
        <v>1400.0153809000001</v>
      </c>
      <c r="J571">
        <v>1380.3709716999999</v>
      </c>
      <c r="K571">
        <v>0</v>
      </c>
      <c r="L571">
        <v>2400</v>
      </c>
      <c r="M571">
        <v>2400</v>
      </c>
      <c r="N571">
        <v>0</v>
      </c>
    </row>
    <row r="572" spans="1:14" x14ac:dyDescent="0.25">
      <c r="A572">
        <v>255.61797000000001</v>
      </c>
      <c r="B572" s="1">
        <f>DATE(2011,1,11) + TIME(14,49,52)</f>
        <v>40554.617962962962</v>
      </c>
      <c r="C572">
        <v>80</v>
      </c>
      <c r="D572">
        <v>69.735191345000004</v>
      </c>
      <c r="E572">
        <v>50</v>
      </c>
      <c r="F572">
        <v>49.946857452000003</v>
      </c>
      <c r="G572">
        <v>1293.4361572</v>
      </c>
      <c r="H572">
        <v>1280.1242675999999</v>
      </c>
      <c r="I572">
        <v>1399.9217529</v>
      </c>
      <c r="J572">
        <v>1380.2819824000001</v>
      </c>
      <c r="K572">
        <v>0</v>
      </c>
      <c r="L572">
        <v>2400</v>
      </c>
      <c r="M572">
        <v>2400</v>
      </c>
      <c r="N572">
        <v>0</v>
      </c>
    </row>
    <row r="573" spans="1:14" x14ac:dyDescent="0.25">
      <c r="A573">
        <v>257.23671400000001</v>
      </c>
      <c r="B573" s="1">
        <f>DATE(2011,1,13) + TIME(5,40,52)</f>
        <v>40556.236712962964</v>
      </c>
      <c r="C573">
        <v>80</v>
      </c>
      <c r="D573">
        <v>69.567848205999994</v>
      </c>
      <c r="E573">
        <v>50</v>
      </c>
      <c r="F573">
        <v>49.946990966999998</v>
      </c>
      <c r="G573">
        <v>1293.2503661999999</v>
      </c>
      <c r="H573">
        <v>1279.8824463000001</v>
      </c>
      <c r="I573">
        <v>1399.8287353999999</v>
      </c>
      <c r="J573">
        <v>1380.1936035000001</v>
      </c>
      <c r="K573">
        <v>0</v>
      </c>
      <c r="L573">
        <v>2400</v>
      </c>
      <c r="M573">
        <v>2400</v>
      </c>
      <c r="N573">
        <v>0</v>
      </c>
    </row>
    <row r="574" spans="1:14" x14ac:dyDescent="0.25">
      <c r="A574">
        <v>258.86639000000002</v>
      </c>
      <c r="B574" s="1">
        <f>DATE(2011,1,14) + TIME(20,47,36)</f>
        <v>40557.866388888891</v>
      </c>
      <c r="C574">
        <v>80</v>
      </c>
      <c r="D574">
        <v>69.398834229000002</v>
      </c>
      <c r="E574">
        <v>50</v>
      </c>
      <c r="F574">
        <v>49.947128296000002</v>
      </c>
      <c r="G574">
        <v>1293.0600586</v>
      </c>
      <c r="H574">
        <v>1279.6336670000001</v>
      </c>
      <c r="I574">
        <v>1399.7379149999999</v>
      </c>
      <c r="J574">
        <v>1380.1072998</v>
      </c>
      <c r="K574">
        <v>0</v>
      </c>
      <c r="L574">
        <v>2400</v>
      </c>
      <c r="M574">
        <v>2400</v>
      </c>
      <c r="N574">
        <v>0</v>
      </c>
    </row>
    <row r="575" spans="1:14" x14ac:dyDescent="0.25">
      <c r="A575">
        <v>260.515738</v>
      </c>
      <c r="B575" s="1">
        <f>DATE(2011,1,16) + TIME(12,22,39)</f>
        <v>40559.515729166669</v>
      </c>
      <c r="C575">
        <v>80</v>
      </c>
      <c r="D575">
        <v>69.227699279999996</v>
      </c>
      <c r="E575">
        <v>50</v>
      </c>
      <c r="F575">
        <v>49.947265625</v>
      </c>
      <c r="G575">
        <v>1292.8645019999999</v>
      </c>
      <c r="H575">
        <v>1279.3768310999999</v>
      </c>
      <c r="I575">
        <v>1399.6488036999999</v>
      </c>
      <c r="J575">
        <v>1380.0225829999999</v>
      </c>
      <c r="K575">
        <v>0</v>
      </c>
      <c r="L575">
        <v>2400</v>
      </c>
      <c r="M575">
        <v>2400</v>
      </c>
      <c r="N575">
        <v>0</v>
      </c>
    </row>
    <row r="576" spans="1:14" x14ac:dyDescent="0.25">
      <c r="A576">
        <v>262.19377700000001</v>
      </c>
      <c r="B576" s="1">
        <f>DATE(2011,1,18) + TIME(4,39,2)</f>
        <v>40561.193773148145</v>
      </c>
      <c r="C576">
        <v>80</v>
      </c>
      <c r="D576">
        <v>69.053543090999995</v>
      </c>
      <c r="E576">
        <v>50</v>
      </c>
      <c r="F576">
        <v>49.947406768999997</v>
      </c>
      <c r="G576">
        <v>1292.6625977000001</v>
      </c>
      <c r="H576">
        <v>1279.1108397999999</v>
      </c>
      <c r="I576">
        <v>1399.5607910000001</v>
      </c>
      <c r="J576">
        <v>1379.9389647999999</v>
      </c>
      <c r="K576">
        <v>0</v>
      </c>
      <c r="L576">
        <v>2400</v>
      </c>
      <c r="M576">
        <v>2400</v>
      </c>
      <c r="N576">
        <v>0</v>
      </c>
    </row>
    <row r="577" spans="1:14" x14ac:dyDescent="0.25">
      <c r="A577">
        <v>263.90429999999998</v>
      </c>
      <c r="B577" s="1">
        <f>DATE(2011,1,19) + TIME(21,42,11)</f>
        <v>40562.904293981483</v>
      </c>
      <c r="C577">
        <v>80</v>
      </c>
      <c r="D577">
        <v>68.875427246000001</v>
      </c>
      <c r="E577">
        <v>50</v>
      </c>
      <c r="F577">
        <v>49.947547913000001</v>
      </c>
      <c r="G577">
        <v>1292.453125</v>
      </c>
      <c r="H577">
        <v>1278.8338623</v>
      </c>
      <c r="I577">
        <v>1399.4733887</v>
      </c>
      <c r="J577">
        <v>1379.855957</v>
      </c>
      <c r="K577">
        <v>0</v>
      </c>
      <c r="L577">
        <v>2400</v>
      </c>
      <c r="M577">
        <v>2400</v>
      </c>
      <c r="N577">
        <v>0</v>
      </c>
    </row>
    <row r="578" spans="1:14" x14ac:dyDescent="0.25">
      <c r="A578">
        <v>265.65453200000002</v>
      </c>
      <c r="B578" s="1">
        <f>DATE(2011,1,21) + TIME(15,42,31)</f>
        <v>40564.65452546296</v>
      </c>
      <c r="C578">
        <v>80</v>
      </c>
      <c r="D578">
        <v>68.692436217999997</v>
      </c>
      <c r="E578">
        <v>50</v>
      </c>
      <c r="F578">
        <v>49.947692871000001</v>
      </c>
      <c r="G578">
        <v>1292.2353516000001</v>
      </c>
      <c r="H578">
        <v>1278.5449219</v>
      </c>
      <c r="I578">
        <v>1399.3863524999999</v>
      </c>
      <c r="J578">
        <v>1379.7734375</v>
      </c>
      <c r="K578">
        <v>0</v>
      </c>
      <c r="L578">
        <v>2400</v>
      </c>
      <c r="M578">
        <v>2400</v>
      </c>
      <c r="N578">
        <v>0</v>
      </c>
    </row>
    <row r="579" spans="1:14" x14ac:dyDescent="0.25">
      <c r="A579">
        <v>267.45465100000001</v>
      </c>
      <c r="B579" s="1">
        <f>DATE(2011,1,23) + TIME(10,54,41)</f>
        <v>40566.454641203702</v>
      </c>
      <c r="C579">
        <v>80</v>
      </c>
      <c r="D579">
        <v>68.503402710000003</v>
      </c>
      <c r="E579">
        <v>50</v>
      </c>
      <c r="F579">
        <v>49.947837829999997</v>
      </c>
      <c r="G579">
        <v>1292.0080565999999</v>
      </c>
      <c r="H579">
        <v>1278.2423096</v>
      </c>
      <c r="I579">
        <v>1399.2994385</v>
      </c>
      <c r="J579">
        <v>1379.690918</v>
      </c>
      <c r="K579">
        <v>0</v>
      </c>
      <c r="L579">
        <v>2400</v>
      </c>
      <c r="M579">
        <v>2400</v>
      </c>
      <c r="N579">
        <v>0</v>
      </c>
    </row>
    <row r="580" spans="1:14" x14ac:dyDescent="0.25">
      <c r="A580">
        <v>269.273798</v>
      </c>
      <c r="B580" s="1">
        <f>DATE(2011,1,25) + TIME(6,34,16)</f>
        <v>40568.273796296293</v>
      </c>
      <c r="C580">
        <v>80</v>
      </c>
      <c r="D580">
        <v>68.308319092000005</v>
      </c>
      <c r="E580">
        <v>50</v>
      </c>
      <c r="F580">
        <v>49.947986602999997</v>
      </c>
      <c r="G580">
        <v>1291.7698975000001</v>
      </c>
      <c r="H580">
        <v>1277.9245605000001</v>
      </c>
      <c r="I580">
        <v>1399.2122803</v>
      </c>
      <c r="J580">
        <v>1379.6081543</v>
      </c>
      <c r="K580">
        <v>0</v>
      </c>
      <c r="L580">
        <v>2400</v>
      </c>
      <c r="M580">
        <v>2400</v>
      </c>
      <c r="N580">
        <v>0</v>
      </c>
    </row>
    <row r="581" spans="1:14" x14ac:dyDescent="0.25">
      <c r="A581">
        <v>271.09887700000002</v>
      </c>
      <c r="B581" s="1">
        <f>DATE(2011,1,27) + TIME(2,22,23)</f>
        <v>40570.098877314813</v>
      </c>
      <c r="C581">
        <v>80</v>
      </c>
      <c r="D581">
        <v>68.108558654999996</v>
      </c>
      <c r="E581">
        <v>50</v>
      </c>
      <c r="F581">
        <v>49.948135376000003</v>
      </c>
      <c r="G581">
        <v>1291.5241699000001</v>
      </c>
      <c r="H581">
        <v>1277.5953368999999</v>
      </c>
      <c r="I581">
        <v>1399.1260986</v>
      </c>
      <c r="J581">
        <v>1379.5264893000001</v>
      </c>
      <c r="K581">
        <v>0</v>
      </c>
      <c r="L581">
        <v>2400</v>
      </c>
      <c r="M581">
        <v>2400</v>
      </c>
      <c r="N581">
        <v>0</v>
      </c>
    </row>
    <row r="582" spans="1:14" x14ac:dyDescent="0.25">
      <c r="A582">
        <v>272.940091</v>
      </c>
      <c r="B582" s="1">
        <f>DATE(2011,1,28) + TIME(22,33,43)</f>
        <v>40571.940081018518</v>
      </c>
      <c r="C582">
        <v>80</v>
      </c>
      <c r="D582">
        <v>67.904464722</v>
      </c>
      <c r="E582">
        <v>50</v>
      </c>
      <c r="F582">
        <v>49.948284149000003</v>
      </c>
      <c r="G582">
        <v>1291.2725829999999</v>
      </c>
      <c r="H582">
        <v>1277.2567139</v>
      </c>
      <c r="I582">
        <v>1399.0417480000001</v>
      </c>
      <c r="J582">
        <v>1379.4464111</v>
      </c>
      <c r="K582">
        <v>0</v>
      </c>
      <c r="L582">
        <v>2400</v>
      </c>
      <c r="M582">
        <v>2400</v>
      </c>
      <c r="N582">
        <v>0</v>
      </c>
    </row>
    <row r="583" spans="1:14" x14ac:dyDescent="0.25">
      <c r="A583">
        <v>274.80759399999999</v>
      </c>
      <c r="B583" s="1">
        <f>DATE(2011,1,30) + TIME(19,22,56)</f>
        <v>40573.807592592595</v>
      </c>
      <c r="C583">
        <v>80</v>
      </c>
      <c r="D583">
        <v>67.695137024000005</v>
      </c>
      <c r="E583">
        <v>50</v>
      </c>
      <c r="F583">
        <v>49.948436737000002</v>
      </c>
      <c r="G583">
        <v>1291.0139160000001</v>
      </c>
      <c r="H583">
        <v>1276.9073486</v>
      </c>
      <c r="I583">
        <v>1398.9586182</v>
      </c>
      <c r="J583">
        <v>1379.3675536999999</v>
      </c>
      <c r="K583">
        <v>0</v>
      </c>
      <c r="L583">
        <v>2400</v>
      </c>
      <c r="M583">
        <v>2400</v>
      </c>
      <c r="N583">
        <v>0</v>
      </c>
    </row>
    <row r="584" spans="1:14" x14ac:dyDescent="0.25">
      <c r="A584">
        <v>276</v>
      </c>
      <c r="B584" s="1">
        <f>DATE(2011,2,1) + TIME(0,0,0)</f>
        <v>40575</v>
      </c>
      <c r="C584">
        <v>80</v>
      </c>
      <c r="D584">
        <v>67.513023376000007</v>
      </c>
      <c r="E584">
        <v>50</v>
      </c>
      <c r="F584">
        <v>49.948528289999999</v>
      </c>
      <c r="G584">
        <v>1290.7506103999999</v>
      </c>
      <c r="H584">
        <v>1276.5587158000001</v>
      </c>
      <c r="I584">
        <v>1398.8756103999999</v>
      </c>
      <c r="J584">
        <v>1379.2888184000001</v>
      </c>
      <c r="K584">
        <v>0</v>
      </c>
      <c r="L584">
        <v>2400</v>
      </c>
      <c r="M584">
        <v>2400</v>
      </c>
      <c r="N584">
        <v>0</v>
      </c>
    </row>
    <row r="585" spans="1:14" x14ac:dyDescent="0.25">
      <c r="A585">
        <v>277.89750700000002</v>
      </c>
      <c r="B585" s="1">
        <f>DATE(2011,2,2) + TIME(21,32,24)</f>
        <v>40576.897499999999</v>
      </c>
      <c r="C585">
        <v>80</v>
      </c>
      <c r="D585">
        <v>67.325370789000004</v>
      </c>
      <c r="E585">
        <v>50</v>
      </c>
      <c r="F585">
        <v>49.948680877999998</v>
      </c>
      <c r="G585">
        <v>1290.5650635</v>
      </c>
      <c r="H585">
        <v>1276.2932129000001</v>
      </c>
      <c r="I585">
        <v>1398.8244629000001</v>
      </c>
      <c r="J585">
        <v>1379.2403564000001</v>
      </c>
      <c r="K585">
        <v>0</v>
      </c>
      <c r="L585">
        <v>2400</v>
      </c>
      <c r="M585">
        <v>2400</v>
      </c>
      <c r="N585">
        <v>0</v>
      </c>
    </row>
    <row r="586" spans="1:14" x14ac:dyDescent="0.25">
      <c r="A586">
        <v>279.86220600000001</v>
      </c>
      <c r="B586" s="1">
        <f>DATE(2011,2,4) + TIME(20,41,34)</f>
        <v>40578.862199074072</v>
      </c>
      <c r="C586">
        <v>80</v>
      </c>
      <c r="D586">
        <v>67.107940674000005</v>
      </c>
      <c r="E586">
        <v>50</v>
      </c>
      <c r="F586">
        <v>49.948837279999999</v>
      </c>
      <c r="G586">
        <v>1290.2912598</v>
      </c>
      <c r="H586">
        <v>1275.9234618999999</v>
      </c>
      <c r="I586">
        <v>1398.7437743999999</v>
      </c>
      <c r="J586">
        <v>1379.1638184000001</v>
      </c>
      <c r="K586">
        <v>0</v>
      </c>
      <c r="L586">
        <v>2400</v>
      </c>
      <c r="M586">
        <v>2400</v>
      </c>
      <c r="N586">
        <v>0</v>
      </c>
    </row>
    <row r="587" spans="1:14" x14ac:dyDescent="0.25">
      <c r="A587">
        <v>281.87879199999998</v>
      </c>
      <c r="B587" s="1">
        <f>DATE(2011,2,6) + TIME(21,5,27)</f>
        <v>40580.878784722219</v>
      </c>
      <c r="C587">
        <v>80</v>
      </c>
      <c r="D587">
        <v>66.872604370000005</v>
      </c>
      <c r="E587">
        <v>50</v>
      </c>
      <c r="F587">
        <v>49.948997497999997</v>
      </c>
      <c r="G587">
        <v>1289.9990233999999</v>
      </c>
      <c r="H587">
        <v>1275.5252685999999</v>
      </c>
      <c r="I587">
        <v>1398.6621094</v>
      </c>
      <c r="J587">
        <v>1379.0863036999999</v>
      </c>
      <c r="K587">
        <v>0</v>
      </c>
      <c r="L587">
        <v>2400</v>
      </c>
      <c r="M587">
        <v>2400</v>
      </c>
      <c r="N587">
        <v>0</v>
      </c>
    </row>
    <row r="588" spans="1:14" x14ac:dyDescent="0.25">
      <c r="A588">
        <v>283.91311100000001</v>
      </c>
      <c r="B588" s="1">
        <f>DATE(2011,2,8) + TIME(21,54,52)</f>
        <v>40582.913101851853</v>
      </c>
      <c r="C588">
        <v>80</v>
      </c>
      <c r="D588">
        <v>66.624618530000006</v>
      </c>
      <c r="E588">
        <v>50</v>
      </c>
      <c r="F588">
        <v>49.949157714999998</v>
      </c>
      <c r="G588">
        <v>1289.6925048999999</v>
      </c>
      <c r="H588">
        <v>1275.1057129000001</v>
      </c>
      <c r="I588">
        <v>1398.5799560999999</v>
      </c>
      <c r="J588">
        <v>1379.0085449000001</v>
      </c>
      <c r="K588">
        <v>0</v>
      </c>
      <c r="L588">
        <v>2400</v>
      </c>
      <c r="M588">
        <v>2400</v>
      </c>
      <c r="N588">
        <v>0</v>
      </c>
    </row>
    <row r="589" spans="1:14" x14ac:dyDescent="0.25">
      <c r="A589">
        <v>285.95718900000003</v>
      </c>
      <c r="B589" s="1">
        <f>DATE(2011,2,10) + TIME(22,58,21)</f>
        <v>40584.957187499997</v>
      </c>
      <c r="C589">
        <v>80</v>
      </c>
      <c r="D589">
        <v>66.367225646999998</v>
      </c>
      <c r="E589">
        <v>50</v>
      </c>
      <c r="F589">
        <v>49.949314117</v>
      </c>
      <c r="G589">
        <v>1289.3771973</v>
      </c>
      <c r="H589">
        <v>1274.671875</v>
      </c>
      <c r="I589">
        <v>1398.4990233999999</v>
      </c>
      <c r="J589">
        <v>1378.9318848</v>
      </c>
      <c r="K589">
        <v>0</v>
      </c>
      <c r="L589">
        <v>2400</v>
      </c>
      <c r="M589">
        <v>2400</v>
      </c>
      <c r="N589">
        <v>0</v>
      </c>
    </row>
    <row r="590" spans="1:14" x14ac:dyDescent="0.25">
      <c r="A590">
        <v>288.02270800000002</v>
      </c>
      <c r="B590" s="1">
        <f>DATE(2011,2,13) + TIME(0,32,41)</f>
        <v>40587.022696759261</v>
      </c>
      <c r="C590">
        <v>80</v>
      </c>
      <c r="D590">
        <v>66.101028442</v>
      </c>
      <c r="E590">
        <v>50</v>
      </c>
      <c r="F590">
        <v>49.949474334999998</v>
      </c>
      <c r="G590">
        <v>1289.0545654</v>
      </c>
      <c r="H590">
        <v>1274.2261963000001</v>
      </c>
      <c r="I590">
        <v>1398.4194336</v>
      </c>
      <c r="J590">
        <v>1378.8564452999999</v>
      </c>
      <c r="K590">
        <v>0</v>
      </c>
      <c r="L590">
        <v>2400</v>
      </c>
      <c r="M590">
        <v>2400</v>
      </c>
      <c r="N590">
        <v>0</v>
      </c>
    </row>
    <row r="591" spans="1:14" x14ac:dyDescent="0.25">
      <c r="A591">
        <v>290.11426899999998</v>
      </c>
      <c r="B591" s="1">
        <f>DATE(2011,2,15) + TIME(2,44,32)</f>
        <v>40589.114259259259</v>
      </c>
      <c r="C591">
        <v>80</v>
      </c>
      <c r="D591">
        <v>65.825019835999996</v>
      </c>
      <c r="E591">
        <v>50</v>
      </c>
      <c r="F591">
        <v>49.949638366999999</v>
      </c>
      <c r="G591">
        <v>1288.7232666</v>
      </c>
      <c r="H591">
        <v>1273.7668457</v>
      </c>
      <c r="I591">
        <v>1398.3406981999999</v>
      </c>
      <c r="J591">
        <v>1378.7818603999999</v>
      </c>
      <c r="K591">
        <v>0</v>
      </c>
      <c r="L591">
        <v>2400</v>
      </c>
      <c r="M591">
        <v>2400</v>
      </c>
      <c r="N591">
        <v>0</v>
      </c>
    </row>
    <row r="592" spans="1:14" x14ac:dyDescent="0.25">
      <c r="A592">
        <v>292.23827999999997</v>
      </c>
      <c r="B592" s="1">
        <f>DATE(2011,2,17) + TIME(5,43,7)</f>
        <v>40591.238275462965</v>
      </c>
      <c r="C592">
        <v>80</v>
      </c>
      <c r="D592">
        <v>65.537925720000004</v>
      </c>
      <c r="E592">
        <v>50</v>
      </c>
      <c r="F592">
        <v>49.949798584</v>
      </c>
      <c r="G592">
        <v>1288.3825684000001</v>
      </c>
      <c r="H592">
        <v>1273.2929687999999</v>
      </c>
      <c r="I592">
        <v>1398.2626952999999</v>
      </c>
      <c r="J592">
        <v>1378.7078856999999</v>
      </c>
      <c r="K592">
        <v>0</v>
      </c>
      <c r="L592">
        <v>2400</v>
      </c>
      <c r="M592">
        <v>2400</v>
      </c>
      <c r="N592">
        <v>0</v>
      </c>
    </row>
    <row r="593" spans="1:14" x14ac:dyDescent="0.25">
      <c r="A593">
        <v>294.40432800000002</v>
      </c>
      <c r="B593" s="1">
        <f>DATE(2011,2,19) + TIME(9,42,13)</f>
        <v>40593.404317129629</v>
      </c>
      <c r="C593">
        <v>80</v>
      </c>
      <c r="D593">
        <v>65.238113403</v>
      </c>
      <c r="E593">
        <v>50</v>
      </c>
      <c r="F593">
        <v>49.949966431</v>
      </c>
      <c r="G593">
        <v>1288.0313721</v>
      </c>
      <c r="H593">
        <v>1272.8028564000001</v>
      </c>
      <c r="I593">
        <v>1398.1850586</v>
      </c>
      <c r="J593">
        <v>1378.6342772999999</v>
      </c>
      <c r="K593">
        <v>0</v>
      </c>
      <c r="L593">
        <v>2400</v>
      </c>
      <c r="M593">
        <v>2400</v>
      </c>
      <c r="N593">
        <v>0</v>
      </c>
    </row>
    <row r="594" spans="1:14" x14ac:dyDescent="0.25">
      <c r="A594">
        <v>296.62159400000002</v>
      </c>
      <c r="B594" s="1">
        <f>DATE(2011,2,21) + TIME(14,55,5)</f>
        <v>40595.62158564815</v>
      </c>
      <c r="C594">
        <v>80</v>
      </c>
      <c r="D594">
        <v>64.923568725999999</v>
      </c>
      <c r="E594">
        <v>50</v>
      </c>
      <c r="F594">
        <v>49.950134276999997</v>
      </c>
      <c r="G594">
        <v>1287.6682129000001</v>
      </c>
      <c r="H594">
        <v>1272.2940673999999</v>
      </c>
      <c r="I594">
        <v>1398.1075439000001</v>
      </c>
      <c r="J594">
        <v>1378.5609131000001</v>
      </c>
      <c r="K594">
        <v>0</v>
      </c>
      <c r="L594">
        <v>2400</v>
      </c>
      <c r="M594">
        <v>2400</v>
      </c>
      <c r="N594">
        <v>0</v>
      </c>
    </row>
    <row r="595" spans="1:14" x14ac:dyDescent="0.25">
      <c r="A595">
        <v>298.87689499999999</v>
      </c>
      <c r="B595" s="1">
        <f>DATE(2011,2,23) + TIME(21,2,43)</f>
        <v>40597.876886574071</v>
      </c>
      <c r="C595">
        <v>80</v>
      </c>
      <c r="D595">
        <v>64.593048096000004</v>
      </c>
      <c r="E595">
        <v>50</v>
      </c>
      <c r="F595">
        <v>49.950302123999997</v>
      </c>
      <c r="G595">
        <v>1287.2912598</v>
      </c>
      <c r="H595">
        <v>1271.7645264</v>
      </c>
      <c r="I595">
        <v>1398.0297852000001</v>
      </c>
      <c r="J595">
        <v>1378.4871826000001</v>
      </c>
      <c r="K595">
        <v>0</v>
      </c>
      <c r="L595">
        <v>2400</v>
      </c>
      <c r="M595">
        <v>2400</v>
      </c>
      <c r="N595">
        <v>0</v>
      </c>
    </row>
    <row r="596" spans="1:14" x14ac:dyDescent="0.25">
      <c r="A596">
        <v>301.13974899999999</v>
      </c>
      <c r="B596" s="1">
        <f>DATE(2011,2,26) + TIME(3,21,14)</f>
        <v>40600.139745370368</v>
      </c>
      <c r="C596">
        <v>80</v>
      </c>
      <c r="D596">
        <v>64.247604370000005</v>
      </c>
      <c r="E596">
        <v>50</v>
      </c>
      <c r="F596">
        <v>49.950469970999997</v>
      </c>
      <c r="G596">
        <v>1286.9024658000001</v>
      </c>
      <c r="H596">
        <v>1271.2164307</v>
      </c>
      <c r="I596">
        <v>1397.9522704999999</v>
      </c>
      <c r="J596">
        <v>1378.4138184000001</v>
      </c>
      <c r="K596">
        <v>0</v>
      </c>
      <c r="L596">
        <v>2400</v>
      </c>
      <c r="M596">
        <v>2400</v>
      </c>
      <c r="N596">
        <v>0</v>
      </c>
    </row>
    <row r="597" spans="1:14" x14ac:dyDescent="0.25">
      <c r="A597">
        <v>303.42302799999999</v>
      </c>
      <c r="B597" s="1">
        <f>DATE(2011,2,28) + TIME(10,9,9)</f>
        <v>40602.423020833332</v>
      </c>
      <c r="C597">
        <v>80</v>
      </c>
      <c r="D597">
        <v>63.888801575000002</v>
      </c>
      <c r="E597">
        <v>50</v>
      </c>
      <c r="F597">
        <v>49.950641632</v>
      </c>
      <c r="G597">
        <v>1286.5063477000001</v>
      </c>
      <c r="H597">
        <v>1270.6557617000001</v>
      </c>
      <c r="I597">
        <v>1397.8759766000001</v>
      </c>
      <c r="J597">
        <v>1378.3415527</v>
      </c>
      <c r="K597">
        <v>0</v>
      </c>
      <c r="L597">
        <v>2400</v>
      </c>
      <c r="M597">
        <v>2400</v>
      </c>
      <c r="N597">
        <v>0</v>
      </c>
    </row>
    <row r="598" spans="1:14" x14ac:dyDescent="0.25">
      <c r="A598">
        <v>304</v>
      </c>
      <c r="B598" s="1">
        <f>DATE(2011,3,1) + TIME(0,0,0)</f>
        <v>40603</v>
      </c>
      <c r="C598">
        <v>80</v>
      </c>
      <c r="D598">
        <v>63.678703308000003</v>
      </c>
      <c r="E598">
        <v>50</v>
      </c>
      <c r="F598">
        <v>49.950675963999998</v>
      </c>
      <c r="G598">
        <v>1286.1210937999999</v>
      </c>
      <c r="H598">
        <v>1270.1527100000001</v>
      </c>
      <c r="I598">
        <v>1397.7995605000001</v>
      </c>
      <c r="J598">
        <v>1378.269043</v>
      </c>
      <c r="K598">
        <v>0</v>
      </c>
      <c r="L598">
        <v>2400</v>
      </c>
      <c r="M598">
        <v>2400</v>
      </c>
      <c r="N598">
        <v>0</v>
      </c>
    </row>
    <row r="599" spans="1:14" x14ac:dyDescent="0.25">
      <c r="A599">
        <v>306.30808400000001</v>
      </c>
      <c r="B599" s="1">
        <f>DATE(2011,3,3) + TIME(7,23,38)</f>
        <v>40605.308078703703</v>
      </c>
      <c r="C599">
        <v>80</v>
      </c>
      <c r="D599">
        <v>63.388320923000002</v>
      </c>
      <c r="E599">
        <v>50</v>
      </c>
      <c r="F599">
        <v>49.950851440000001</v>
      </c>
      <c r="G599">
        <v>1285.9808350000001</v>
      </c>
      <c r="H599">
        <v>1269.8964844</v>
      </c>
      <c r="I599">
        <v>1397.7816161999999</v>
      </c>
      <c r="J599">
        <v>1378.2520752</v>
      </c>
      <c r="K599">
        <v>0</v>
      </c>
      <c r="L599">
        <v>2400</v>
      </c>
      <c r="M599">
        <v>2400</v>
      </c>
      <c r="N599">
        <v>0</v>
      </c>
    </row>
    <row r="600" spans="1:14" x14ac:dyDescent="0.25">
      <c r="A600">
        <v>308.65776499999998</v>
      </c>
      <c r="B600" s="1">
        <f>DATE(2011,3,5) + TIME(15,47,10)</f>
        <v>40607.657754629632</v>
      </c>
      <c r="C600">
        <v>80</v>
      </c>
      <c r="D600">
        <v>63.018177031999997</v>
      </c>
      <c r="E600">
        <v>50</v>
      </c>
      <c r="F600">
        <v>49.951023102000001</v>
      </c>
      <c r="G600">
        <v>1285.5789795000001</v>
      </c>
      <c r="H600">
        <v>1269.3314209</v>
      </c>
      <c r="I600">
        <v>1397.7072754000001</v>
      </c>
      <c r="J600">
        <v>1378.1816406</v>
      </c>
      <c r="K600">
        <v>0</v>
      </c>
      <c r="L600">
        <v>2400</v>
      </c>
      <c r="M600">
        <v>2400</v>
      </c>
      <c r="N600">
        <v>0</v>
      </c>
    </row>
    <row r="601" spans="1:14" x14ac:dyDescent="0.25">
      <c r="A601">
        <v>311.05401699999999</v>
      </c>
      <c r="B601" s="1">
        <f>DATE(2011,3,8) + TIME(1,17,47)</f>
        <v>40610.054016203707</v>
      </c>
      <c r="C601">
        <v>80</v>
      </c>
      <c r="D601">
        <v>62.612434387</v>
      </c>
      <c r="E601">
        <v>50</v>
      </c>
      <c r="F601">
        <v>49.951198578000003</v>
      </c>
      <c r="G601">
        <v>1285.1552733999999</v>
      </c>
      <c r="H601">
        <v>1268.7264404</v>
      </c>
      <c r="I601">
        <v>1397.6328125</v>
      </c>
      <c r="J601">
        <v>1378.1112060999999</v>
      </c>
      <c r="K601">
        <v>0</v>
      </c>
      <c r="L601">
        <v>2400</v>
      </c>
      <c r="M601">
        <v>2400</v>
      </c>
      <c r="N601">
        <v>0</v>
      </c>
    </row>
    <row r="602" spans="1:14" x14ac:dyDescent="0.25">
      <c r="A602">
        <v>313.50255399999998</v>
      </c>
      <c r="B602" s="1">
        <f>DATE(2011,3,10) + TIME(12,3,40)</f>
        <v>40612.502546296295</v>
      </c>
      <c r="C602">
        <v>80</v>
      </c>
      <c r="D602">
        <v>62.181499481000003</v>
      </c>
      <c r="E602">
        <v>50</v>
      </c>
      <c r="F602">
        <v>49.951374053999999</v>
      </c>
      <c r="G602">
        <v>1284.7159423999999</v>
      </c>
      <c r="H602">
        <v>1268.0952147999999</v>
      </c>
      <c r="I602">
        <v>1397.5583495999999</v>
      </c>
      <c r="J602">
        <v>1378.0406493999999</v>
      </c>
      <c r="K602">
        <v>0</v>
      </c>
      <c r="L602">
        <v>2400</v>
      </c>
      <c r="M602">
        <v>2400</v>
      </c>
      <c r="N602">
        <v>0</v>
      </c>
    </row>
    <row r="603" spans="1:14" x14ac:dyDescent="0.25">
      <c r="A603">
        <v>315.96823499999999</v>
      </c>
      <c r="B603" s="1">
        <f>DATE(2011,3,12) + TIME(23,14,15)</f>
        <v>40614.968229166669</v>
      </c>
      <c r="C603">
        <v>80</v>
      </c>
      <c r="D603">
        <v>61.728435515999998</v>
      </c>
      <c r="E603">
        <v>50</v>
      </c>
      <c r="F603">
        <v>49.951549530000001</v>
      </c>
      <c r="G603">
        <v>1284.2620850000001</v>
      </c>
      <c r="H603">
        <v>1267.4405518000001</v>
      </c>
      <c r="I603">
        <v>1397.4836425999999</v>
      </c>
      <c r="J603">
        <v>1377.9698486</v>
      </c>
      <c r="K603">
        <v>0</v>
      </c>
      <c r="L603">
        <v>2400</v>
      </c>
      <c r="M603">
        <v>2400</v>
      </c>
      <c r="N603">
        <v>0</v>
      </c>
    </row>
    <row r="604" spans="1:14" x14ac:dyDescent="0.25">
      <c r="A604">
        <v>318.44564400000002</v>
      </c>
      <c r="B604" s="1">
        <f>DATE(2011,3,15) + TIME(10,41,43)</f>
        <v>40617.445636574077</v>
      </c>
      <c r="C604">
        <v>80</v>
      </c>
      <c r="D604">
        <v>61.257251740000001</v>
      </c>
      <c r="E604">
        <v>50</v>
      </c>
      <c r="F604">
        <v>49.951725005999997</v>
      </c>
      <c r="G604">
        <v>1283.7998047000001</v>
      </c>
      <c r="H604">
        <v>1266.7706298999999</v>
      </c>
      <c r="I604">
        <v>1397.409668</v>
      </c>
      <c r="J604">
        <v>1377.8997803</v>
      </c>
      <c r="K604">
        <v>0</v>
      </c>
      <c r="L604">
        <v>2400</v>
      </c>
      <c r="M604">
        <v>2400</v>
      </c>
      <c r="N604">
        <v>0</v>
      </c>
    </row>
    <row r="605" spans="1:14" x14ac:dyDescent="0.25">
      <c r="A605">
        <v>320.93519700000002</v>
      </c>
      <c r="B605" s="1">
        <f>DATE(2011,3,17) + TIME(22,26,41)</f>
        <v>40619.935196759259</v>
      </c>
      <c r="C605">
        <v>80</v>
      </c>
      <c r="D605">
        <v>60.769393921000002</v>
      </c>
      <c r="E605">
        <v>50</v>
      </c>
      <c r="F605">
        <v>49.951900481999999</v>
      </c>
      <c r="G605">
        <v>1283.3308105000001</v>
      </c>
      <c r="H605">
        <v>1266.0882568</v>
      </c>
      <c r="I605">
        <v>1397.3366699000001</v>
      </c>
      <c r="J605">
        <v>1377.8305664</v>
      </c>
      <c r="K605">
        <v>0</v>
      </c>
      <c r="L605">
        <v>2400</v>
      </c>
      <c r="M605">
        <v>2400</v>
      </c>
      <c r="N605">
        <v>0</v>
      </c>
    </row>
    <row r="606" spans="1:14" x14ac:dyDescent="0.25">
      <c r="A606">
        <v>323.44096500000001</v>
      </c>
      <c r="B606" s="1">
        <f>DATE(2011,3,20) + TIME(10,34,59)</f>
        <v>40622.440960648149</v>
      </c>
      <c r="C606">
        <v>80</v>
      </c>
      <c r="D606">
        <v>60.265193939</v>
      </c>
      <c r="E606">
        <v>50</v>
      </c>
      <c r="F606">
        <v>49.952075958000002</v>
      </c>
      <c r="G606">
        <v>1282.8555908000001</v>
      </c>
      <c r="H606">
        <v>1265.3939209</v>
      </c>
      <c r="I606">
        <v>1397.2645264</v>
      </c>
      <c r="J606">
        <v>1377.762207</v>
      </c>
      <c r="K606">
        <v>0</v>
      </c>
      <c r="L606">
        <v>2400</v>
      </c>
      <c r="M606">
        <v>2400</v>
      </c>
      <c r="N606">
        <v>0</v>
      </c>
    </row>
    <row r="607" spans="1:14" x14ac:dyDescent="0.25">
      <c r="A607">
        <v>325.95685099999997</v>
      </c>
      <c r="B607" s="1">
        <f>DATE(2011,3,22) + TIME(22,57,51)</f>
        <v>40624.95684027778</v>
      </c>
      <c r="C607">
        <v>80</v>
      </c>
      <c r="D607">
        <v>59.743869781000001</v>
      </c>
      <c r="E607">
        <v>50</v>
      </c>
      <c r="F607">
        <v>49.952247620000001</v>
      </c>
      <c r="G607">
        <v>1282.3739014</v>
      </c>
      <c r="H607">
        <v>1264.6872559000001</v>
      </c>
      <c r="I607">
        <v>1397.1931152</v>
      </c>
      <c r="J607">
        <v>1377.6945800999999</v>
      </c>
      <c r="K607">
        <v>0</v>
      </c>
      <c r="L607">
        <v>2400</v>
      </c>
      <c r="M607">
        <v>2400</v>
      </c>
      <c r="N607">
        <v>0</v>
      </c>
    </row>
    <row r="608" spans="1:14" x14ac:dyDescent="0.25">
      <c r="A608">
        <v>328.48334499999999</v>
      </c>
      <c r="B608" s="1">
        <f>DATE(2011,3,25) + TIME(11,36,1)</f>
        <v>40627.483344907407</v>
      </c>
      <c r="C608">
        <v>80</v>
      </c>
      <c r="D608">
        <v>59.206066131999997</v>
      </c>
      <c r="E608">
        <v>50</v>
      </c>
      <c r="F608">
        <v>49.952423095999997</v>
      </c>
      <c r="G608">
        <v>1281.8869629000001</v>
      </c>
      <c r="H608">
        <v>1263.9699707</v>
      </c>
      <c r="I608">
        <v>1397.1225586</v>
      </c>
      <c r="J608">
        <v>1377.6276855000001</v>
      </c>
      <c r="K608">
        <v>0</v>
      </c>
      <c r="L608">
        <v>2400</v>
      </c>
      <c r="M608">
        <v>2400</v>
      </c>
      <c r="N608">
        <v>0</v>
      </c>
    </row>
    <row r="609" spans="1:14" x14ac:dyDescent="0.25">
      <c r="A609">
        <v>331.02279299999998</v>
      </c>
      <c r="B609" s="1">
        <f>DATE(2011,3,28) + TIME(0,32,49)</f>
        <v>40630.022789351853</v>
      </c>
      <c r="C609">
        <v>80</v>
      </c>
      <c r="D609">
        <v>58.652206421000002</v>
      </c>
      <c r="E609">
        <v>50</v>
      </c>
      <c r="F609">
        <v>49.952594757</v>
      </c>
      <c r="G609">
        <v>1281.3951416</v>
      </c>
      <c r="H609">
        <v>1263.2423096</v>
      </c>
      <c r="I609">
        <v>1397.0527344</v>
      </c>
      <c r="J609">
        <v>1377.5615233999999</v>
      </c>
      <c r="K609">
        <v>0</v>
      </c>
      <c r="L609">
        <v>2400</v>
      </c>
      <c r="M609">
        <v>2400</v>
      </c>
      <c r="N609">
        <v>0</v>
      </c>
    </row>
    <row r="610" spans="1:14" x14ac:dyDescent="0.25">
      <c r="A610">
        <v>333.57031599999999</v>
      </c>
      <c r="B610" s="1">
        <f>DATE(2011,3,30) + TIME(13,41,15)</f>
        <v>40632.5703125</v>
      </c>
      <c r="C610">
        <v>80</v>
      </c>
      <c r="D610">
        <v>58.082336425999998</v>
      </c>
      <c r="E610">
        <v>50</v>
      </c>
      <c r="F610">
        <v>49.952766418000003</v>
      </c>
      <c r="G610">
        <v>1280.8981934000001</v>
      </c>
      <c r="H610">
        <v>1262.5043945</v>
      </c>
      <c r="I610">
        <v>1396.9836425999999</v>
      </c>
      <c r="J610">
        <v>1377.4959716999999</v>
      </c>
      <c r="K610">
        <v>0</v>
      </c>
      <c r="L610">
        <v>2400</v>
      </c>
      <c r="M610">
        <v>2400</v>
      </c>
      <c r="N610">
        <v>0</v>
      </c>
    </row>
    <row r="611" spans="1:14" x14ac:dyDescent="0.25">
      <c r="A611">
        <v>335</v>
      </c>
      <c r="B611" s="1">
        <f>DATE(2011,4,1) + TIME(0,0,0)</f>
        <v>40634</v>
      </c>
      <c r="C611">
        <v>80</v>
      </c>
      <c r="D611">
        <v>57.586948395</v>
      </c>
      <c r="E611">
        <v>50</v>
      </c>
      <c r="F611">
        <v>49.952857971</v>
      </c>
      <c r="G611">
        <v>1280.4042969</v>
      </c>
      <c r="H611">
        <v>1261.7960204999999</v>
      </c>
      <c r="I611">
        <v>1396.9147949000001</v>
      </c>
      <c r="J611">
        <v>1377.4306641000001</v>
      </c>
      <c r="K611">
        <v>0</v>
      </c>
      <c r="L611">
        <v>2400</v>
      </c>
      <c r="M611">
        <v>2400</v>
      </c>
      <c r="N611">
        <v>0</v>
      </c>
    </row>
    <row r="612" spans="1:14" x14ac:dyDescent="0.25">
      <c r="A612">
        <v>337.56013400000001</v>
      </c>
      <c r="B612" s="1">
        <f>DATE(2011,4,3) + TIME(13,26,35)</f>
        <v>40636.560127314813</v>
      </c>
      <c r="C612">
        <v>80</v>
      </c>
      <c r="D612">
        <v>57.123245238999999</v>
      </c>
      <c r="E612">
        <v>50</v>
      </c>
      <c r="F612">
        <v>49.953033447000003</v>
      </c>
      <c r="G612">
        <v>1280.0997314000001</v>
      </c>
      <c r="H612">
        <v>1261.2967529</v>
      </c>
      <c r="I612">
        <v>1396.8773193</v>
      </c>
      <c r="J612">
        <v>1377.3951416</v>
      </c>
      <c r="K612">
        <v>0</v>
      </c>
      <c r="L612">
        <v>2400</v>
      </c>
      <c r="M612">
        <v>2400</v>
      </c>
      <c r="N612">
        <v>0</v>
      </c>
    </row>
    <row r="613" spans="1:14" x14ac:dyDescent="0.25">
      <c r="A613">
        <v>340.136077</v>
      </c>
      <c r="B613" s="1">
        <f>DATE(2011,4,6) + TIME(3,15,57)</f>
        <v>40639.136076388888</v>
      </c>
      <c r="C613">
        <v>80</v>
      </c>
      <c r="D613">
        <v>56.545360565000003</v>
      </c>
      <c r="E613">
        <v>50</v>
      </c>
      <c r="F613">
        <v>49.953205109000002</v>
      </c>
      <c r="G613">
        <v>1279.6068115</v>
      </c>
      <c r="H613">
        <v>1260.5678711</v>
      </c>
      <c r="I613">
        <v>1396.8101807</v>
      </c>
      <c r="J613">
        <v>1377.331543</v>
      </c>
      <c r="K613">
        <v>0</v>
      </c>
      <c r="L613">
        <v>2400</v>
      </c>
      <c r="M613">
        <v>2400</v>
      </c>
      <c r="N613">
        <v>0</v>
      </c>
    </row>
    <row r="614" spans="1:14" x14ac:dyDescent="0.25">
      <c r="A614">
        <v>342.721521</v>
      </c>
      <c r="B614" s="1">
        <f>DATE(2011,4,8) + TIME(17,18,59)</f>
        <v>40641.721516203703</v>
      </c>
      <c r="C614">
        <v>80</v>
      </c>
      <c r="D614">
        <v>55.929817200000002</v>
      </c>
      <c r="E614">
        <v>50</v>
      </c>
      <c r="F614">
        <v>49.953376769999998</v>
      </c>
      <c r="G614">
        <v>1279.1000977000001</v>
      </c>
      <c r="H614">
        <v>1259.8065185999999</v>
      </c>
      <c r="I614">
        <v>1396.7435303</v>
      </c>
      <c r="J614">
        <v>1377.2681885</v>
      </c>
      <c r="K614">
        <v>0</v>
      </c>
      <c r="L614">
        <v>2400</v>
      </c>
      <c r="M614">
        <v>2400</v>
      </c>
      <c r="N614">
        <v>0</v>
      </c>
    </row>
    <row r="615" spans="1:14" x14ac:dyDescent="0.25">
      <c r="A615">
        <v>345.31814100000003</v>
      </c>
      <c r="B615" s="1">
        <f>DATE(2011,4,11) + TIME(7,38,7)</f>
        <v>40644.318136574075</v>
      </c>
      <c r="C615">
        <v>80</v>
      </c>
      <c r="D615">
        <v>55.295612335000001</v>
      </c>
      <c r="E615">
        <v>50</v>
      </c>
      <c r="F615">
        <v>49.953544616999999</v>
      </c>
      <c r="G615">
        <v>1278.5883789</v>
      </c>
      <c r="H615">
        <v>1259.0321045000001</v>
      </c>
      <c r="I615">
        <v>1396.6774902</v>
      </c>
      <c r="J615">
        <v>1377.2055664</v>
      </c>
      <c r="K615">
        <v>0</v>
      </c>
      <c r="L615">
        <v>2400</v>
      </c>
      <c r="M615">
        <v>2400</v>
      </c>
      <c r="N615">
        <v>0</v>
      </c>
    </row>
    <row r="616" spans="1:14" x14ac:dyDescent="0.25">
      <c r="A616">
        <v>347.92987199999999</v>
      </c>
      <c r="B616" s="1">
        <f>DATE(2011,4,13) + TIME(22,19,0)</f>
        <v>40646.929861111108</v>
      </c>
      <c r="C616">
        <v>80</v>
      </c>
      <c r="D616">
        <v>54.647171020999998</v>
      </c>
      <c r="E616">
        <v>50</v>
      </c>
      <c r="F616">
        <v>49.953712463000002</v>
      </c>
      <c r="G616">
        <v>1278.0734863</v>
      </c>
      <c r="H616">
        <v>1258.2489014</v>
      </c>
      <c r="I616">
        <v>1396.6119385</v>
      </c>
      <c r="J616">
        <v>1377.1433105000001</v>
      </c>
      <c r="K616">
        <v>0</v>
      </c>
      <c r="L616">
        <v>2400</v>
      </c>
      <c r="M616">
        <v>2400</v>
      </c>
      <c r="N616">
        <v>0</v>
      </c>
    </row>
    <row r="617" spans="1:14" x14ac:dyDescent="0.25">
      <c r="A617">
        <v>350.55636500000003</v>
      </c>
      <c r="B617" s="1">
        <f>DATE(2011,4,16) + TIME(13,21,9)</f>
        <v>40649.556354166663</v>
      </c>
      <c r="C617">
        <v>80</v>
      </c>
      <c r="D617">
        <v>53.985595703000001</v>
      </c>
      <c r="E617">
        <v>50</v>
      </c>
      <c r="F617">
        <v>49.953884125000002</v>
      </c>
      <c r="G617">
        <v>1277.5556641000001</v>
      </c>
      <c r="H617">
        <v>1257.4577637</v>
      </c>
      <c r="I617">
        <v>1396.546875</v>
      </c>
      <c r="J617">
        <v>1377.081543</v>
      </c>
      <c r="K617">
        <v>0</v>
      </c>
      <c r="L617">
        <v>2400</v>
      </c>
      <c r="M617">
        <v>2400</v>
      </c>
      <c r="N617">
        <v>0</v>
      </c>
    </row>
    <row r="618" spans="1:14" x14ac:dyDescent="0.25">
      <c r="A618">
        <v>353.20219700000001</v>
      </c>
      <c r="B618" s="1">
        <f>DATE(2011,4,19) + TIME(4,51,9)</f>
        <v>40652.202187499999</v>
      </c>
      <c r="C618">
        <v>80</v>
      </c>
      <c r="D618">
        <v>53.311584473000003</v>
      </c>
      <c r="E618">
        <v>50</v>
      </c>
      <c r="F618">
        <v>49.954051970999998</v>
      </c>
      <c r="G618">
        <v>1277.0354004000001</v>
      </c>
      <c r="H618">
        <v>1256.6591797000001</v>
      </c>
      <c r="I618">
        <v>1396.4821777</v>
      </c>
      <c r="J618">
        <v>1377.0200195</v>
      </c>
      <c r="K618">
        <v>0</v>
      </c>
      <c r="L618">
        <v>2400</v>
      </c>
      <c r="M618">
        <v>2400</v>
      </c>
      <c r="N618">
        <v>0</v>
      </c>
    </row>
    <row r="619" spans="1:14" x14ac:dyDescent="0.25">
      <c r="A619">
        <v>355.87196399999999</v>
      </c>
      <c r="B619" s="1">
        <f>DATE(2011,4,21) + TIME(20,55,37)</f>
        <v>40654.87195601852</v>
      </c>
      <c r="C619">
        <v>80</v>
      </c>
      <c r="D619">
        <v>52.625102996999999</v>
      </c>
      <c r="E619">
        <v>50</v>
      </c>
      <c r="F619">
        <v>49.954219817999999</v>
      </c>
      <c r="G619">
        <v>1276.5123291</v>
      </c>
      <c r="H619">
        <v>1255.8525391000001</v>
      </c>
      <c r="I619">
        <v>1396.4177245999999</v>
      </c>
      <c r="J619">
        <v>1376.9588623</v>
      </c>
      <c r="K619">
        <v>0</v>
      </c>
      <c r="L619">
        <v>2400</v>
      </c>
      <c r="M619">
        <v>2400</v>
      </c>
      <c r="N619">
        <v>0</v>
      </c>
    </row>
    <row r="620" spans="1:14" x14ac:dyDescent="0.25">
      <c r="A620">
        <v>358.56920700000001</v>
      </c>
      <c r="B620" s="1">
        <f>DATE(2011,4,24) + TIME(13,39,39)</f>
        <v>40657.569201388891</v>
      </c>
      <c r="C620">
        <v>80</v>
      </c>
      <c r="D620">
        <v>51.926055908000002</v>
      </c>
      <c r="E620">
        <v>50</v>
      </c>
      <c r="F620">
        <v>49.954387664999999</v>
      </c>
      <c r="G620">
        <v>1275.9860839999999</v>
      </c>
      <c r="H620">
        <v>1255.0373535000001</v>
      </c>
      <c r="I620">
        <v>1396.3533935999999</v>
      </c>
      <c r="J620">
        <v>1376.8977050999999</v>
      </c>
      <c r="K620">
        <v>0</v>
      </c>
      <c r="L620">
        <v>2400</v>
      </c>
      <c r="M620">
        <v>2400</v>
      </c>
      <c r="N620">
        <v>0</v>
      </c>
    </row>
    <row r="621" spans="1:14" x14ac:dyDescent="0.25">
      <c r="A621">
        <v>361.28508499999998</v>
      </c>
      <c r="B621" s="1">
        <f>DATE(2011,4,27) + TIME(6,50,31)</f>
        <v>40660.285081018519</v>
      </c>
      <c r="C621">
        <v>80</v>
      </c>
      <c r="D621">
        <v>51.215370178000001</v>
      </c>
      <c r="E621">
        <v>50</v>
      </c>
      <c r="F621">
        <v>49.954559326000002</v>
      </c>
      <c r="G621">
        <v>1275.4564209</v>
      </c>
      <c r="H621">
        <v>1254.213501</v>
      </c>
      <c r="I621">
        <v>1396.2891846</v>
      </c>
      <c r="J621">
        <v>1376.8366699000001</v>
      </c>
      <c r="K621">
        <v>0</v>
      </c>
      <c r="L621">
        <v>2400</v>
      </c>
      <c r="M621">
        <v>2400</v>
      </c>
      <c r="N621">
        <v>0</v>
      </c>
    </row>
    <row r="622" spans="1:14" x14ac:dyDescent="0.25">
      <c r="A622">
        <v>364.02547700000002</v>
      </c>
      <c r="B622" s="1">
        <f>DATE(2011,4,30) + TIME(0,36,41)</f>
        <v>40663.02547453704</v>
      </c>
      <c r="C622">
        <v>80</v>
      </c>
      <c r="D622">
        <v>50.494781494000001</v>
      </c>
      <c r="E622">
        <v>50</v>
      </c>
      <c r="F622">
        <v>49.954727173000002</v>
      </c>
      <c r="G622">
        <v>1274.9255370999999</v>
      </c>
      <c r="H622">
        <v>1253.3833007999999</v>
      </c>
      <c r="I622">
        <v>1396.2250977000001</v>
      </c>
      <c r="J622">
        <v>1376.7757568</v>
      </c>
      <c r="K622">
        <v>0</v>
      </c>
      <c r="L622">
        <v>2400</v>
      </c>
      <c r="M622">
        <v>2400</v>
      </c>
      <c r="N622">
        <v>0</v>
      </c>
    </row>
    <row r="623" spans="1:14" x14ac:dyDescent="0.25">
      <c r="A623">
        <v>365</v>
      </c>
      <c r="B623" s="1">
        <f>DATE(2011,5,1) + TIME(0,0,0)</f>
        <v>40664</v>
      </c>
      <c r="C623">
        <v>80</v>
      </c>
      <c r="D623">
        <v>49.968276977999999</v>
      </c>
      <c r="E623">
        <v>50</v>
      </c>
      <c r="F623">
        <v>49.954780579000001</v>
      </c>
      <c r="G623">
        <v>1274.3994141000001</v>
      </c>
      <c r="H623">
        <v>1252.6342772999999</v>
      </c>
      <c r="I623">
        <v>1396.1606445</v>
      </c>
      <c r="J623">
        <v>1376.7143555</v>
      </c>
      <c r="K623">
        <v>0</v>
      </c>
      <c r="L623">
        <v>2400</v>
      </c>
      <c r="M623">
        <v>2400</v>
      </c>
      <c r="N623">
        <v>0</v>
      </c>
    </row>
    <row r="624" spans="1:14" x14ac:dyDescent="0.25">
      <c r="A624">
        <v>365.000001</v>
      </c>
      <c r="B624" s="1">
        <f>DATE(2011,5,1) + TIME(0,0,0)</f>
        <v>40664</v>
      </c>
      <c r="C624">
        <v>80</v>
      </c>
      <c r="D624">
        <v>49.968444824000002</v>
      </c>
      <c r="E624">
        <v>50</v>
      </c>
      <c r="F624">
        <v>49.954673767000003</v>
      </c>
      <c r="G624">
        <v>1298</v>
      </c>
      <c r="H624">
        <v>1275.4127197</v>
      </c>
      <c r="I624">
        <v>1375.8402100000001</v>
      </c>
      <c r="J624">
        <v>1356.9428711</v>
      </c>
      <c r="K624">
        <v>2400</v>
      </c>
      <c r="L624">
        <v>0</v>
      </c>
      <c r="M624">
        <v>0</v>
      </c>
      <c r="N624">
        <v>2400</v>
      </c>
    </row>
    <row r="625" spans="1:14" x14ac:dyDescent="0.25">
      <c r="A625">
        <v>365.00000399999999</v>
      </c>
      <c r="B625" s="1">
        <f>DATE(2011,5,1) + TIME(0,0,0)</f>
        <v>40664</v>
      </c>
      <c r="C625">
        <v>80</v>
      </c>
      <c r="D625">
        <v>49.968906402999998</v>
      </c>
      <c r="E625">
        <v>50</v>
      </c>
      <c r="F625">
        <v>49.954380035</v>
      </c>
      <c r="G625">
        <v>1300.4125977000001</v>
      </c>
      <c r="H625">
        <v>1278.1014404</v>
      </c>
      <c r="I625">
        <v>1373.5081786999999</v>
      </c>
      <c r="J625">
        <v>1354.6097411999999</v>
      </c>
      <c r="K625">
        <v>2400</v>
      </c>
      <c r="L625">
        <v>0</v>
      </c>
      <c r="M625">
        <v>0</v>
      </c>
      <c r="N625">
        <v>2400</v>
      </c>
    </row>
    <row r="626" spans="1:14" x14ac:dyDescent="0.25">
      <c r="A626">
        <v>365.00001300000002</v>
      </c>
      <c r="B626" s="1">
        <f>DATE(2011,5,1) + TIME(0,0,1)</f>
        <v>40664.000011574077</v>
      </c>
      <c r="C626">
        <v>80</v>
      </c>
      <c r="D626">
        <v>49.970027924</v>
      </c>
      <c r="E626">
        <v>50</v>
      </c>
      <c r="F626">
        <v>49.953720093000001</v>
      </c>
      <c r="G626">
        <v>1305.9755858999999</v>
      </c>
      <c r="H626">
        <v>1284.0837402</v>
      </c>
      <c r="I626">
        <v>1368.2763672000001</v>
      </c>
      <c r="J626">
        <v>1349.3763428</v>
      </c>
      <c r="K626">
        <v>2400</v>
      </c>
      <c r="L626">
        <v>0</v>
      </c>
      <c r="M626">
        <v>0</v>
      </c>
      <c r="N626">
        <v>2400</v>
      </c>
    </row>
    <row r="627" spans="1:14" x14ac:dyDescent="0.25">
      <c r="A627">
        <v>365.00004000000001</v>
      </c>
      <c r="B627" s="1">
        <f>DATE(2011,5,1) + TIME(0,0,3)</f>
        <v>40664.000034722223</v>
      </c>
      <c r="C627">
        <v>80</v>
      </c>
      <c r="D627">
        <v>49.972377776999998</v>
      </c>
      <c r="E627">
        <v>50</v>
      </c>
      <c r="F627">
        <v>49.952613831000001</v>
      </c>
      <c r="G627">
        <v>1315.6802978999999</v>
      </c>
      <c r="H627">
        <v>1294.0296631000001</v>
      </c>
      <c r="I627">
        <v>1359.5308838000001</v>
      </c>
      <c r="J627">
        <v>1340.6325684000001</v>
      </c>
      <c r="K627">
        <v>2400</v>
      </c>
      <c r="L627">
        <v>0</v>
      </c>
      <c r="M627">
        <v>0</v>
      </c>
      <c r="N627">
        <v>2400</v>
      </c>
    </row>
    <row r="628" spans="1:14" x14ac:dyDescent="0.25">
      <c r="A628">
        <v>365.00012099999998</v>
      </c>
      <c r="B628" s="1">
        <f>DATE(2011,5,1) + TIME(0,0,10)</f>
        <v>40664.000115740739</v>
      </c>
      <c r="C628">
        <v>80</v>
      </c>
      <c r="D628">
        <v>49.977222443000002</v>
      </c>
      <c r="E628">
        <v>50</v>
      </c>
      <c r="F628">
        <v>49.951255797999998</v>
      </c>
      <c r="G628">
        <v>1328.0184326000001</v>
      </c>
      <c r="H628">
        <v>1306.2811279</v>
      </c>
      <c r="I628">
        <v>1348.8507079999999</v>
      </c>
      <c r="J628">
        <v>1329.9613036999999</v>
      </c>
      <c r="K628">
        <v>2400</v>
      </c>
      <c r="L628">
        <v>0</v>
      </c>
      <c r="M628">
        <v>0</v>
      </c>
      <c r="N628">
        <v>2400</v>
      </c>
    </row>
    <row r="629" spans="1:14" x14ac:dyDescent="0.25">
      <c r="A629">
        <v>365.00036399999999</v>
      </c>
      <c r="B629" s="1">
        <f>DATE(2011,5,1) + TIME(0,0,31)</f>
        <v>40664.000358796293</v>
      </c>
      <c r="C629">
        <v>80</v>
      </c>
      <c r="D629">
        <v>49.988822937000002</v>
      </c>
      <c r="E629">
        <v>50</v>
      </c>
      <c r="F629">
        <v>49.949821471999996</v>
      </c>
      <c r="G629">
        <v>1341.0784911999999</v>
      </c>
      <c r="H629">
        <v>1319.1827393000001</v>
      </c>
      <c r="I629">
        <v>1337.8487548999999</v>
      </c>
      <c r="J629">
        <v>1318.9761963000001</v>
      </c>
      <c r="K629">
        <v>2400</v>
      </c>
      <c r="L629">
        <v>0</v>
      </c>
      <c r="M629">
        <v>0</v>
      </c>
      <c r="N629">
        <v>2400</v>
      </c>
    </row>
    <row r="630" spans="1:14" x14ac:dyDescent="0.25">
      <c r="A630">
        <v>365.00109300000003</v>
      </c>
      <c r="B630" s="1">
        <f>DATE(2011,5,1) + TIME(0,1,34)</f>
        <v>40664.001087962963</v>
      </c>
      <c r="C630">
        <v>80</v>
      </c>
      <c r="D630">
        <v>50.020595551</v>
      </c>
      <c r="E630">
        <v>50</v>
      </c>
      <c r="F630">
        <v>49.948287964000002</v>
      </c>
      <c r="G630">
        <v>1354.6105957</v>
      </c>
      <c r="H630">
        <v>1332.5825195</v>
      </c>
      <c r="I630">
        <v>1326.8267822</v>
      </c>
      <c r="J630">
        <v>1307.9765625</v>
      </c>
      <c r="K630">
        <v>2400</v>
      </c>
      <c r="L630">
        <v>0</v>
      </c>
      <c r="M630">
        <v>0</v>
      </c>
      <c r="N630">
        <v>2400</v>
      </c>
    </row>
    <row r="631" spans="1:14" x14ac:dyDescent="0.25">
      <c r="A631">
        <v>365.00328000000002</v>
      </c>
      <c r="B631" s="1">
        <f>DATE(2011,5,1) + TIME(0,4,43)</f>
        <v>40664.003275462965</v>
      </c>
      <c r="C631">
        <v>80</v>
      </c>
      <c r="D631">
        <v>50.112918854</v>
      </c>
      <c r="E631">
        <v>50</v>
      </c>
      <c r="F631">
        <v>49.946403502999999</v>
      </c>
      <c r="G631">
        <v>1369.1912841999999</v>
      </c>
      <c r="H631">
        <v>1347.0653076000001</v>
      </c>
      <c r="I631">
        <v>1315.4550781</v>
      </c>
      <c r="J631">
        <v>1296.6098632999999</v>
      </c>
      <c r="K631">
        <v>2400</v>
      </c>
      <c r="L631">
        <v>0</v>
      </c>
      <c r="M631">
        <v>0</v>
      </c>
      <c r="N631">
        <v>2400</v>
      </c>
    </row>
    <row r="632" spans="1:14" x14ac:dyDescent="0.25">
      <c r="A632">
        <v>365.00984099999999</v>
      </c>
      <c r="B632" s="1">
        <f>DATE(2011,5,1) + TIME(0,14,10)</f>
        <v>40664.009837962964</v>
      </c>
      <c r="C632">
        <v>80</v>
      </c>
      <c r="D632">
        <v>50.385356903000002</v>
      </c>
      <c r="E632">
        <v>50</v>
      </c>
      <c r="F632">
        <v>49.943511962999999</v>
      </c>
      <c r="G632">
        <v>1384.6794434000001</v>
      </c>
      <c r="H632">
        <v>1362.5336914</v>
      </c>
      <c r="I632">
        <v>1303.2229004000001</v>
      </c>
      <c r="J632">
        <v>1284.3492432</v>
      </c>
      <c r="K632">
        <v>2400</v>
      </c>
      <c r="L632">
        <v>0</v>
      </c>
      <c r="M632">
        <v>0</v>
      </c>
      <c r="N632">
        <v>2400</v>
      </c>
    </row>
    <row r="633" spans="1:14" x14ac:dyDescent="0.25">
      <c r="A633">
        <v>365.02952399999998</v>
      </c>
      <c r="B633" s="1">
        <f>DATE(2011,5,1) + TIME(0,42,30)</f>
        <v>40664.029513888891</v>
      </c>
      <c r="C633">
        <v>80</v>
      </c>
      <c r="D633">
        <v>51.180034636999999</v>
      </c>
      <c r="E633">
        <v>50</v>
      </c>
      <c r="F633">
        <v>49.93812561</v>
      </c>
      <c r="G633">
        <v>1398.0657959</v>
      </c>
      <c r="H633">
        <v>1376.1203613</v>
      </c>
      <c r="I633">
        <v>1292.1594238</v>
      </c>
      <c r="J633">
        <v>1273.2569579999999</v>
      </c>
      <c r="K633">
        <v>2400</v>
      </c>
      <c r="L633">
        <v>0</v>
      </c>
      <c r="M633">
        <v>0</v>
      </c>
      <c r="N633">
        <v>2400</v>
      </c>
    </row>
    <row r="634" spans="1:14" x14ac:dyDescent="0.25">
      <c r="A634">
        <v>365.05133599999999</v>
      </c>
      <c r="B634" s="1">
        <f>DATE(2011,5,1) + TIME(1,13,55)</f>
        <v>40664.05133101852</v>
      </c>
      <c r="C634">
        <v>80</v>
      </c>
      <c r="D634">
        <v>52.035488129000001</v>
      </c>
      <c r="E634">
        <v>50</v>
      </c>
      <c r="F634">
        <v>49.933181763</v>
      </c>
      <c r="G634">
        <v>1403.3361815999999</v>
      </c>
      <c r="H634">
        <v>1381.6511230000001</v>
      </c>
      <c r="I634">
        <v>1287.8815918</v>
      </c>
      <c r="J634">
        <v>1268.9694824000001</v>
      </c>
      <c r="K634">
        <v>2400</v>
      </c>
      <c r="L634">
        <v>0</v>
      </c>
      <c r="M634">
        <v>0</v>
      </c>
      <c r="N634">
        <v>2400</v>
      </c>
    </row>
    <row r="635" spans="1:14" x14ac:dyDescent="0.25">
      <c r="A635">
        <v>365.07362599999999</v>
      </c>
      <c r="B635" s="1">
        <f>DATE(2011,5,1) + TIME(1,46,1)</f>
        <v>40664.073622685188</v>
      </c>
      <c r="C635">
        <v>80</v>
      </c>
      <c r="D635">
        <v>52.884181976000001</v>
      </c>
      <c r="E635">
        <v>50</v>
      </c>
      <c r="F635">
        <v>49.928504943999997</v>
      </c>
      <c r="G635">
        <v>1405.4094238</v>
      </c>
      <c r="H635">
        <v>1383.9943848</v>
      </c>
      <c r="I635">
        <v>1286.3026123</v>
      </c>
      <c r="J635">
        <v>1267.3868408000001</v>
      </c>
      <c r="K635">
        <v>2400</v>
      </c>
      <c r="L635">
        <v>0</v>
      </c>
      <c r="M635">
        <v>0</v>
      </c>
      <c r="N635">
        <v>2400</v>
      </c>
    </row>
    <row r="636" spans="1:14" x14ac:dyDescent="0.25">
      <c r="A636">
        <v>365.09637199999997</v>
      </c>
      <c r="B636" s="1">
        <f>DATE(2011,5,1) + TIME(2,18,46)</f>
        <v>40664.096365740741</v>
      </c>
      <c r="C636">
        <v>80</v>
      </c>
      <c r="D636">
        <v>53.724384307999998</v>
      </c>
      <c r="E636">
        <v>50</v>
      </c>
      <c r="F636">
        <v>49.923900604000004</v>
      </c>
      <c r="G636">
        <v>1406.1730957</v>
      </c>
      <c r="H636">
        <v>1385.0256348</v>
      </c>
      <c r="I636">
        <v>1285.7520752</v>
      </c>
      <c r="J636">
        <v>1266.8347168</v>
      </c>
      <c r="K636">
        <v>2400</v>
      </c>
      <c r="L636">
        <v>0</v>
      </c>
      <c r="M636">
        <v>0</v>
      </c>
      <c r="N636">
        <v>2400</v>
      </c>
    </row>
    <row r="637" spans="1:14" x14ac:dyDescent="0.25">
      <c r="A637">
        <v>365.11958099999998</v>
      </c>
      <c r="B637" s="1">
        <f>DATE(2011,5,1) + TIME(2,52,11)</f>
        <v>40664.119571759256</v>
      </c>
      <c r="C637">
        <v>80</v>
      </c>
      <c r="D637">
        <v>54.555500031000001</v>
      </c>
      <c r="E637">
        <v>50</v>
      </c>
      <c r="F637">
        <v>49.919288635000001</v>
      </c>
      <c r="G637">
        <v>1406.3536377</v>
      </c>
      <c r="H637">
        <v>1385.4670410000001</v>
      </c>
      <c r="I637">
        <v>1285.5927733999999</v>
      </c>
      <c r="J637">
        <v>1266.6744385</v>
      </c>
      <c r="K637">
        <v>2400</v>
      </c>
      <c r="L637">
        <v>0</v>
      </c>
      <c r="M637">
        <v>0</v>
      </c>
      <c r="N637">
        <v>2400</v>
      </c>
    </row>
    <row r="638" spans="1:14" x14ac:dyDescent="0.25">
      <c r="A638">
        <v>365.14323300000001</v>
      </c>
      <c r="B638" s="1">
        <f>DATE(2011,5,1) + TIME(3,26,15)</f>
        <v>40664.143229166664</v>
      </c>
      <c r="C638">
        <v>80</v>
      </c>
      <c r="D638">
        <v>55.376117706000002</v>
      </c>
      <c r="E638">
        <v>50</v>
      </c>
      <c r="F638">
        <v>49.914649963000002</v>
      </c>
      <c r="G638">
        <v>1406.2633057</v>
      </c>
      <c r="H638">
        <v>1385.6286620999999</v>
      </c>
      <c r="I638">
        <v>1285.5727539</v>
      </c>
      <c r="J638">
        <v>1266.6539307</v>
      </c>
      <c r="K638">
        <v>2400</v>
      </c>
      <c r="L638">
        <v>0</v>
      </c>
      <c r="M638">
        <v>0</v>
      </c>
      <c r="N638">
        <v>2400</v>
      </c>
    </row>
    <row r="639" spans="1:14" x14ac:dyDescent="0.25">
      <c r="A639">
        <v>365.16734200000002</v>
      </c>
      <c r="B639" s="1">
        <f>DATE(2011,5,1) + TIME(4,0,58)</f>
        <v>40664.167337962965</v>
      </c>
      <c r="C639">
        <v>80</v>
      </c>
      <c r="D639">
        <v>56.186027527</v>
      </c>
      <c r="E639">
        <v>50</v>
      </c>
      <c r="F639">
        <v>49.909961699999997</v>
      </c>
      <c r="G639">
        <v>1406.0449219</v>
      </c>
      <c r="H639">
        <v>1385.6533202999999</v>
      </c>
      <c r="I639">
        <v>1285.5944824000001</v>
      </c>
      <c r="J639">
        <v>1266.6749268000001</v>
      </c>
      <c r="K639">
        <v>2400</v>
      </c>
      <c r="L639">
        <v>0</v>
      </c>
      <c r="M639">
        <v>0</v>
      </c>
      <c r="N639">
        <v>2400</v>
      </c>
    </row>
    <row r="640" spans="1:14" x14ac:dyDescent="0.25">
      <c r="A640">
        <v>365.19193000000001</v>
      </c>
      <c r="B640" s="1">
        <f>DATE(2011,5,1) + TIME(4,36,22)</f>
        <v>40664.191921296297</v>
      </c>
      <c r="C640">
        <v>80</v>
      </c>
      <c r="D640">
        <v>56.985221863</v>
      </c>
      <c r="E640">
        <v>50</v>
      </c>
      <c r="F640">
        <v>49.905223845999998</v>
      </c>
      <c r="G640">
        <v>1405.7667236</v>
      </c>
      <c r="H640">
        <v>1385.6092529</v>
      </c>
      <c r="I640">
        <v>1285.6223144999999</v>
      </c>
      <c r="J640">
        <v>1266.7023925999999</v>
      </c>
      <c r="K640">
        <v>2400</v>
      </c>
      <c r="L640">
        <v>0</v>
      </c>
      <c r="M640">
        <v>0</v>
      </c>
      <c r="N640">
        <v>2400</v>
      </c>
    </row>
    <row r="641" spans="1:14" x14ac:dyDescent="0.25">
      <c r="A641">
        <v>365.21701899999999</v>
      </c>
      <c r="B641" s="1">
        <f>DATE(2011,5,1) + TIME(5,12,30)</f>
        <v>40664.217013888891</v>
      </c>
      <c r="C641">
        <v>80</v>
      </c>
      <c r="D641">
        <v>57.773700714</v>
      </c>
      <c r="E641">
        <v>50</v>
      </c>
      <c r="F641">
        <v>49.900428771999998</v>
      </c>
      <c r="G641">
        <v>1405.4624022999999</v>
      </c>
      <c r="H641">
        <v>1385.5305175999999</v>
      </c>
      <c r="I641">
        <v>1285.6455077999999</v>
      </c>
      <c r="J641">
        <v>1266.7250977000001</v>
      </c>
      <c r="K641">
        <v>2400</v>
      </c>
      <c r="L641">
        <v>0</v>
      </c>
      <c r="M641">
        <v>0</v>
      </c>
      <c r="N641">
        <v>2400</v>
      </c>
    </row>
    <row r="642" spans="1:14" x14ac:dyDescent="0.25">
      <c r="A642">
        <v>365.24263500000001</v>
      </c>
      <c r="B642" s="1">
        <f>DATE(2011,5,1) + TIME(5,49,23)</f>
        <v>40664.242627314816</v>
      </c>
      <c r="C642">
        <v>80</v>
      </c>
      <c r="D642">
        <v>58.55147934</v>
      </c>
      <c r="E642">
        <v>50</v>
      </c>
      <c r="F642">
        <v>49.895572661999999</v>
      </c>
      <c r="G642">
        <v>1405.1489257999999</v>
      </c>
      <c r="H642">
        <v>1385.4344481999999</v>
      </c>
      <c r="I642">
        <v>1285.6622314000001</v>
      </c>
      <c r="J642">
        <v>1266.7414550999999</v>
      </c>
      <c r="K642">
        <v>2400</v>
      </c>
      <c r="L642">
        <v>0</v>
      </c>
      <c r="M642">
        <v>0</v>
      </c>
      <c r="N642">
        <v>2400</v>
      </c>
    </row>
    <row r="643" spans="1:14" x14ac:dyDescent="0.25">
      <c r="A643">
        <v>365.26880399999999</v>
      </c>
      <c r="B643" s="1">
        <f>DATE(2011,5,1) + TIME(6,27,4)</f>
        <v>40664.268796296295</v>
      </c>
      <c r="C643">
        <v>80</v>
      </c>
      <c r="D643">
        <v>59.318553925000003</v>
      </c>
      <c r="E643">
        <v>50</v>
      </c>
      <c r="F643">
        <v>49.890651703000003</v>
      </c>
      <c r="G643">
        <v>1404.8353271000001</v>
      </c>
      <c r="H643">
        <v>1385.3302002</v>
      </c>
      <c r="I643">
        <v>1285.6734618999999</v>
      </c>
      <c r="J643">
        <v>1266.7520752</v>
      </c>
      <c r="K643">
        <v>2400</v>
      </c>
      <c r="L643">
        <v>0</v>
      </c>
      <c r="M643">
        <v>0</v>
      </c>
      <c r="N643">
        <v>2400</v>
      </c>
    </row>
    <row r="644" spans="1:14" x14ac:dyDescent="0.25">
      <c r="A644">
        <v>365.29555499999998</v>
      </c>
      <c r="B644" s="1">
        <f>DATE(2011,5,1) + TIME(7,5,35)</f>
        <v>40664.295543981483</v>
      </c>
      <c r="C644">
        <v>80</v>
      </c>
      <c r="D644">
        <v>60.074859619000001</v>
      </c>
      <c r="E644">
        <v>50</v>
      </c>
      <c r="F644">
        <v>49.885665893999999</v>
      </c>
      <c r="G644">
        <v>1404.5261230000001</v>
      </c>
      <c r="H644">
        <v>1385.2227783000001</v>
      </c>
      <c r="I644">
        <v>1285.6805420000001</v>
      </c>
      <c r="J644">
        <v>1266.7586670000001</v>
      </c>
      <c r="K644">
        <v>2400</v>
      </c>
      <c r="L644">
        <v>0</v>
      </c>
      <c r="M644">
        <v>0</v>
      </c>
      <c r="N644">
        <v>2400</v>
      </c>
    </row>
    <row r="645" spans="1:14" x14ac:dyDescent="0.25">
      <c r="A645">
        <v>365.32291800000002</v>
      </c>
      <c r="B645" s="1">
        <f>DATE(2011,5,1) + TIME(7,45,0)</f>
        <v>40664.322916666664</v>
      </c>
      <c r="C645">
        <v>80</v>
      </c>
      <c r="D645">
        <v>60.819919585999997</v>
      </c>
      <c r="E645">
        <v>50</v>
      </c>
      <c r="F645">
        <v>49.880611420000001</v>
      </c>
      <c r="G645">
        <v>1404.2236327999999</v>
      </c>
      <c r="H645">
        <v>1385.1147461</v>
      </c>
      <c r="I645">
        <v>1285.6848144999999</v>
      </c>
      <c r="J645">
        <v>1266.7624512</v>
      </c>
      <c r="K645">
        <v>2400</v>
      </c>
      <c r="L645">
        <v>0</v>
      </c>
      <c r="M645">
        <v>0</v>
      </c>
      <c r="N645">
        <v>2400</v>
      </c>
    </row>
    <row r="646" spans="1:14" x14ac:dyDescent="0.25">
      <c r="A646">
        <v>365.35092100000003</v>
      </c>
      <c r="B646" s="1">
        <f>DATE(2011,5,1) + TIME(8,25,19)</f>
        <v>40664.350914351853</v>
      </c>
      <c r="C646">
        <v>80</v>
      </c>
      <c r="D646">
        <v>61.55406189</v>
      </c>
      <c r="E646">
        <v>50</v>
      </c>
      <c r="F646">
        <v>49.875480652</v>
      </c>
      <c r="G646">
        <v>1403.9293213000001</v>
      </c>
      <c r="H646">
        <v>1385.0076904</v>
      </c>
      <c r="I646">
        <v>1285.6872559000001</v>
      </c>
      <c r="J646">
        <v>1266.7645264</v>
      </c>
      <c r="K646">
        <v>2400</v>
      </c>
      <c r="L646">
        <v>0</v>
      </c>
      <c r="M646">
        <v>0</v>
      </c>
      <c r="N646">
        <v>2400</v>
      </c>
    </row>
    <row r="647" spans="1:14" x14ac:dyDescent="0.25">
      <c r="A647">
        <v>365.37960500000003</v>
      </c>
      <c r="B647" s="1">
        <f>DATE(2011,5,1) + TIME(9,6,37)</f>
        <v>40664.379594907405</v>
      </c>
      <c r="C647">
        <v>80</v>
      </c>
      <c r="D647">
        <v>62.277385711999997</v>
      </c>
      <c r="E647">
        <v>50</v>
      </c>
      <c r="F647">
        <v>49.870269774999997</v>
      </c>
      <c r="G647">
        <v>1403.6433105000001</v>
      </c>
      <c r="H647">
        <v>1384.9024658000001</v>
      </c>
      <c r="I647">
        <v>1285.6885986</v>
      </c>
      <c r="J647">
        <v>1266.7652588000001</v>
      </c>
      <c r="K647">
        <v>2400</v>
      </c>
      <c r="L647">
        <v>0</v>
      </c>
      <c r="M647">
        <v>0</v>
      </c>
      <c r="N647">
        <v>2400</v>
      </c>
    </row>
    <row r="648" spans="1:14" x14ac:dyDescent="0.25">
      <c r="A648">
        <v>365.40900799999997</v>
      </c>
      <c r="B648" s="1">
        <f>DATE(2011,5,1) + TIME(9,48,58)</f>
        <v>40664.409004629626</v>
      </c>
      <c r="C648">
        <v>80</v>
      </c>
      <c r="D648">
        <v>62.989826202000003</v>
      </c>
      <c r="E648">
        <v>50</v>
      </c>
      <c r="F648">
        <v>49.864974975999999</v>
      </c>
      <c r="G648">
        <v>1403.3659668</v>
      </c>
      <c r="H648">
        <v>1384.7993164</v>
      </c>
      <c r="I648">
        <v>1285.6892089999999</v>
      </c>
      <c r="J648">
        <v>1266.7653809000001</v>
      </c>
      <c r="K648">
        <v>2400</v>
      </c>
      <c r="L648">
        <v>0</v>
      </c>
      <c r="M648">
        <v>0</v>
      </c>
      <c r="N648">
        <v>2400</v>
      </c>
    </row>
    <row r="649" spans="1:14" x14ac:dyDescent="0.25">
      <c r="A649">
        <v>365.43916999999999</v>
      </c>
      <c r="B649" s="1">
        <f>DATE(2011,5,1) + TIME(10,32,24)</f>
        <v>40664.439166666663</v>
      </c>
      <c r="C649">
        <v>80</v>
      </c>
      <c r="D649">
        <v>63.691322327000002</v>
      </c>
      <c r="E649">
        <v>50</v>
      </c>
      <c r="F649">
        <v>49.859588623</v>
      </c>
      <c r="G649">
        <v>1403.0969238</v>
      </c>
      <c r="H649">
        <v>1384.6983643000001</v>
      </c>
      <c r="I649">
        <v>1285.6893310999999</v>
      </c>
      <c r="J649">
        <v>1266.7650146000001</v>
      </c>
      <c r="K649">
        <v>2400</v>
      </c>
      <c r="L649">
        <v>0</v>
      </c>
      <c r="M649">
        <v>0</v>
      </c>
      <c r="N649">
        <v>2400</v>
      </c>
    </row>
    <row r="650" spans="1:14" x14ac:dyDescent="0.25">
      <c r="A650">
        <v>365.47013700000002</v>
      </c>
      <c r="B650" s="1">
        <f>DATE(2011,5,1) + TIME(11,16,59)</f>
        <v>40664.470127314817</v>
      </c>
      <c r="C650">
        <v>80</v>
      </c>
      <c r="D650">
        <v>64.381790160999998</v>
      </c>
      <c r="E650">
        <v>50</v>
      </c>
      <c r="F650">
        <v>49.854106903000002</v>
      </c>
      <c r="G650">
        <v>1402.8361815999999</v>
      </c>
      <c r="H650">
        <v>1384.5998535000001</v>
      </c>
      <c r="I650">
        <v>1285.6892089999999</v>
      </c>
      <c r="J650">
        <v>1266.7642822</v>
      </c>
      <c r="K650">
        <v>2400</v>
      </c>
      <c r="L650">
        <v>0</v>
      </c>
      <c r="M650">
        <v>0</v>
      </c>
      <c r="N650">
        <v>2400</v>
      </c>
    </row>
    <row r="651" spans="1:14" x14ac:dyDescent="0.25">
      <c r="A651">
        <v>365.50195600000001</v>
      </c>
      <c r="B651" s="1">
        <f>DATE(2011,5,1) + TIME(12,2,48)</f>
        <v>40664.501944444448</v>
      </c>
      <c r="C651">
        <v>80</v>
      </c>
      <c r="D651">
        <v>65.061149596999996</v>
      </c>
      <c r="E651">
        <v>50</v>
      </c>
      <c r="F651">
        <v>49.848526001000003</v>
      </c>
      <c r="G651">
        <v>1402.5832519999999</v>
      </c>
      <c r="H651">
        <v>1384.503418</v>
      </c>
      <c r="I651">
        <v>1285.6888428</v>
      </c>
      <c r="J651">
        <v>1266.7634277</v>
      </c>
      <c r="K651">
        <v>2400</v>
      </c>
      <c r="L651">
        <v>0</v>
      </c>
      <c r="M651">
        <v>0</v>
      </c>
      <c r="N651">
        <v>2400</v>
      </c>
    </row>
    <row r="652" spans="1:14" x14ac:dyDescent="0.25">
      <c r="A652">
        <v>365.53467899999998</v>
      </c>
      <c r="B652" s="1">
        <f>DATE(2011,5,1) + TIME(12,49,56)</f>
        <v>40664.534675925926</v>
      </c>
      <c r="C652">
        <v>80</v>
      </c>
      <c r="D652">
        <v>65.729431152000004</v>
      </c>
      <c r="E652">
        <v>50</v>
      </c>
      <c r="F652">
        <v>49.842838286999999</v>
      </c>
      <c r="G652">
        <v>1402.3380127</v>
      </c>
      <c r="H652">
        <v>1384.4090576000001</v>
      </c>
      <c r="I652">
        <v>1285.6883545000001</v>
      </c>
      <c r="J652">
        <v>1266.7623291</v>
      </c>
      <c r="K652">
        <v>2400</v>
      </c>
      <c r="L652">
        <v>0</v>
      </c>
      <c r="M652">
        <v>0</v>
      </c>
      <c r="N652">
        <v>2400</v>
      </c>
    </row>
    <row r="653" spans="1:14" x14ac:dyDescent="0.25">
      <c r="A653">
        <v>365.56836299999998</v>
      </c>
      <c r="B653" s="1">
        <f>DATE(2011,5,1) + TIME(13,38,26)</f>
        <v>40664.568356481483</v>
      </c>
      <c r="C653">
        <v>80</v>
      </c>
      <c r="D653">
        <v>66.386367797999995</v>
      </c>
      <c r="E653">
        <v>50</v>
      </c>
      <c r="F653">
        <v>49.837036132999998</v>
      </c>
      <c r="G653">
        <v>1402.0999756000001</v>
      </c>
      <c r="H653">
        <v>1384.3165283000001</v>
      </c>
      <c r="I653">
        <v>1285.6877440999999</v>
      </c>
      <c r="J653">
        <v>1266.7612305</v>
      </c>
      <c r="K653">
        <v>2400</v>
      </c>
      <c r="L653">
        <v>0</v>
      </c>
      <c r="M653">
        <v>0</v>
      </c>
      <c r="N653">
        <v>2400</v>
      </c>
    </row>
    <row r="654" spans="1:14" x14ac:dyDescent="0.25">
      <c r="A654">
        <v>365.603071</v>
      </c>
      <c r="B654" s="1">
        <f>DATE(2011,5,1) + TIME(14,28,25)</f>
        <v>40664.603067129632</v>
      </c>
      <c r="C654">
        <v>80</v>
      </c>
      <c r="D654">
        <v>67.031822204999997</v>
      </c>
      <c r="E654">
        <v>50</v>
      </c>
      <c r="F654">
        <v>49.831108092999997</v>
      </c>
      <c r="G654">
        <v>1401.8686522999999</v>
      </c>
      <c r="H654">
        <v>1384.2259521000001</v>
      </c>
      <c r="I654">
        <v>1285.6870117000001</v>
      </c>
      <c r="J654">
        <v>1266.7598877</v>
      </c>
      <c r="K654">
        <v>2400</v>
      </c>
      <c r="L654">
        <v>0</v>
      </c>
      <c r="M654">
        <v>0</v>
      </c>
      <c r="N654">
        <v>2400</v>
      </c>
    </row>
    <row r="655" spans="1:14" x14ac:dyDescent="0.25">
      <c r="A655">
        <v>365.638868</v>
      </c>
      <c r="B655" s="1">
        <f>DATE(2011,5,1) + TIME(15,19,58)</f>
        <v>40664.638865740744</v>
      </c>
      <c r="C655">
        <v>80</v>
      </c>
      <c r="D655">
        <v>67.665649414000001</v>
      </c>
      <c r="E655">
        <v>50</v>
      </c>
      <c r="F655">
        <v>49.825050353999998</v>
      </c>
      <c r="G655">
        <v>1401.644043</v>
      </c>
      <c r="H655">
        <v>1384.1368408000001</v>
      </c>
      <c r="I655">
        <v>1285.6862793</v>
      </c>
      <c r="J655">
        <v>1266.7585449000001</v>
      </c>
      <c r="K655">
        <v>2400</v>
      </c>
      <c r="L655">
        <v>0</v>
      </c>
      <c r="M655">
        <v>0</v>
      </c>
      <c r="N655">
        <v>2400</v>
      </c>
    </row>
    <row r="656" spans="1:14" x14ac:dyDescent="0.25">
      <c r="A656">
        <v>365.67584499999998</v>
      </c>
      <c r="B656" s="1">
        <f>DATE(2011,5,1) + TIME(16,13,13)</f>
        <v>40664.675844907404</v>
      </c>
      <c r="C656">
        <v>80</v>
      </c>
      <c r="D656">
        <v>68.287933350000003</v>
      </c>
      <c r="E656">
        <v>50</v>
      </c>
      <c r="F656">
        <v>49.818851471000002</v>
      </c>
      <c r="G656">
        <v>1401.4255370999999</v>
      </c>
      <c r="H656">
        <v>1384.0491943</v>
      </c>
      <c r="I656">
        <v>1285.6854248</v>
      </c>
      <c r="J656">
        <v>1266.7572021000001</v>
      </c>
      <c r="K656">
        <v>2400</v>
      </c>
      <c r="L656">
        <v>0</v>
      </c>
      <c r="M656">
        <v>0</v>
      </c>
      <c r="N656">
        <v>2400</v>
      </c>
    </row>
    <row r="657" spans="1:14" x14ac:dyDescent="0.25">
      <c r="A657">
        <v>365.71407199999999</v>
      </c>
      <c r="B657" s="1">
        <f>DATE(2011,5,1) + TIME(17,8,15)</f>
        <v>40664.714062500003</v>
      </c>
      <c r="C657">
        <v>80</v>
      </c>
      <c r="D657">
        <v>68.898284911999994</v>
      </c>
      <c r="E657">
        <v>50</v>
      </c>
      <c r="F657">
        <v>49.812503814999999</v>
      </c>
      <c r="G657">
        <v>1401.2127685999999</v>
      </c>
      <c r="H657">
        <v>1383.9628906</v>
      </c>
      <c r="I657">
        <v>1285.6844481999999</v>
      </c>
      <c r="J657">
        <v>1266.7556152</v>
      </c>
      <c r="K657">
        <v>2400</v>
      </c>
      <c r="L657">
        <v>0</v>
      </c>
      <c r="M657">
        <v>0</v>
      </c>
      <c r="N657">
        <v>2400</v>
      </c>
    </row>
    <row r="658" spans="1:14" x14ac:dyDescent="0.25">
      <c r="A658">
        <v>365.75363499999997</v>
      </c>
      <c r="B658" s="1">
        <f>DATE(2011,5,1) + TIME(18,5,14)</f>
        <v>40664.753634259258</v>
      </c>
      <c r="C658">
        <v>80</v>
      </c>
      <c r="D658">
        <v>69.496467589999995</v>
      </c>
      <c r="E658">
        <v>50</v>
      </c>
      <c r="F658">
        <v>49.805992126</v>
      </c>
      <c r="G658">
        <v>1401.0056152</v>
      </c>
      <c r="H658">
        <v>1383.8775635</v>
      </c>
      <c r="I658">
        <v>1285.6834716999999</v>
      </c>
      <c r="J658">
        <v>1266.7540283000001</v>
      </c>
      <c r="K658">
        <v>2400</v>
      </c>
      <c r="L658">
        <v>0</v>
      </c>
      <c r="M658">
        <v>0</v>
      </c>
      <c r="N658">
        <v>2400</v>
      </c>
    </row>
    <row r="659" spans="1:14" x14ac:dyDescent="0.25">
      <c r="A659">
        <v>365.79463500000003</v>
      </c>
      <c r="B659" s="1">
        <f>DATE(2011,5,1) + TIME(19,4,16)</f>
        <v>40664.794629629629</v>
      </c>
      <c r="C659">
        <v>80</v>
      </c>
      <c r="D659">
        <v>70.082214355000005</v>
      </c>
      <c r="E659">
        <v>50</v>
      </c>
      <c r="F659">
        <v>49.799304962000001</v>
      </c>
      <c r="G659">
        <v>1400.8037108999999</v>
      </c>
      <c r="H659">
        <v>1383.7932129000001</v>
      </c>
      <c r="I659">
        <v>1285.6824951000001</v>
      </c>
      <c r="J659">
        <v>1266.7524414</v>
      </c>
      <c r="K659">
        <v>2400</v>
      </c>
      <c r="L659">
        <v>0</v>
      </c>
      <c r="M659">
        <v>0</v>
      </c>
      <c r="N659">
        <v>2400</v>
      </c>
    </row>
    <row r="660" spans="1:14" x14ac:dyDescent="0.25">
      <c r="A660">
        <v>365.83718199999998</v>
      </c>
      <c r="B660" s="1">
        <f>DATE(2011,5,1) + TIME(20,5,32)</f>
        <v>40664.837175925924</v>
      </c>
      <c r="C660">
        <v>80</v>
      </c>
      <c r="D660">
        <v>70.654991150000001</v>
      </c>
      <c r="E660">
        <v>50</v>
      </c>
      <c r="F660">
        <v>49.792434692</v>
      </c>
      <c r="G660">
        <v>1400.6068115</v>
      </c>
      <c r="H660">
        <v>1383.7095947</v>
      </c>
      <c r="I660">
        <v>1285.6812743999999</v>
      </c>
      <c r="J660">
        <v>1266.7506103999999</v>
      </c>
      <c r="K660">
        <v>2400</v>
      </c>
      <c r="L660">
        <v>0</v>
      </c>
      <c r="M660">
        <v>0</v>
      </c>
      <c r="N660">
        <v>2400</v>
      </c>
    </row>
    <row r="661" spans="1:14" x14ac:dyDescent="0.25">
      <c r="A661">
        <v>365.88139899999999</v>
      </c>
      <c r="B661" s="1">
        <f>DATE(2011,5,1) + TIME(21,9,12)</f>
        <v>40664.881388888891</v>
      </c>
      <c r="C661">
        <v>80</v>
      </c>
      <c r="D661">
        <v>71.214912415000001</v>
      </c>
      <c r="E661">
        <v>50</v>
      </c>
      <c r="F661">
        <v>49.785362243999998</v>
      </c>
      <c r="G661">
        <v>1400.4144286999999</v>
      </c>
      <c r="H661">
        <v>1383.6264647999999</v>
      </c>
      <c r="I661">
        <v>1285.6801757999999</v>
      </c>
      <c r="J661">
        <v>1266.7487793</v>
      </c>
      <c r="K661">
        <v>2400</v>
      </c>
      <c r="L661">
        <v>0</v>
      </c>
      <c r="M661">
        <v>0</v>
      </c>
      <c r="N661">
        <v>2400</v>
      </c>
    </row>
    <row r="662" spans="1:14" x14ac:dyDescent="0.25">
      <c r="A662">
        <v>365.92742199999998</v>
      </c>
      <c r="B662" s="1">
        <f>DATE(2011,5,1) + TIME(22,15,29)</f>
        <v>40664.927418981482</v>
      </c>
      <c r="C662">
        <v>80</v>
      </c>
      <c r="D662">
        <v>71.761711121000005</v>
      </c>
      <c r="E662">
        <v>50</v>
      </c>
      <c r="F662">
        <v>49.778072356999999</v>
      </c>
      <c r="G662">
        <v>1400.2264404</v>
      </c>
      <c r="H662">
        <v>1383.5438231999999</v>
      </c>
      <c r="I662">
        <v>1285.6789550999999</v>
      </c>
      <c r="J662">
        <v>1266.7469481999999</v>
      </c>
      <c r="K662">
        <v>2400</v>
      </c>
      <c r="L662">
        <v>0</v>
      </c>
      <c r="M662">
        <v>0</v>
      </c>
      <c r="N662">
        <v>2400</v>
      </c>
    </row>
    <row r="663" spans="1:14" x14ac:dyDescent="0.25">
      <c r="A663">
        <v>365.97540800000002</v>
      </c>
      <c r="B663" s="1">
        <f>DATE(2011,5,1) + TIME(23,24,35)</f>
        <v>40664.975405092591</v>
      </c>
      <c r="C663">
        <v>80</v>
      </c>
      <c r="D663">
        <v>72.295120238999999</v>
      </c>
      <c r="E663">
        <v>50</v>
      </c>
      <c r="F663">
        <v>49.770545959000003</v>
      </c>
      <c r="G663">
        <v>1400.0423584</v>
      </c>
      <c r="H663">
        <v>1383.4613036999999</v>
      </c>
      <c r="I663">
        <v>1285.6776123</v>
      </c>
      <c r="J663">
        <v>1266.7449951000001</v>
      </c>
      <c r="K663">
        <v>2400</v>
      </c>
      <c r="L663">
        <v>0</v>
      </c>
      <c r="M663">
        <v>0</v>
      </c>
      <c r="N663">
        <v>2400</v>
      </c>
    </row>
    <row r="664" spans="1:14" x14ac:dyDescent="0.25">
      <c r="A664">
        <v>366.02552900000001</v>
      </c>
      <c r="B664" s="1">
        <f>DATE(2011,5,2) + TIME(0,36,45)</f>
        <v>40665.025520833333</v>
      </c>
      <c r="C664">
        <v>80</v>
      </c>
      <c r="D664">
        <v>72.814834594999994</v>
      </c>
      <c r="E664">
        <v>50</v>
      </c>
      <c r="F664">
        <v>49.762763976999999</v>
      </c>
      <c r="G664">
        <v>1399.8620605000001</v>
      </c>
      <c r="H664">
        <v>1383.3787841999999</v>
      </c>
      <c r="I664">
        <v>1285.6762695</v>
      </c>
      <c r="J664">
        <v>1266.7427978999999</v>
      </c>
      <c r="K664">
        <v>2400</v>
      </c>
      <c r="L664">
        <v>0</v>
      </c>
      <c r="M664">
        <v>0</v>
      </c>
      <c r="N664">
        <v>2400</v>
      </c>
    </row>
    <row r="665" spans="1:14" x14ac:dyDescent="0.25">
      <c r="A665">
        <v>366.07798400000001</v>
      </c>
      <c r="B665" s="1">
        <f>DATE(2011,5,2) + TIME(1,52,17)</f>
        <v>40665.077974537038</v>
      </c>
      <c r="C665">
        <v>80</v>
      </c>
      <c r="D665">
        <v>73.320541382000002</v>
      </c>
      <c r="E665">
        <v>50</v>
      </c>
      <c r="F665">
        <v>49.754695892000001</v>
      </c>
      <c r="G665">
        <v>1399.6851807</v>
      </c>
      <c r="H665">
        <v>1383.2960204999999</v>
      </c>
      <c r="I665">
        <v>1285.6748047000001</v>
      </c>
      <c r="J665">
        <v>1266.7407227000001</v>
      </c>
      <c r="K665">
        <v>2400</v>
      </c>
      <c r="L665">
        <v>0</v>
      </c>
      <c r="M665">
        <v>0</v>
      </c>
      <c r="N665">
        <v>2400</v>
      </c>
    </row>
    <row r="666" spans="1:14" x14ac:dyDescent="0.25">
      <c r="A666">
        <v>366.13301999999999</v>
      </c>
      <c r="B666" s="1">
        <f>DATE(2011,5,2) + TIME(3,11,32)</f>
        <v>40665.133009259262</v>
      </c>
      <c r="C666">
        <v>80</v>
      </c>
      <c r="D666">
        <v>73.812080382999994</v>
      </c>
      <c r="E666">
        <v>50</v>
      </c>
      <c r="F666">
        <v>49.746322632000002</v>
      </c>
      <c r="G666">
        <v>1399.5113524999999</v>
      </c>
      <c r="H666">
        <v>1383.2128906</v>
      </c>
      <c r="I666">
        <v>1285.6732178</v>
      </c>
      <c r="J666">
        <v>1266.7384033000001</v>
      </c>
      <c r="K666">
        <v>2400</v>
      </c>
      <c r="L666">
        <v>0</v>
      </c>
      <c r="M666">
        <v>0</v>
      </c>
      <c r="N666">
        <v>2400</v>
      </c>
    </row>
    <row r="667" spans="1:14" x14ac:dyDescent="0.25">
      <c r="A667">
        <v>366.190898</v>
      </c>
      <c r="B667" s="1">
        <f>DATE(2011,5,2) + TIME(4,34,53)</f>
        <v>40665.190891203703</v>
      </c>
      <c r="C667">
        <v>80</v>
      </c>
      <c r="D667">
        <v>74.289077758999994</v>
      </c>
      <c r="E667">
        <v>50</v>
      </c>
      <c r="F667">
        <v>49.737609863000003</v>
      </c>
      <c r="G667">
        <v>1399.3402100000001</v>
      </c>
      <c r="H667">
        <v>1383.1290283000001</v>
      </c>
      <c r="I667">
        <v>1285.6716309000001</v>
      </c>
      <c r="J667">
        <v>1266.7359618999999</v>
      </c>
      <c r="K667">
        <v>2400</v>
      </c>
      <c r="L667">
        <v>0</v>
      </c>
      <c r="M667">
        <v>0</v>
      </c>
      <c r="N667">
        <v>2400</v>
      </c>
    </row>
    <row r="668" spans="1:14" x14ac:dyDescent="0.25">
      <c r="A668">
        <v>366.25190199999997</v>
      </c>
      <c r="B668" s="1">
        <f>DATE(2011,5,2) + TIME(6,2,44)</f>
        <v>40665.251898148148</v>
      </c>
      <c r="C668">
        <v>80</v>
      </c>
      <c r="D668">
        <v>74.750991821</v>
      </c>
      <c r="E668">
        <v>50</v>
      </c>
      <c r="F668">
        <v>49.728519439999999</v>
      </c>
      <c r="G668">
        <v>1399.1716309000001</v>
      </c>
      <c r="H668">
        <v>1383.0443115</v>
      </c>
      <c r="I668">
        <v>1285.6697998</v>
      </c>
      <c r="J668">
        <v>1266.7335204999999</v>
      </c>
      <c r="K668">
        <v>2400</v>
      </c>
      <c r="L668">
        <v>0</v>
      </c>
      <c r="M668">
        <v>0</v>
      </c>
      <c r="N668">
        <v>2400</v>
      </c>
    </row>
    <row r="669" spans="1:14" x14ac:dyDescent="0.25">
      <c r="A669">
        <v>366.31638099999998</v>
      </c>
      <c r="B669" s="1">
        <f>DATE(2011,5,2) + TIME(7,35,35)</f>
        <v>40665.316377314812</v>
      </c>
      <c r="C669">
        <v>80</v>
      </c>
      <c r="D669">
        <v>75.197280883999994</v>
      </c>
      <c r="E669">
        <v>50</v>
      </c>
      <c r="F669">
        <v>49.719017029</v>
      </c>
      <c r="G669">
        <v>1399.0050048999999</v>
      </c>
      <c r="H669">
        <v>1382.958374</v>
      </c>
      <c r="I669">
        <v>1285.6679687999999</v>
      </c>
      <c r="J669">
        <v>1266.7308350000001</v>
      </c>
      <c r="K669">
        <v>2400</v>
      </c>
      <c r="L669">
        <v>0</v>
      </c>
      <c r="M669">
        <v>0</v>
      </c>
      <c r="N669">
        <v>2400</v>
      </c>
    </row>
    <row r="670" spans="1:14" x14ac:dyDescent="0.25">
      <c r="A670">
        <v>366.38474500000001</v>
      </c>
      <c r="B670" s="1">
        <f>DATE(2011,5,2) + TIME(9,14,1)</f>
        <v>40665.384733796294</v>
      </c>
      <c r="C670">
        <v>80</v>
      </c>
      <c r="D670">
        <v>75.627449036000002</v>
      </c>
      <c r="E670">
        <v>50</v>
      </c>
      <c r="F670">
        <v>49.709056854000004</v>
      </c>
      <c r="G670">
        <v>1398.840332</v>
      </c>
      <c r="H670">
        <v>1382.8709716999999</v>
      </c>
      <c r="I670">
        <v>1285.6661377</v>
      </c>
      <c r="J670">
        <v>1266.7280272999999</v>
      </c>
      <c r="K670">
        <v>2400</v>
      </c>
      <c r="L670">
        <v>0</v>
      </c>
      <c r="M670">
        <v>0</v>
      </c>
      <c r="N670">
        <v>2400</v>
      </c>
    </row>
    <row r="671" spans="1:14" x14ac:dyDescent="0.25">
      <c r="A671">
        <v>366.45747399999999</v>
      </c>
      <c r="B671" s="1">
        <f>DATE(2011,5,2) + TIME(10,58,45)</f>
        <v>40665.457465277781</v>
      </c>
      <c r="C671">
        <v>80</v>
      </c>
      <c r="D671">
        <v>76.041213988999999</v>
      </c>
      <c r="E671">
        <v>50</v>
      </c>
      <c r="F671">
        <v>49.698577880999999</v>
      </c>
      <c r="G671">
        <v>1398.6768798999999</v>
      </c>
      <c r="H671">
        <v>1382.7819824000001</v>
      </c>
      <c r="I671">
        <v>1285.6640625</v>
      </c>
      <c r="J671">
        <v>1266.7250977000001</v>
      </c>
      <c r="K671">
        <v>2400</v>
      </c>
      <c r="L671">
        <v>0</v>
      </c>
      <c r="M671">
        <v>0</v>
      </c>
      <c r="N671">
        <v>2400</v>
      </c>
    </row>
    <row r="672" spans="1:14" x14ac:dyDescent="0.25">
      <c r="A672">
        <v>366.53513500000003</v>
      </c>
      <c r="B672" s="1">
        <f>DATE(2011,5,2) + TIME(12,50,35)</f>
        <v>40665.535127314812</v>
      </c>
      <c r="C672">
        <v>80</v>
      </c>
      <c r="D672">
        <v>76.438026428000001</v>
      </c>
      <c r="E672">
        <v>50</v>
      </c>
      <c r="F672">
        <v>49.687519072999997</v>
      </c>
      <c r="G672">
        <v>1398.5145264</v>
      </c>
      <c r="H672">
        <v>1382.6906738</v>
      </c>
      <c r="I672">
        <v>1285.6618652</v>
      </c>
      <c r="J672">
        <v>1266.7219238</v>
      </c>
      <c r="K672">
        <v>2400</v>
      </c>
      <c r="L672">
        <v>0</v>
      </c>
      <c r="M672">
        <v>0</v>
      </c>
      <c r="N672">
        <v>2400</v>
      </c>
    </row>
    <row r="673" spans="1:14" x14ac:dyDescent="0.25">
      <c r="A673">
        <v>366.61843699999997</v>
      </c>
      <c r="B673" s="1">
        <f>DATE(2011,5,2) + TIME(14,50,32)</f>
        <v>40665.618425925924</v>
      </c>
      <c r="C673">
        <v>80</v>
      </c>
      <c r="D673">
        <v>76.817436217999997</v>
      </c>
      <c r="E673">
        <v>50</v>
      </c>
      <c r="F673">
        <v>49.675804137999997</v>
      </c>
      <c r="G673">
        <v>1398.3525391000001</v>
      </c>
      <c r="H673">
        <v>1382.5970459</v>
      </c>
      <c r="I673">
        <v>1285.6594238</v>
      </c>
      <c r="J673">
        <v>1266.7186279</v>
      </c>
      <c r="K673">
        <v>2400</v>
      </c>
      <c r="L673">
        <v>0</v>
      </c>
      <c r="M673">
        <v>0</v>
      </c>
      <c r="N673">
        <v>2400</v>
      </c>
    </row>
    <row r="674" spans="1:14" x14ac:dyDescent="0.25">
      <c r="A674">
        <v>366.70823100000001</v>
      </c>
      <c r="B674" s="1">
        <f>DATE(2011,5,2) + TIME(16,59,51)</f>
        <v>40665.708229166667</v>
      </c>
      <c r="C674">
        <v>80</v>
      </c>
      <c r="D674">
        <v>77.178886414000004</v>
      </c>
      <c r="E674">
        <v>50</v>
      </c>
      <c r="F674">
        <v>49.663333893000001</v>
      </c>
      <c r="G674">
        <v>1398.1906738</v>
      </c>
      <c r="H674">
        <v>1382.5003661999999</v>
      </c>
      <c r="I674">
        <v>1285.6569824000001</v>
      </c>
      <c r="J674">
        <v>1266.7150879000001</v>
      </c>
      <c r="K674">
        <v>2400</v>
      </c>
      <c r="L674">
        <v>0</v>
      </c>
      <c r="M674">
        <v>0</v>
      </c>
      <c r="N674">
        <v>2400</v>
      </c>
    </row>
    <row r="675" spans="1:14" x14ac:dyDescent="0.25">
      <c r="A675">
        <v>366.80538200000001</v>
      </c>
      <c r="B675" s="1">
        <f>DATE(2011,5,2) + TIME(19,19,45)</f>
        <v>40665.805381944447</v>
      </c>
      <c r="C675">
        <v>80</v>
      </c>
      <c r="D675">
        <v>77.521209717000005</v>
      </c>
      <c r="E675">
        <v>50</v>
      </c>
      <c r="F675">
        <v>49.650020599000001</v>
      </c>
      <c r="G675">
        <v>1398.0283202999999</v>
      </c>
      <c r="H675">
        <v>1382.4003906</v>
      </c>
      <c r="I675">
        <v>1285.6541748</v>
      </c>
      <c r="J675">
        <v>1266.7113036999999</v>
      </c>
      <c r="K675">
        <v>2400</v>
      </c>
      <c r="L675">
        <v>0</v>
      </c>
      <c r="M675">
        <v>0</v>
      </c>
      <c r="N675">
        <v>2400</v>
      </c>
    </row>
    <row r="676" spans="1:14" x14ac:dyDescent="0.25">
      <c r="A676">
        <v>366.902759</v>
      </c>
      <c r="B676" s="1">
        <f>DATE(2011,5,2) + TIME(21,39,58)</f>
        <v>40665.902754629627</v>
      </c>
      <c r="C676">
        <v>80</v>
      </c>
      <c r="D676">
        <v>77.821449279999996</v>
      </c>
      <c r="E676">
        <v>50</v>
      </c>
      <c r="F676">
        <v>49.636741637999997</v>
      </c>
      <c r="G676">
        <v>1397.8746338000001</v>
      </c>
      <c r="H676">
        <v>1382.3010254000001</v>
      </c>
      <c r="I676">
        <v>1285.6511230000001</v>
      </c>
      <c r="J676">
        <v>1266.7071533000001</v>
      </c>
      <c r="K676">
        <v>2400</v>
      </c>
      <c r="L676">
        <v>0</v>
      </c>
      <c r="M676">
        <v>0</v>
      </c>
      <c r="N676">
        <v>2400</v>
      </c>
    </row>
    <row r="677" spans="1:14" x14ac:dyDescent="0.25">
      <c r="A677">
        <v>367.00088499999998</v>
      </c>
      <c r="B677" s="1">
        <f>DATE(2011,5,3) + TIME(0,1,16)</f>
        <v>40666.000879629632</v>
      </c>
      <c r="C677">
        <v>80</v>
      </c>
      <c r="D677">
        <v>78.085922241000006</v>
      </c>
      <c r="E677">
        <v>50</v>
      </c>
      <c r="F677">
        <v>49.623432158999996</v>
      </c>
      <c r="G677">
        <v>1397.7294922000001</v>
      </c>
      <c r="H677">
        <v>1382.2044678</v>
      </c>
      <c r="I677">
        <v>1285.6480713000001</v>
      </c>
      <c r="J677">
        <v>1266.703125</v>
      </c>
      <c r="K677">
        <v>2400</v>
      </c>
      <c r="L677">
        <v>0</v>
      </c>
      <c r="M677">
        <v>0</v>
      </c>
      <c r="N677">
        <v>2400</v>
      </c>
    </row>
    <row r="678" spans="1:14" x14ac:dyDescent="0.25">
      <c r="A678">
        <v>367.09998000000002</v>
      </c>
      <c r="B678" s="1">
        <f>DATE(2011,5,3) + TIME(2,23,58)</f>
        <v>40666.099976851852</v>
      </c>
      <c r="C678">
        <v>80</v>
      </c>
      <c r="D678">
        <v>78.319076538000004</v>
      </c>
      <c r="E678">
        <v>50</v>
      </c>
      <c r="F678">
        <v>49.610061645999998</v>
      </c>
      <c r="G678">
        <v>1397.5916748</v>
      </c>
      <c r="H678">
        <v>1382.1104736</v>
      </c>
      <c r="I678">
        <v>1285.6448975000001</v>
      </c>
      <c r="J678">
        <v>1266.6989745999999</v>
      </c>
      <c r="K678">
        <v>2400</v>
      </c>
      <c r="L678">
        <v>0</v>
      </c>
      <c r="M678">
        <v>0</v>
      </c>
      <c r="N678">
        <v>2400</v>
      </c>
    </row>
    <row r="679" spans="1:14" x14ac:dyDescent="0.25">
      <c r="A679">
        <v>367.20014800000001</v>
      </c>
      <c r="B679" s="1">
        <f>DATE(2011,5,3) + TIME(4,48,12)</f>
        <v>40666.200138888889</v>
      </c>
      <c r="C679">
        <v>80</v>
      </c>
      <c r="D679">
        <v>78.524536132999998</v>
      </c>
      <c r="E679">
        <v>50</v>
      </c>
      <c r="F679">
        <v>49.596622467000003</v>
      </c>
      <c r="G679">
        <v>1397.4602050999999</v>
      </c>
      <c r="H679">
        <v>1382.0185547000001</v>
      </c>
      <c r="I679">
        <v>1285.6418457</v>
      </c>
      <c r="J679">
        <v>1266.6948242000001</v>
      </c>
      <c r="K679">
        <v>2400</v>
      </c>
      <c r="L679">
        <v>0</v>
      </c>
      <c r="M679">
        <v>0</v>
      </c>
      <c r="N679">
        <v>2400</v>
      </c>
    </row>
    <row r="680" spans="1:14" x14ac:dyDescent="0.25">
      <c r="A680">
        <v>367.30138499999998</v>
      </c>
      <c r="B680" s="1">
        <f>DATE(2011,5,3) + TIME(7,13,59)</f>
        <v>40666.301377314812</v>
      </c>
      <c r="C680">
        <v>80</v>
      </c>
      <c r="D680">
        <v>78.705314635999997</v>
      </c>
      <c r="E680">
        <v>50</v>
      </c>
      <c r="F680">
        <v>49.583110808999997</v>
      </c>
      <c r="G680">
        <v>1397.3345947</v>
      </c>
      <c r="H680">
        <v>1381.9285889</v>
      </c>
      <c r="I680">
        <v>1285.6385498</v>
      </c>
      <c r="J680">
        <v>1266.6906738</v>
      </c>
      <c r="K680">
        <v>2400</v>
      </c>
      <c r="L680">
        <v>0</v>
      </c>
      <c r="M680">
        <v>0</v>
      </c>
      <c r="N680">
        <v>2400</v>
      </c>
    </row>
    <row r="681" spans="1:14" x14ac:dyDescent="0.25">
      <c r="A681">
        <v>367.40390000000002</v>
      </c>
      <c r="B681" s="1">
        <f>DATE(2011,5,3) + TIME(9,41,36)</f>
        <v>40666.40388888889</v>
      </c>
      <c r="C681">
        <v>80</v>
      </c>
      <c r="D681">
        <v>78.864425659000005</v>
      </c>
      <c r="E681">
        <v>50</v>
      </c>
      <c r="F681">
        <v>49.569499968999999</v>
      </c>
      <c r="G681">
        <v>1397.2141113</v>
      </c>
      <c r="H681">
        <v>1381.8405762</v>
      </c>
      <c r="I681">
        <v>1285.635376</v>
      </c>
      <c r="J681">
        <v>1266.6864014</v>
      </c>
      <c r="K681">
        <v>2400</v>
      </c>
      <c r="L681">
        <v>0</v>
      </c>
      <c r="M681">
        <v>0</v>
      </c>
      <c r="N681">
        <v>2400</v>
      </c>
    </row>
    <row r="682" spans="1:14" x14ac:dyDescent="0.25">
      <c r="A682">
        <v>367.50789200000003</v>
      </c>
      <c r="B682" s="1">
        <f>DATE(2011,5,3) + TIME(12,11,21)</f>
        <v>40666.507881944446</v>
      </c>
      <c r="C682">
        <v>80</v>
      </c>
      <c r="D682">
        <v>79.004447936999995</v>
      </c>
      <c r="E682">
        <v>50</v>
      </c>
      <c r="F682">
        <v>49.555770873999997</v>
      </c>
      <c r="G682">
        <v>1397.0981445</v>
      </c>
      <c r="H682">
        <v>1381.7540283000001</v>
      </c>
      <c r="I682">
        <v>1285.6320800999999</v>
      </c>
      <c r="J682">
        <v>1266.6820068</v>
      </c>
      <c r="K682">
        <v>2400</v>
      </c>
      <c r="L682">
        <v>0</v>
      </c>
      <c r="M682">
        <v>0</v>
      </c>
      <c r="N682">
        <v>2400</v>
      </c>
    </row>
    <row r="683" spans="1:14" x14ac:dyDescent="0.25">
      <c r="A683">
        <v>367.613564</v>
      </c>
      <c r="B683" s="1">
        <f>DATE(2011,5,3) + TIME(14,43,31)</f>
        <v>40666.613553240742</v>
      </c>
      <c r="C683">
        <v>80</v>
      </c>
      <c r="D683">
        <v>79.127647400000001</v>
      </c>
      <c r="E683">
        <v>50</v>
      </c>
      <c r="F683">
        <v>49.541889191000003</v>
      </c>
      <c r="G683">
        <v>1396.9859618999999</v>
      </c>
      <c r="H683">
        <v>1381.6689452999999</v>
      </c>
      <c r="I683">
        <v>1285.6286620999999</v>
      </c>
      <c r="J683">
        <v>1266.6777344</v>
      </c>
      <c r="K683">
        <v>2400</v>
      </c>
      <c r="L683">
        <v>0</v>
      </c>
      <c r="M683">
        <v>0</v>
      </c>
      <c r="N683">
        <v>2400</v>
      </c>
    </row>
    <row r="684" spans="1:14" x14ac:dyDescent="0.25">
      <c r="A684">
        <v>367.72112299999998</v>
      </c>
      <c r="B684" s="1">
        <f>DATE(2011,5,3) + TIME(17,18,25)</f>
        <v>40666.721122685187</v>
      </c>
      <c r="C684">
        <v>80</v>
      </c>
      <c r="D684">
        <v>79.235969542999996</v>
      </c>
      <c r="E684">
        <v>50</v>
      </c>
      <c r="F684">
        <v>49.527839661000002</v>
      </c>
      <c r="G684">
        <v>1396.8770752</v>
      </c>
      <c r="H684">
        <v>1381.5850829999999</v>
      </c>
      <c r="I684">
        <v>1285.6253661999999</v>
      </c>
      <c r="J684">
        <v>1266.6732178</v>
      </c>
      <c r="K684">
        <v>2400</v>
      </c>
      <c r="L684">
        <v>0</v>
      </c>
      <c r="M684">
        <v>0</v>
      </c>
      <c r="N684">
        <v>2400</v>
      </c>
    </row>
    <row r="685" spans="1:14" x14ac:dyDescent="0.25">
      <c r="A685">
        <v>367.83078499999999</v>
      </c>
      <c r="B685" s="1">
        <f>DATE(2011,5,3) + TIME(19,56,19)</f>
        <v>40666.830775462964</v>
      </c>
      <c r="C685">
        <v>80</v>
      </c>
      <c r="D685">
        <v>79.331130981000001</v>
      </c>
      <c r="E685">
        <v>50</v>
      </c>
      <c r="F685">
        <v>49.513595580999997</v>
      </c>
      <c r="G685">
        <v>1396.7712402</v>
      </c>
      <c r="H685">
        <v>1381.5021973</v>
      </c>
      <c r="I685">
        <v>1285.6218262</v>
      </c>
      <c r="J685">
        <v>1266.6687012</v>
      </c>
      <c r="K685">
        <v>2400</v>
      </c>
      <c r="L685">
        <v>0</v>
      </c>
      <c r="M685">
        <v>0</v>
      </c>
      <c r="N685">
        <v>2400</v>
      </c>
    </row>
    <row r="686" spans="1:14" x14ac:dyDescent="0.25">
      <c r="A686">
        <v>367.94282099999998</v>
      </c>
      <c r="B686" s="1">
        <f>DATE(2011,5,3) + TIME(22,37,39)</f>
        <v>40666.942812499998</v>
      </c>
      <c r="C686">
        <v>80</v>
      </c>
      <c r="D686">
        <v>79.414665221999996</v>
      </c>
      <c r="E686">
        <v>50</v>
      </c>
      <c r="F686">
        <v>49.499118805000002</v>
      </c>
      <c r="G686">
        <v>1396.6678466999999</v>
      </c>
      <c r="H686">
        <v>1381.4200439000001</v>
      </c>
      <c r="I686">
        <v>1285.6182861</v>
      </c>
      <c r="J686">
        <v>1266.6640625</v>
      </c>
      <c r="K686">
        <v>2400</v>
      </c>
      <c r="L686">
        <v>0</v>
      </c>
      <c r="M686">
        <v>0</v>
      </c>
      <c r="N686">
        <v>2400</v>
      </c>
    </row>
    <row r="687" spans="1:14" x14ac:dyDescent="0.25">
      <c r="A687">
        <v>368.057435</v>
      </c>
      <c r="B687" s="1">
        <f>DATE(2011,5,4) + TIME(1,22,42)</f>
        <v>40667.057430555556</v>
      </c>
      <c r="C687">
        <v>80</v>
      </c>
      <c r="D687">
        <v>79.487869262999993</v>
      </c>
      <c r="E687">
        <v>50</v>
      </c>
      <c r="F687">
        <v>49.484397887999997</v>
      </c>
      <c r="G687">
        <v>1396.5666504000001</v>
      </c>
      <c r="H687">
        <v>1381.3387451000001</v>
      </c>
      <c r="I687">
        <v>1285.614624</v>
      </c>
      <c r="J687">
        <v>1266.6594238</v>
      </c>
      <c r="K687">
        <v>2400</v>
      </c>
      <c r="L687">
        <v>0</v>
      </c>
      <c r="M687">
        <v>0</v>
      </c>
      <c r="N687">
        <v>2400</v>
      </c>
    </row>
    <row r="688" spans="1:14" x14ac:dyDescent="0.25">
      <c r="A688">
        <v>368.17488100000003</v>
      </c>
      <c r="B688" s="1">
        <f>DATE(2011,5,4) + TIME(4,11,49)</f>
        <v>40667.174872685187</v>
      </c>
      <c r="C688">
        <v>80</v>
      </c>
      <c r="D688">
        <v>79.551918029999996</v>
      </c>
      <c r="E688">
        <v>50</v>
      </c>
      <c r="F688">
        <v>49.469394684000001</v>
      </c>
      <c r="G688">
        <v>1396.4672852000001</v>
      </c>
      <c r="H688">
        <v>1381.2579346</v>
      </c>
      <c r="I688">
        <v>1285.6109618999999</v>
      </c>
      <c r="J688">
        <v>1266.6545410000001</v>
      </c>
      <c r="K688">
        <v>2400</v>
      </c>
      <c r="L688">
        <v>0</v>
      </c>
      <c r="M688">
        <v>0</v>
      </c>
      <c r="N688">
        <v>2400</v>
      </c>
    </row>
    <row r="689" spans="1:14" x14ac:dyDescent="0.25">
      <c r="A689">
        <v>368.29543699999999</v>
      </c>
      <c r="B689" s="1">
        <f>DATE(2011,5,4) + TIME(7,5,25)</f>
        <v>40667.295428240737</v>
      </c>
      <c r="C689">
        <v>80</v>
      </c>
      <c r="D689">
        <v>79.607856749999996</v>
      </c>
      <c r="E689">
        <v>50</v>
      </c>
      <c r="F689">
        <v>49.454078674000002</v>
      </c>
      <c r="G689">
        <v>1396.3695068</v>
      </c>
      <c r="H689">
        <v>1381.1774902</v>
      </c>
      <c r="I689">
        <v>1285.6070557</v>
      </c>
      <c r="J689">
        <v>1266.6495361</v>
      </c>
      <c r="K689">
        <v>2400</v>
      </c>
      <c r="L689">
        <v>0</v>
      </c>
      <c r="M689">
        <v>0</v>
      </c>
      <c r="N689">
        <v>2400</v>
      </c>
    </row>
    <row r="690" spans="1:14" x14ac:dyDescent="0.25">
      <c r="A690">
        <v>368.41940499999998</v>
      </c>
      <c r="B690" s="1">
        <f>DATE(2011,5,4) + TIME(10,3,56)</f>
        <v>40667.419398148151</v>
      </c>
      <c r="C690">
        <v>80</v>
      </c>
      <c r="D690">
        <v>79.656600952000005</v>
      </c>
      <c r="E690">
        <v>50</v>
      </c>
      <c r="F690">
        <v>49.438423157000003</v>
      </c>
      <c r="G690">
        <v>1396.2729492000001</v>
      </c>
      <c r="H690">
        <v>1381.0972899999999</v>
      </c>
      <c r="I690">
        <v>1285.6031493999999</v>
      </c>
      <c r="J690">
        <v>1266.6445312000001</v>
      </c>
      <c r="K690">
        <v>2400</v>
      </c>
      <c r="L690">
        <v>0</v>
      </c>
      <c r="M690">
        <v>0</v>
      </c>
      <c r="N690">
        <v>2400</v>
      </c>
    </row>
    <row r="691" spans="1:14" x14ac:dyDescent="0.25">
      <c r="A691">
        <v>368.54711500000002</v>
      </c>
      <c r="B691" s="1">
        <f>DATE(2011,5,4) + TIME(13,7,50)</f>
        <v>40667.547106481485</v>
      </c>
      <c r="C691">
        <v>80</v>
      </c>
      <c r="D691">
        <v>79.698982239000003</v>
      </c>
      <c r="E691">
        <v>50</v>
      </c>
      <c r="F691">
        <v>49.422389983999999</v>
      </c>
      <c r="G691">
        <v>1396.1773682</v>
      </c>
      <c r="H691">
        <v>1381.0173339999999</v>
      </c>
      <c r="I691">
        <v>1285.5991211</v>
      </c>
      <c r="J691">
        <v>1266.6392822</v>
      </c>
      <c r="K691">
        <v>2400</v>
      </c>
      <c r="L691">
        <v>0</v>
      </c>
      <c r="M691">
        <v>0</v>
      </c>
      <c r="N691">
        <v>2400</v>
      </c>
    </row>
    <row r="692" spans="1:14" x14ac:dyDescent="0.25">
      <c r="A692">
        <v>368.67893299999997</v>
      </c>
      <c r="B692" s="1">
        <f>DATE(2011,5,4) + TIME(16,17,39)</f>
        <v>40667.678923611114</v>
      </c>
      <c r="C692">
        <v>80</v>
      </c>
      <c r="D692">
        <v>79.735733031999999</v>
      </c>
      <c r="E692">
        <v>50</v>
      </c>
      <c r="F692">
        <v>49.405941009999999</v>
      </c>
      <c r="G692">
        <v>1396.0823975000001</v>
      </c>
      <c r="H692">
        <v>1380.9373779</v>
      </c>
      <c r="I692">
        <v>1285.5948486</v>
      </c>
      <c r="J692">
        <v>1266.6339111</v>
      </c>
      <c r="K692">
        <v>2400</v>
      </c>
      <c r="L692">
        <v>0</v>
      </c>
      <c r="M692">
        <v>0</v>
      </c>
      <c r="N692">
        <v>2400</v>
      </c>
    </row>
    <row r="693" spans="1:14" x14ac:dyDescent="0.25">
      <c r="A693">
        <v>368.81526200000002</v>
      </c>
      <c r="B693" s="1">
        <f>DATE(2011,5,4) + TIME(19,33,58)</f>
        <v>40667.815254629626</v>
      </c>
      <c r="C693">
        <v>80</v>
      </c>
      <c r="D693">
        <v>79.767501831000004</v>
      </c>
      <c r="E693">
        <v>50</v>
      </c>
      <c r="F693">
        <v>49.389030456999997</v>
      </c>
      <c r="G693">
        <v>1395.9880370999999</v>
      </c>
      <c r="H693">
        <v>1380.8571777</v>
      </c>
      <c r="I693">
        <v>1285.5905762</v>
      </c>
      <c r="J693">
        <v>1266.6282959</v>
      </c>
      <c r="K693">
        <v>2400</v>
      </c>
      <c r="L693">
        <v>0</v>
      </c>
      <c r="M693">
        <v>0</v>
      </c>
      <c r="N693">
        <v>2400</v>
      </c>
    </row>
    <row r="694" spans="1:14" x14ac:dyDescent="0.25">
      <c r="A694">
        <v>368.95655599999998</v>
      </c>
      <c r="B694" s="1">
        <f>DATE(2011,5,4) + TIME(22,57,26)</f>
        <v>40667.956550925926</v>
      </c>
      <c r="C694">
        <v>80</v>
      </c>
      <c r="D694">
        <v>79.794883728000002</v>
      </c>
      <c r="E694">
        <v>50</v>
      </c>
      <c r="F694">
        <v>49.371612548999998</v>
      </c>
      <c r="G694">
        <v>1395.8937988</v>
      </c>
      <c r="H694">
        <v>1380.7767334</v>
      </c>
      <c r="I694">
        <v>1285.5860596</v>
      </c>
      <c r="J694">
        <v>1266.6225586</v>
      </c>
      <c r="K694">
        <v>2400</v>
      </c>
      <c r="L694">
        <v>0</v>
      </c>
      <c r="M694">
        <v>0</v>
      </c>
      <c r="N694">
        <v>2400</v>
      </c>
    </row>
    <row r="695" spans="1:14" x14ac:dyDescent="0.25">
      <c r="A695">
        <v>369.10332099999999</v>
      </c>
      <c r="B695" s="1">
        <f>DATE(2011,5,5) + TIME(2,28,46)</f>
        <v>40668.103310185186</v>
      </c>
      <c r="C695">
        <v>80</v>
      </c>
      <c r="D695">
        <v>79.818405150999993</v>
      </c>
      <c r="E695">
        <v>50</v>
      </c>
      <c r="F695">
        <v>49.353633881</v>
      </c>
      <c r="G695">
        <v>1395.7995605000001</v>
      </c>
      <c r="H695">
        <v>1380.6958007999999</v>
      </c>
      <c r="I695">
        <v>1285.5814209</v>
      </c>
      <c r="J695">
        <v>1266.6165771000001</v>
      </c>
      <c r="K695">
        <v>2400</v>
      </c>
      <c r="L695">
        <v>0</v>
      </c>
      <c r="M695">
        <v>0</v>
      </c>
      <c r="N695">
        <v>2400</v>
      </c>
    </row>
    <row r="696" spans="1:14" x14ac:dyDescent="0.25">
      <c r="A696">
        <v>369.25619599999999</v>
      </c>
      <c r="B696" s="1">
        <f>DATE(2011,5,5) + TIME(6,8,55)</f>
        <v>40668.256192129629</v>
      </c>
      <c r="C696">
        <v>80</v>
      </c>
      <c r="D696">
        <v>79.838523864999999</v>
      </c>
      <c r="E696">
        <v>50</v>
      </c>
      <c r="F696">
        <v>49.335033416999998</v>
      </c>
      <c r="G696">
        <v>1395.7050781</v>
      </c>
      <c r="H696">
        <v>1380.6142577999999</v>
      </c>
      <c r="I696">
        <v>1285.5765381000001</v>
      </c>
      <c r="J696">
        <v>1266.6103516000001</v>
      </c>
      <c r="K696">
        <v>2400</v>
      </c>
      <c r="L696">
        <v>0</v>
      </c>
      <c r="M696">
        <v>0</v>
      </c>
      <c r="N696">
        <v>2400</v>
      </c>
    </row>
    <row r="697" spans="1:14" x14ac:dyDescent="0.25">
      <c r="A697">
        <v>369.41582499999998</v>
      </c>
      <c r="B697" s="1">
        <f>DATE(2011,5,5) + TIME(9,58,47)</f>
        <v>40668.415821759256</v>
      </c>
      <c r="C697">
        <v>80</v>
      </c>
      <c r="D697">
        <v>79.855674743999998</v>
      </c>
      <c r="E697">
        <v>50</v>
      </c>
      <c r="F697">
        <v>49.315738678000002</v>
      </c>
      <c r="G697">
        <v>1395.6099853999999</v>
      </c>
      <c r="H697">
        <v>1380.5318603999999</v>
      </c>
      <c r="I697">
        <v>1285.5714111</v>
      </c>
      <c r="J697">
        <v>1266.6038818</v>
      </c>
      <c r="K697">
        <v>2400</v>
      </c>
      <c r="L697">
        <v>0</v>
      </c>
      <c r="M697">
        <v>0</v>
      </c>
      <c r="N697">
        <v>2400</v>
      </c>
    </row>
    <row r="698" spans="1:14" x14ac:dyDescent="0.25">
      <c r="A698">
        <v>369.58237600000001</v>
      </c>
      <c r="B698" s="1">
        <f>DATE(2011,5,5) + TIME(13,58,37)</f>
        <v>40668.582372685189</v>
      </c>
      <c r="C698">
        <v>80</v>
      </c>
      <c r="D698">
        <v>79.870170592999997</v>
      </c>
      <c r="E698">
        <v>50</v>
      </c>
      <c r="F698">
        <v>49.295738219999997</v>
      </c>
      <c r="G698">
        <v>1395.5139160000001</v>
      </c>
      <c r="H698">
        <v>1380.4483643000001</v>
      </c>
      <c r="I698">
        <v>1285.5661620999999</v>
      </c>
      <c r="J698">
        <v>1266.5970459</v>
      </c>
      <c r="K698">
        <v>2400</v>
      </c>
      <c r="L698">
        <v>0</v>
      </c>
      <c r="M698">
        <v>0</v>
      </c>
      <c r="N698">
        <v>2400</v>
      </c>
    </row>
    <row r="699" spans="1:14" x14ac:dyDescent="0.25">
      <c r="A699">
        <v>369.75507199999998</v>
      </c>
      <c r="B699" s="1">
        <f>DATE(2011,5,5) + TIME(18,7,18)</f>
        <v>40668.755069444444</v>
      </c>
      <c r="C699">
        <v>80</v>
      </c>
      <c r="D699">
        <v>79.882293700999995</v>
      </c>
      <c r="E699">
        <v>50</v>
      </c>
      <c r="F699">
        <v>49.275108336999999</v>
      </c>
      <c r="G699">
        <v>1395.4172363</v>
      </c>
      <c r="H699">
        <v>1380.3641356999999</v>
      </c>
      <c r="I699">
        <v>1285.5605469</v>
      </c>
      <c r="J699">
        <v>1266.5899658000001</v>
      </c>
      <c r="K699">
        <v>2400</v>
      </c>
      <c r="L699">
        <v>0</v>
      </c>
      <c r="M699">
        <v>0</v>
      </c>
      <c r="N699">
        <v>2400</v>
      </c>
    </row>
    <row r="700" spans="1:14" x14ac:dyDescent="0.25">
      <c r="A700">
        <v>369.93458700000002</v>
      </c>
      <c r="B700" s="1">
        <f>DATE(2011,5,5) + TIME(22,25,48)</f>
        <v>40668.934583333335</v>
      </c>
      <c r="C700">
        <v>80</v>
      </c>
      <c r="D700">
        <v>79.892387389999996</v>
      </c>
      <c r="E700">
        <v>50</v>
      </c>
      <c r="F700">
        <v>49.253780364999997</v>
      </c>
      <c r="G700">
        <v>1395.3201904</v>
      </c>
      <c r="H700">
        <v>1380.2792969</v>
      </c>
      <c r="I700">
        <v>1285.5548096</v>
      </c>
      <c r="J700">
        <v>1266.5826416</v>
      </c>
      <c r="K700">
        <v>2400</v>
      </c>
      <c r="L700">
        <v>0</v>
      </c>
      <c r="M700">
        <v>0</v>
      </c>
      <c r="N700">
        <v>2400</v>
      </c>
    </row>
    <row r="701" spans="1:14" x14ac:dyDescent="0.25">
      <c r="A701">
        <v>370.121691</v>
      </c>
      <c r="B701" s="1">
        <f>DATE(2011,5,6) + TIME(2,55,14)</f>
        <v>40669.121689814812</v>
      </c>
      <c r="C701">
        <v>80</v>
      </c>
      <c r="D701">
        <v>79.900764464999995</v>
      </c>
      <c r="E701">
        <v>50</v>
      </c>
      <c r="F701">
        <v>49.231689453000001</v>
      </c>
      <c r="G701">
        <v>1395.2226562000001</v>
      </c>
      <c r="H701">
        <v>1380.1939697</v>
      </c>
      <c r="I701">
        <v>1285.5488281</v>
      </c>
      <c r="J701">
        <v>1266.5750731999999</v>
      </c>
      <c r="K701">
        <v>2400</v>
      </c>
      <c r="L701">
        <v>0</v>
      </c>
      <c r="M701">
        <v>0</v>
      </c>
      <c r="N701">
        <v>2400</v>
      </c>
    </row>
    <row r="702" spans="1:14" x14ac:dyDescent="0.25">
      <c r="A702">
        <v>370.31716999999998</v>
      </c>
      <c r="B702" s="1">
        <f>DATE(2011,5,6) + TIME(7,36,43)</f>
        <v>40669.317164351851</v>
      </c>
      <c r="C702">
        <v>80</v>
      </c>
      <c r="D702">
        <v>79.907691955999994</v>
      </c>
      <c r="E702">
        <v>50</v>
      </c>
      <c r="F702">
        <v>49.208751677999999</v>
      </c>
      <c r="G702">
        <v>1395.1242675999999</v>
      </c>
      <c r="H702">
        <v>1380.1076660000001</v>
      </c>
      <c r="I702">
        <v>1285.5424805</v>
      </c>
      <c r="J702">
        <v>1266.5671387</v>
      </c>
      <c r="K702">
        <v>2400</v>
      </c>
      <c r="L702">
        <v>0</v>
      </c>
      <c r="M702">
        <v>0</v>
      </c>
      <c r="N702">
        <v>2400</v>
      </c>
    </row>
    <row r="703" spans="1:14" x14ac:dyDescent="0.25">
      <c r="A703">
        <v>370.51957199999998</v>
      </c>
      <c r="B703" s="1">
        <f>DATE(2011,5,6) + TIME(12,28,10)</f>
        <v>40669.519560185188</v>
      </c>
      <c r="C703">
        <v>80</v>
      </c>
      <c r="D703">
        <v>79.913337708</v>
      </c>
      <c r="E703">
        <v>50</v>
      </c>
      <c r="F703">
        <v>49.185104369999998</v>
      </c>
      <c r="G703">
        <v>1395.0247803</v>
      </c>
      <c r="H703">
        <v>1380.0205077999999</v>
      </c>
      <c r="I703">
        <v>1285.5358887</v>
      </c>
      <c r="J703">
        <v>1266.5588379000001</v>
      </c>
      <c r="K703">
        <v>2400</v>
      </c>
      <c r="L703">
        <v>0</v>
      </c>
      <c r="M703">
        <v>0</v>
      </c>
      <c r="N703">
        <v>2400</v>
      </c>
    </row>
    <row r="704" spans="1:14" x14ac:dyDescent="0.25">
      <c r="A704">
        <v>370.722894</v>
      </c>
      <c r="B704" s="1">
        <f>DATE(2011,5,6) + TIME(17,20,58)</f>
        <v>40669.722893518519</v>
      </c>
      <c r="C704">
        <v>80</v>
      </c>
      <c r="D704">
        <v>79.917808532999999</v>
      </c>
      <c r="E704">
        <v>50</v>
      </c>
      <c r="F704">
        <v>49.161319732999999</v>
      </c>
      <c r="G704">
        <v>1394.9251709</v>
      </c>
      <c r="H704">
        <v>1379.9329834</v>
      </c>
      <c r="I704">
        <v>1285.5289307</v>
      </c>
      <c r="J704">
        <v>1266.550293</v>
      </c>
      <c r="K704">
        <v>2400</v>
      </c>
      <c r="L704">
        <v>0</v>
      </c>
      <c r="M704">
        <v>0</v>
      </c>
      <c r="N704">
        <v>2400</v>
      </c>
    </row>
    <row r="705" spans="1:14" x14ac:dyDescent="0.25">
      <c r="A705">
        <v>370.92765800000001</v>
      </c>
      <c r="B705" s="1">
        <f>DATE(2011,5,6) + TIME(22,15,49)</f>
        <v>40669.92765046296</v>
      </c>
      <c r="C705">
        <v>80</v>
      </c>
      <c r="D705">
        <v>79.921371460000003</v>
      </c>
      <c r="E705">
        <v>50</v>
      </c>
      <c r="F705">
        <v>49.137374878000003</v>
      </c>
      <c r="G705">
        <v>1394.828125</v>
      </c>
      <c r="H705">
        <v>1379.8477783000001</v>
      </c>
      <c r="I705">
        <v>1285.5219727000001</v>
      </c>
      <c r="J705">
        <v>1266.541626</v>
      </c>
      <c r="K705">
        <v>2400</v>
      </c>
      <c r="L705">
        <v>0</v>
      </c>
      <c r="M705">
        <v>0</v>
      </c>
      <c r="N705">
        <v>2400</v>
      </c>
    </row>
    <row r="706" spans="1:14" x14ac:dyDescent="0.25">
      <c r="A706">
        <v>371.13435399999997</v>
      </c>
      <c r="B706" s="1">
        <f>DATE(2011,5,7) + TIME(3,13,28)</f>
        <v>40670.134351851855</v>
      </c>
      <c r="C706">
        <v>80</v>
      </c>
      <c r="D706">
        <v>79.924224854000002</v>
      </c>
      <c r="E706">
        <v>50</v>
      </c>
      <c r="F706">
        <v>49.113235474</v>
      </c>
      <c r="G706">
        <v>1394.7332764</v>
      </c>
      <c r="H706">
        <v>1379.7645264</v>
      </c>
      <c r="I706">
        <v>1285.5150146000001</v>
      </c>
      <c r="J706">
        <v>1266.5329589999999</v>
      </c>
      <c r="K706">
        <v>2400</v>
      </c>
      <c r="L706">
        <v>0</v>
      </c>
      <c r="M706">
        <v>0</v>
      </c>
      <c r="N706">
        <v>2400</v>
      </c>
    </row>
    <row r="707" spans="1:14" x14ac:dyDescent="0.25">
      <c r="A707">
        <v>371.34353800000002</v>
      </c>
      <c r="B707" s="1">
        <f>DATE(2011,5,7) + TIME(8,14,41)</f>
        <v>40670.343530092592</v>
      </c>
      <c r="C707">
        <v>80</v>
      </c>
      <c r="D707">
        <v>79.926513671999999</v>
      </c>
      <c r="E707">
        <v>50</v>
      </c>
      <c r="F707">
        <v>49.088867188000002</v>
      </c>
      <c r="G707">
        <v>1394.6402588000001</v>
      </c>
      <c r="H707">
        <v>1379.6829834</v>
      </c>
      <c r="I707">
        <v>1285.5079346</v>
      </c>
      <c r="J707">
        <v>1266.5241699000001</v>
      </c>
      <c r="K707">
        <v>2400</v>
      </c>
      <c r="L707">
        <v>0</v>
      </c>
      <c r="M707">
        <v>0</v>
      </c>
      <c r="N707">
        <v>2400</v>
      </c>
    </row>
    <row r="708" spans="1:14" x14ac:dyDescent="0.25">
      <c r="A708">
        <v>371.55560300000002</v>
      </c>
      <c r="B708" s="1">
        <f>DATE(2011,5,7) + TIME(13,20,4)</f>
        <v>40670.555601851855</v>
      </c>
      <c r="C708">
        <v>80</v>
      </c>
      <c r="D708">
        <v>79.928359985</v>
      </c>
      <c r="E708">
        <v>50</v>
      </c>
      <c r="F708">
        <v>49.064247131000002</v>
      </c>
      <c r="G708">
        <v>1394.5488281</v>
      </c>
      <c r="H708">
        <v>1379.6027832</v>
      </c>
      <c r="I708">
        <v>1285.5008545000001</v>
      </c>
      <c r="J708">
        <v>1266.5152588000001</v>
      </c>
      <c r="K708">
        <v>2400</v>
      </c>
      <c r="L708">
        <v>0</v>
      </c>
      <c r="M708">
        <v>0</v>
      </c>
      <c r="N708">
        <v>2400</v>
      </c>
    </row>
    <row r="709" spans="1:14" x14ac:dyDescent="0.25">
      <c r="A709">
        <v>371.77018500000003</v>
      </c>
      <c r="B709" s="1">
        <f>DATE(2011,5,7) + TIME(18,29,3)</f>
        <v>40670.770173611112</v>
      </c>
      <c r="C709">
        <v>80</v>
      </c>
      <c r="D709">
        <v>79.929847717000001</v>
      </c>
      <c r="E709">
        <v>50</v>
      </c>
      <c r="F709">
        <v>49.039409636999999</v>
      </c>
      <c r="G709">
        <v>1394.4587402</v>
      </c>
      <c r="H709">
        <v>1379.5236815999999</v>
      </c>
      <c r="I709">
        <v>1285.4935303</v>
      </c>
      <c r="J709">
        <v>1266.5062256000001</v>
      </c>
      <c r="K709">
        <v>2400</v>
      </c>
      <c r="L709">
        <v>0</v>
      </c>
      <c r="M709">
        <v>0</v>
      </c>
      <c r="N709">
        <v>2400</v>
      </c>
    </row>
    <row r="710" spans="1:14" x14ac:dyDescent="0.25">
      <c r="A710">
        <v>371.98750699999999</v>
      </c>
      <c r="B710" s="1">
        <f>DATE(2011,5,7) + TIME(23,42,0)</f>
        <v>40670.987500000003</v>
      </c>
      <c r="C710">
        <v>80</v>
      </c>
      <c r="D710">
        <v>79.931053161999998</v>
      </c>
      <c r="E710">
        <v>50</v>
      </c>
      <c r="F710">
        <v>49.014343261999997</v>
      </c>
      <c r="G710">
        <v>1394.3698730000001</v>
      </c>
      <c r="H710">
        <v>1379.4459228999999</v>
      </c>
      <c r="I710">
        <v>1285.4862060999999</v>
      </c>
      <c r="J710">
        <v>1266.4970702999999</v>
      </c>
      <c r="K710">
        <v>2400</v>
      </c>
      <c r="L710">
        <v>0</v>
      </c>
      <c r="M710">
        <v>0</v>
      </c>
      <c r="N710">
        <v>2400</v>
      </c>
    </row>
    <row r="711" spans="1:14" x14ac:dyDescent="0.25">
      <c r="A711">
        <v>372.20809400000002</v>
      </c>
      <c r="B711" s="1">
        <f>DATE(2011,5,8) + TIME(4,59,39)</f>
        <v>40671.208090277774</v>
      </c>
      <c r="C711">
        <v>80</v>
      </c>
      <c r="D711">
        <v>79.932037354000002</v>
      </c>
      <c r="E711">
        <v>50</v>
      </c>
      <c r="F711">
        <v>48.989002227999997</v>
      </c>
      <c r="G711">
        <v>1394.2823486</v>
      </c>
      <c r="H711">
        <v>1379.3692627</v>
      </c>
      <c r="I711">
        <v>1285.4787598</v>
      </c>
      <c r="J711">
        <v>1266.487793</v>
      </c>
      <c r="K711">
        <v>2400</v>
      </c>
      <c r="L711">
        <v>0</v>
      </c>
      <c r="M711">
        <v>0</v>
      </c>
      <c r="N711">
        <v>2400</v>
      </c>
    </row>
    <row r="712" spans="1:14" x14ac:dyDescent="0.25">
      <c r="A712">
        <v>372.43233099999998</v>
      </c>
      <c r="B712" s="1">
        <f>DATE(2011,5,8) + TIME(10,22,33)</f>
        <v>40671.432326388887</v>
      </c>
      <c r="C712">
        <v>80</v>
      </c>
      <c r="D712">
        <v>79.932838439999998</v>
      </c>
      <c r="E712">
        <v>50</v>
      </c>
      <c r="F712">
        <v>48.963359832999998</v>
      </c>
      <c r="G712">
        <v>1394.1956786999999</v>
      </c>
      <c r="H712">
        <v>1379.293457</v>
      </c>
      <c r="I712">
        <v>1285.4711914</v>
      </c>
      <c r="J712">
        <v>1266.4783935999999</v>
      </c>
      <c r="K712">
        <v>2400</v>
      </c>
      <c r="L712">
        <v>0</v>
      </c>
      <c r="M712">
        <v>0</v>
      </c>
      <c r="N712">
        <v>2400</v>
      </c>
    </row>
    <row r="713" spans="1:14" x14ac:dyDescent="0.25">
      <c r="A713">
        <v>372.660708</v>
      </c>
      <c r="B713" s="1">
        <f>DATE(2011,5,8) + TIME(15,51,25)</f>
        <v>40671.66070601852</v>
      </c>
      <c r="C713">
        <v>80</v>
      </c>
      <c r="D713">
        <v>79.933502196999996</v>
      </c>
      <c r="E713">
        <v>50</v>
      </c>
      <c r="F713">
        <v>48.937366486000002</v>
      </c>
      <c r="G713">
        <v>1394.1098632999999</v>
      </c>
      <c r="H713">
        <v>1379.2183838000001</v>
      </c>
      <c r="I713">
        <v>1285.463501</v>
      </c>
      <c r="J713">
        <v>1266.46875</v>
      </c>
      <c r="K713">
        <v>2400</v>
      </c>
      <c r="L713">
        <v>0</v>
      </c>
      <c r="M713">
        <v>0</v>
      </c>
      <c r="N713">
        <v>2400</v>
      </c>
    </row>
    <row r="714" spans="1:14" x14ac:dyDescent="0.25">
      <c r="A714">
        <v>372.89373999999998</v>
      </c>
      <c r="B714" s="1">
        <f>DATE(2011,5,8) + TIME(21,26,59)</f>
        <v>40671.893738425926</v>
      </c>
      <c r="C714">
        <v>80</v>
      </c>
      <c r="D714">
        <v>79.934043884000005</v>
      </c>
      <c r="E714">
        <v>50</v>
      </c>
      <c r="F714">
        <v>48.910984038999999</v>
      </c>
      <c r="G714">
        <v>1394.0246582</v>
      </c>
      <c r="H714">
        <v>1379.1439209</v>
      </c>
      <c r="I714">
        <v>1285.4555664</v>
      </c>
      <c r="J714">
        <v>1266.4589844</v>
      </c>
      <c r="K714">
        <v>2400</v>
      </c>
      <c r="L714">
        <v>0</v>
      </c>
      <c r="M714">
        <v>0</v>
      </c>
      <c r="N714">
        <v>2400</v>
      </c>
    </row>
    <row r="715" spans="1:14" x14ac:dyDescent="0.25">
      <c r="A715">
        <v>373.131981</v>
      </c>
      <c r="B715" s="1">
        <f>DATE(2011,5,9) + TIME(3,10,3)</f>
        <v>40672.131979166668</v>
      </c>
      <c r="C715">
        <v>80</v>
      </c>
      <c r="D715">
        <v>79.934501647999994</v>
      </c>
      <c r="E715">
        <v>50</v>
      </c>
      <c r="F715">
        <v>48.884155272999998</v>
      </c>
      <c r="G715">
        <v>1393.9398193</v>
      </c>
      <c r="H715">
        <v>1379.0699463000001</v>
      </c>
      <c r="I715">
        <v>1285.4475098</v>
      </c>
      <c r="J715">
        <v>1266.4489745999999</v>
      </c>
      <c r="K715">
        <v>2400</v>
      </c>
      <c r="L715">
        <v>0</v>
      </c>
      <c r="M715">
        <v>0</v>
      </c>
      <c r="N715">
        <v>2400</v>
      </c>
    </row>
    <row r="716" spans="1:14" x14ac:dyDescent="0.25">
      <c r="A716">
        <v>373.37602500000003</v>
      </c>
      <c r="B716" s="1">
        <f>DATE(2011,5,9) + TIME(9,1,28)</f>
        <v>40672.376018518517</v>
      </c>
      <c r="C716">
        <v>80</v>
      </c>
      <c r="D716">
        <v>79.934875488000003</v>
      </c>
      <c r="E716">
        <v>50</v>
      </c>
      <c r="F716">
        <v>48.856830596999998</v>
      </c>
      <c r="G716">
        <v>1393.8552245999999</v>
      </c>
      <c r="H716">
        <v>1378.9960937999999</v>
      </c>
      <c r="I716">
        <v>1285.4393310999999</v>
      </c>
      <c r="J716">
        <v>1266.4387207</v>
      </c>
      <c r="K716">
        <v>2400</v>
      </c>
      <c r="L716">
        <v>0</v>
      </c>
      <c r="M716">
        <v>0</v>
      </c>
      <c r="N716">
        <v>2400</v>
      </c>
    </row>
    <row r="717" spans="1:14" x14ac:dyDescent="0.25">
      <c r="A717">
        <v>373.62652600000001</v>
      </c>
      <c r="B717" s="1">
        <f>DATE(2011,5,9) + TIME(15,2,11)</f>
        <v>40672.626516203702</v>
      </c>
      <c r="C717">
        <v>80</v>
      </c>
      <c r="D717">
        <v>79.935195922999995</v>
      </c>
      <c r="E717">
        <v>50</v>
      </c>
      <c r="F717">
        <v>48.828945160000004</v>
      </c>
      <c r="G717">
        <v>1393.7705077999999</v>
      </c>
      <c r="H717">
        <v>1378.9223632999999</v>
      </c>
      <c r="I717">
        <v>1285.4309082</v>
      </c>
      <c r="J717">
        <v>1266.4282227000001</v>
      </c>
      <c r="K717">
        <v>2400</v>
      </c>
      <c r="L717">
        <v>0</v>
      </c>
      <c r="M717">
        <v>0</v>
      </c>
      <c r="N717">
        <v>2400</v>
      </c>
    </row>
    <row r="718" spans="1:14" x14ac:dyDescent="0.25">
      <c r="A718">
        <v>373.88419599999997</v>
      </c>
      <c r="B718" s="1">
        <f>DATE(2011,5,9) + TIME(21,13,14)</f>
        <v>40672.884189814817</v>
      </c>
      <c r="C718">
        <v>80</v>
      </c>
      <c r="D718">
        <v>79.935455321999996</v>
      </c>
      <c r="E718">
        <v>50</v>
      </c>
      <c r="F718">
        <v>48.800437926999997</v>
      </c>
      <c r="G718">
        <v>1393.6857910000001</v>
      </c>
      <c r="H718">
        <v>1378.8485106999999</v>
      </c>
      <c r="I718">
        <v>1285.4222411999999</v>
      </c>
      <c r="J718">
        <v>1266.4174805</v>
      </c>
      <c r="K718">
        <v>2400</v>
      </c>
      <c r="L718">
        <v>0</v>
      </c>
      <c r="M718">
        <v>0</v>
      </c>
      <c r="N718">
        <v>2400</v>
      </c>
    </row>
    <row r="719" spans="1:14" x14ac:dyDescent="0.25">
      <c r="A719">
        <v>374.149834</v>
      </c>
      <c r="B719" s="1">
        <f>DATE(2011,5,10) + TIME(3,35,45)</f>
        <v>40673.149826388886</v>
      </c>
      <c r="C719">
        <v>80</v>
      </c>
      <c r="D719">
        <v>79.935684203999998</v>
      </c>
      <c r="E719">
        <v>50</v>
      </c>
      <c r="F719">
        <v>48.771232605000002</v>
      </c>
      <c r="G719">
        <v>1393.6005858999999</v>
      </c>
      <c r="H719">
        <v>1378.7745361</v>
      </c>
      <c r="I719">
        <v>1285.4133300999999</v>
      </c>
      <c r="J719">
        <v>1266.4064940999999</v>
      </c>
      <c r="K719">
        <v>2400</v>
      </c>
      <c r="L719">
        <v>0</v>
      </c>
      <c r="M719">
        <v>0</v>
      </c>
      <c r="N719">
        <v>2400</v>
      </c>
    </row>
    <row r="720" spans="1:14" x14ac:dyDescent="0.25">
      <c r="A720">
        <v>374.424329</v>
      </c>
      <c r="B720" s="1">
        <f>DATE(2011,5,10) + TIME(10,11,2)</f>
        <v>40673.424328703702</v>
      </c>
      <c r="C720">
        <v>80</v>
      </c>
      <c r="D720">
        <v>79.935867310000006</v>
      </c>
      <c r="E720">
        <v>50</v>
      </c>
      <c r="F720">
        <v>48.741252899000003</v>
      </c>
      <c r="G720">
        <v>1393.5150146000001</v>
      </c>
      <c r="H720">
        <v>1378.7000731999999</v>
      </c>
      <c r="I720">
        <v>1285.4040527</v>
      </c>
      <c r="J720">
        <v>1266.3950195</v>
      </c>
      <c r="K720">
        <v>2400</v>
      </c>
      <c r="L720">
        <v>0</v>
      </c>
      <c r="M720">
        <v>0</v>
      </c>
      <c r="N720">
        <v>2400</v>
      </c>
    </row>
    <row r="721" spans="1:14" x14ac:dyDescent="0.25">
      <c r="A721">
        <v>374.70863600000001</v>
      </c>
      <c r="B721" s="1">
        <f>DATE(2011,5,10) + TIME(17,0,26)</f>
        <v>40673.708634259259</v>
      </c>
      <c r="C721">
        <v>80</v>
      </c>
      <c r="D721">
        <v>79.936027526999993</v>
      </c>
      <c r="E721">
        <v>50</v>
      </c>
      <c r="F721">
        <v>48.710411071999999</v>
      </c>
      <c r="G721">
        <v>1393.4285889</v>
      </c>
      <c r="H721">
        <v>1378.625</v>
      </c>
      <c r="I721">
        <v>1285.3945312000001</v>
      </c>
      <c r="J721">
        <v>1266.3831786999999</v>
      </c>
      <c r="K721">
        <v>2400</v>
      </c>
      <c r="L721">
        <v>0</v>
      </c>
      <c r="M721">
        <v>0</v>
      </c>
      <c r="N721">
        <v>2400</v>
      </c>
    </row>
    <row r="722" spans="1:14" x14ac:dyDescent="0.25">
      <c r="A722">
        <v>375.001057</v>
      </c>
      <c r="B722" s="1">
        <f>DATE(2011,5,11) + TIME(0,1,31)</f>
        <v>40674.00105324074</v>
      </c>
      <c r="C722">
        <v>80</v>
      </c>
      <c r="D722">
        <v>79.936164856000005</v>
      </c>
      <c r="E722">
        <v>50</v>
      </c>
      <c r="F722">
        <v>48.678833007999998</v>
      </c>
      <c r="G722">
        <v>1393.3411865</v>
      </c>
      <c r="H722">
        <v>1378.5491943</v>
      </c>
      <c r="I722">
        <v>1285.3846435999999</v>
      </c>
      <c r="J722">
        <v>1266.3709716999999</v>
      </c>
      <c r="K722">
        <v>2400</v>
      </c>
      <c r="L722">
        <v>0</v>
      </c>
      <c r="M722">
        <v>0</v>
      </c>
      <c r="N722">
        <v>2400</v>
      </c>
    </row>
    <row r="723" spans="1:14" x14ac:dyDescent="0.25">
      <c r="A723">
        <v>375.30253599999998</v>
      </c>
      <c r="B723" s="1">
        <f>DATE(2011,5,11) + TIME(7,15,39)</f>
        <v>40674.302534722221</v>
      </c>
      <c r="C723">
        <v>80</v>
      </c>
      <c r="D723">
        <v>79.936271667</v>
      </c>
      <c r="E723">
        <v>50</v>
      </c>
      <c r="F723">
        <v>48.646450043000002</v>
      </c>
      <c r="G723">
        <v>1393.253418</v>
      </c>
      <c r="H723">
        <v>1378.4730225000001</v>
      </c>
      <c r="I723">
        <v>1285.3743896000001</v>
      </c>
      <c r="J723">
        <v>1266.3582764</v>
      </c>
      <c r="K723">
        <v>2400</v>
      </c>
      <c r="L723">
        <v>0</v>
      </c>
      <c r="M723">
        <v>0</v>
      </c>
      <c r="N723">
        <v>2400</v>
      </c>
    </row>
    <row r="724" spans="1:14" x14ac:dyDescent="0.25">
      <c r="A724">
        <v>375.61405400000001</v>
      </c>
      <c r="B724" s="1">
        <f>DATE(2011,5,11) + TIME(14,44,14)</f>
        <v>40674.614050925928</v>
      </c>
      <c r="C724">
        <v>80</v>
      </c>
      <c r="D724">
        <v>79.936370850000003</v>
      </c>
      <c r="E724">
        <v>50</v>
      </c>
      <c r="F724">
        <v>48.613178253000001</v>
      </c>
      <c r="G724">
        <v>1393.1651611</v>
      </c>
      <c r="H724">
        <v>1378.3966064000001</v>
      </c>
      <c r="I724">
        <v>1285.3637695</v>
      </c>
      <c r="J724">
        <v>1266.3453368999999</v>
      </c>
      <c r="K724">
        <v>2400</v>
      </c>
      <c r="L724">
        <v>0</v>
      </c>
      <c r="M724">
        <v>0</v>
      </c>
      <c r="N724">
        <v>2400</v>
      </c>
    </row>
    <row r="725" spans="1:14" x14ac:dyDescent="0.25">
      <c r="A725">
        <v>375.93186700000001</v>
      </c>
      <c r="B725" s="1">
        <f>DATE(2011,5,11) + TIME(22,21,53)</f>
        <v>40674.931863425925</v>
      </c>
      <c r="C725">
        <v>80</v>
      </c>
      <c r="D725">
        <v>79.936447143999999</v>
      </c>
      <c r="E725">
        <v>50</v>
      </c>
      <c r="F725">
        <v>48.579311371000003</v>
      </c>
      <c r="G725">
        <v>1393.0760498</v>
      </c>
      <c r="H725">
        <v>1378.3194579999999</v>
      </c>
      <c r="I725">
        <v>1285.3527832</v>
      </c>
      <c r="J725">
        <v>1266.3317870999999</v>
      </c>
      <c r="K725">
        <v>2400</v>
      </c>
      <c r="L725">
        <v>0</v>
      </c>
      <c r="M725">
        <v>0</v>
      </c>
      <c r="N725">
        <v>2400</v>
      </c>
    </row>
    <row r="726" spans="1:14" x14ac:dyDescent="0.25">
      <c r="A726">
        <v>376.25152000000003</v>
      </c>
      <c r="B726" s="1">
        <f>DATE(2011,5,12) + TIME(6,2,11)</f>
        <v>40675.251516203702</v>
      </c>
      <c r="C726">
        <v>80</v>
      </c>
      <c r="D726">
        <v>79.936508179</v>
      </c>
      <c r="E726">
        <v>50</v>
      </c>
      <c r="F726">
        <v>48.545215607000003</v>
      </c>
      <c r="G726">
        <v>1392.9873047000001</v>
      </c>
      <c r="H726">
        <v>1378.2426757999999</v>
      </c>
      <c r="I726">
        <v>1285.3415527</v>
      </c>
      <c r="J726">
        <v>1266.3181152</v>
      </c>
      <c r="K726">
        <v>2400</v>
      </c>
      <c r="L726">
        <v>0</v>
      </c>
      <c r="M726">
        <v>0</v>
      </c>
      <c r="N726">
        <v>2400</v>
      </c>
    </row>
    <row r="727" spans="1:14" x14ac:dyDescent="0.25">
      <c r="A727">
        <v>376.573894</v>
      </c>
      <c r="B727" s="1">
        <f>DATE(2011,5,12) + TIME(13,46,24)</f>
        <v>40675.573888888888</v>
      </c>
      <c r="C727">
        <v>80</v>
      </c>
      <c r="D727">
        <v>79.936553954999994</v>
      </c>
      <c r="E727">
        <v>50</v>
      </c>
      <c r="F727">
        <v>48.510871887</v>
      </c>
      <c r="G727">
        <v>1392.9001464999999</v>
      </c>
      <c r="H727">
        <v>1378.1673584</v>
      </c>
      <c r="I727">
        <v>1285.3302002</v>
      </c>
      <c r="J727">
        <v>1266.3043213000001</v>
      </c>
      <c r="K727">
        <v>2400</v>
      </c>
      <c r="L727">
        <v>0</v>
      </c>
      <c r="M727">
        <v>0</v>
      </c>
      <c r="N727">
        <v>2400</v>
      </c>
    </row>
    <row r="728" spans="1:14" x14ac:dyDescent="0.25">
      <c r="A728">
        <v>376.89963699999998</v>
      </c>
      <c r="B728" s="1">
        <f>DATE(2011,5,12) + TIME(21,35,28)</f>
        <v>40675.899629629632</v>
      </c>
      <c r="C728">
        <v>80</v>
      </c>
      <c r="D728">
        <v>79.936592102000006</v>
      </c>
      <c r="E728">
        <v>50</v>
      </c>
      <c r="F728">
        <v>48.476264954000001</v>
      </c>
      <c r="G728">
        <v>1392.8143310999999</v>
      </c>
      <c r="H728">
        <v>1378.0932617000001</v>
      </c>
      <c r="I728">
        <v>1285.3187256000001</v>
      </c>
      <c r="J728">
        <v>1266.2902832</v>
      </c>
      <c r="K728">
        <v>2400</v>
      </c>
      <c r="L728">
        <v>0</v>
      </c>
      <c r="M728">
        <v>0</v>
      </c>
      <c r="N728">
        <v>2400</v>
      </c>
    </row>
    <row r="729" spans="1:14" x14ac:dyDescent="0.25">
      <c r="A729">
        <v>377.22951699999999</v>
      </c>
      <c r="B729" s="1">
        <f>DATE(2011,5,13) + TIME(5,30,30)</f>
        <v>40676.229513888888</v>
      </c>
      <c r="C729">
        <v>80</v>
      </c>
      <c r="D729">
        <v>79.936622619999994</v>
      </c>
      <c r="E729">
        <v>50</v>
      </c>
      <c r="F729">
        <v>48.441356659</v>
      </c>
      <c r="G729">
        <v>1392.7294922000001</v>
      </c>
      <c r="H729">
        <v>1378.0200195</v>
      </c>
      <c r="I729">
        <v>1285.307251</v>
      </c>
      <c r="J729">
        <v>1266.2761230000001</v>
      </c>
      <c r="K729">
        <v>2400</v>
      </c>
      <c r="L729">
        <v>0</v>
      </c>
      <c r="M729">
        <v>0</v>
      </c>
      <c r="N729">
        <v>2400</v>
      </c>
    </row>
    <row r="730" spans="1:14" x14ac:dyDescent="0.25">
      <c r="A730">
        <v>377.56430899999998</v>
      </c>
      <c r="B730" s="1">
        <f>DATE(2011,5,13) + TIME(13,32,36)</f>
        <v>40676.564305555556</v>
      </c>
      <c r="C730">
        <v>80</v>
      </c>
      <c r="D730">
        <v>79.936637877999999</v>
      </c>
      <c r="E730">
        <v>50</v>
      </c>
      <c r="F730">
        <v>48.406093597000002</v>
      </c>
      <c r="G730">
        <v>1392.6456298999999</v>
      </c>
      <c r="H730">
        <v>1377.9475098</v>
      </c>
      <c r="I730">
        <v>1285.2954102000001</v>
      </c>
      <c r="J730">
        <v>1266.2617187999999</v>
      </c>
      <c r="K730">
        <v>2400</v>
      </c>
      <c r="L730">
        <v>0</v>
      </c>
      <c r="M730">
        <v>0</v>
      </c>
      <c r="N730">
        <v>2400</v>
      </c>
    </row>
    <row r="731" spans="1:14" x14ac:dyDescent="0.25">
      <c r="A731">
        <v>377.904831</v>
      </c>
      <c r="B731" s="1">
        <f>DATE(2011,5,13) + TIME(21,42,57)</f>
        <v>40676.904826388891</v>
      </c>
      <c r="C731">
        <v>80</v>
      </c>
      <c r="D731">
        <v>79.936653136999993</v>
      </c>
      <c r="E731">
        <v>50</v>
      </c>
      <c r="F731">
        <v>48.370422363000003</v>
      </c>
      <c r="G731">
        <v>1392.5622559000001</v>
      </c>
      <c r="H731">
        <v>1377.8756103999999</v>
      </c>
      <c r="I731">
        <v>1285.2835693</v>
      </c>
      <c r="J731">
        <v>1266.2470702999999</v>
      </c>
      <c r="K731">
        <v>2400</v>
      </c>
      <c r="L731">
        <v>0</v>
      </c>
      <c r="M731">
        <v>0</v>
      </c>
      <c r="N731">
        <v>2400</v>
      </c>
    </row>
    <row r="732" spans="1:14" x14ac:dyDescent="0.25">
      <c r="A732">
        <v>378.25019500000002</v>
      </c>
      <c r="B732" s="1">
        <f>DATE(2011,5,14) + TIME(6,0,16)</f>
        <v>40677.250185185185</v>
      </c>
      <c r="C732">
        <v>80</v>
      </c>
      <c r="D732">
        <v>79.936668396000002</v>
      </c>
      <c r="E732">
        <v>50</v>
      </c>
      <c r="F732">
        <v>48.334403991999999</v>
      </c>
      <c r="G732">
        <v>1392.4792480000001</v>
      </c>
      <c r="H732">
        <v>1377.8041992000001</v>
      </c>
      <c r="I732">
        <v>1285.2713623</v>
      </c>
      <c r="J732">
        <v>1266.2321777</v>
      </c>
      <c r="K732">
        <v>2400</v>
      </c>
      <c r="L732">
        <v>0</v>
      </c>
      <c r="M732">
        <v>0</v>
      </c>
      <c r="N732">
        <v>2400</v>
      </c>
    </row>
    <row r="733" spans="1:14" x14ac:dyDescent="0.25">
      <c r="A733">
        <v>378.60064299999999</v>
      </c>
      <c r="B733" s="1">
        <f>DATE(2011,5,14) + TIME(14,24,55)</f>
        <v>40677.600636574076</v>
      </c>
      <c r="C733">
        <v>80</v>
      </c>
      <c r="D733">
        <v>79.936668396000002</v>
      </c>
      <c r="E733">
        <v>50</v>
      </c>
      <c r="F733">
        <v>48.298023223999998</v>
      </c>
      <c r="G733">
        <v>1392.3969727000001</v>
      </c>
      <c r="H733">
        <v>1377.7332764</v>
      </c>
      <c r="I733">
        <v>1285.2590332</v>
      </c>
      <c r="J733">
        <v>1266.2170410000001</v>
      </c>
      <c r="K733">
        <v>2400</v>
      </c>
      <c r="L733">
        <v>0</v>
      </c>
      <c r="M733">
        <v>0</v>
      </c>
      <c r="N733">
        <v>2400</v>
      </c>
    </row>
    <row r="734" spans="1:14" x14ac:dyDescent="0.25">
      <c r="A734">
        <v>378.956973</v>
      </c>
      <c r="B734" s="1">
        <f>DATE(2011,5,14) + TIME(22,58,2)</f>
        <v>40677.956967592596</v>
      </c>
      <c r="C734">
        <v>80</v>
      </c>
      <c r="D734">
        <v>79.936676024999997</v>
      </c>
      <c r="E734">
        <v>50</v>
      </c>
      <c r="F734">
        <v>48.261230468999997</v>
      </c>
      <c r="G734">
        <v>1392.3151855000001</v>
      </c>
      <c r="H734">
        <v>1377.6628418</v>
      </c>
      <c r="I734">
        <v>1285.2463379000001</v>
      </c>
      <c r="J734">
        <v>1266.2016602000001</v>
      </c>
      <c r="K734">
        <v>2400</v>
      </c>
      <c r="L734">
        <v>0</v>
      </c>
      <c r="M734">
        <v>0</v>
      </c>
      <c r="N734">
        <v>2400</v>
      </c>
    </row>
    <row r="735" spans="1:14" x14ac:dyDescent="0.25">
      <c r="A735">
        <v>379.32002899999998</v>
      </c>
      <c r="B735" s="1">
        <f>DATE(2011,5,15) + TIME(7,40,50)</f>
        <v>40678.320023148146</v>
      </c>
      <c r="C735">
        <v>80</v>
      </c>
      <c r="D735">
        <v>79.936676024999997</v>
      </c>
      <c r="E735">
        <v>50</v>
      </c>
      <c r="F735">
        <v>48.223957061999997</v>
      </c>
      <c r="G735">
        <v>1392.2337646000001</v>
      </c>
      <c r="H735">
        <v>1377.5927733999999</v>
      </c>
      <c r="I735">
        <v>1285.2335204999999</v>
      </c>
      <c r="J735">
        <v>1266.1859131000001</v>
      </c>
      <c r="K735">
        <v>2400</v>
      </c>
      <c r="L735">
        <v>0</v>
      </c>
      <c r="M735">
        <v>0</v>
      </c>
      <c r="N735">
        <v>2400</v>
      </c>
    </row>
    <row r="736" spans="1:14" x14ac:dyDescent="0.25">
      <c r="A736">
        <v>379.69071100000002</v>
      </c>
      <c r="B736" s="1">
        <f>DATE(2011,5,15) + TIME(16,34,37)</f>
        <v>40678.690706018519</v>
      </c>
      <c r="C736">
        <v>80</v>
      </c>
      <c r="D736">
        <v>79.936668396000002</v>
      </c>
      <c r="E736">
        <v>50</v>
      </c>
      <c r="F736">
        <v>48.186134338000002</v>
      </c>
      <c r="G736">
        <v>1392.1524658000001</v>
      </c>
      <c r="H736">
        <v>1377.5228271000001</v>
      </c>
      <c r="I736">
        <v>1285.2204589999999</v>
      </c>
      <c r="J736">
        <v>1266.1699219</v>
      </c>
      <c r="K736">
        <v>2400</v>
      </c>
      <c r="L736">
        <v>0</v>
      </c>
      <c r="M736">
        <v>0</v>
      </c>
      <c r="N736">
        <v>2400</v>
      </c>
    </row>
    <row r="737" spans="1:14" x14ac:dyDescent="0.25">
      <c r="A737">
        <v>380.06999200000001</v>
      </c>
      <c r="B737" s="1">
        <f>DATE(2011,5,16) + TIME(1,40,47)</f>
        <v>40679.069988425923</v>
      </c>
      <c r="C737">
        <v>80</v>
      </c>
      <c r="D737">
        <v>79.936660767000006</v>
      </c>
      <c r="E737">
        <v>50</v>
      </c>
      <c r="F737">
        <v>48.147686004999997</v>
      </c>
      <c r="G737">
        <v>1392.0711670000001</v>
      </c>
      <c r="H737">
        <v>1377.4530029</v>
      </c>
      <c r="I737">
        <v>1285.2070312000001</v>
      </c>
      <c r="J737">
        <v>1266.1535644999999</v>
      </c>
      <c r="K737">
        <v>2400</v>
      </c>
      <c r="L737">
        <v>0</v>
      </c>
      <c r="M737">
        <v>0</v>
      </c>
      <c r="N737">
        <v>2400</v>
      </c>
    </row>
    <row r="738" spans="1:14" x14ac:dyDescent="0.25">
      <c r="A738">
        <v>380.458932</v>
      </c>
      <c r="B738" s="1">
        <f>DATE(2011,5,16) + TIME(11,0,51)</f>
        <v>40679.458923611113</v>
      </c>
      <c r="C738">
        <v>80</v>
      </c>
      <c r="D738">
        <v>79.936653136999993</v>
      </c>
      <c r="E738">
        <v>50</v>
      </c>
      <c r="F738">
        <v>48.108524322999997</v>
      </c>
      <c r="G738">
        <v>1391.9897461</v>
      </c>
      <c r="H738">
        <v>1377.3829346</v>
      </c>
      <c r="I738">
        <v>1285.1933594</v>
      </c>
      <c r="J738">
        <v>1266.1368408000001</v>
      </c>
      <c r="K738">
        <v>2400</v>
      </c>
      <c r="L738">
        <v>0</v>
      </c>
      <c r="M738">
        <v>0</v>
      </c>
      <c r="N738">
        <v>2400</v>
      </c>
    </row>
    <row r="739" spans="1:14" x14ac:dyDescent="0.25">
      <c r="A739">
        <v>380.85870399999999</v>
      </c>
      <c r="B739" s="1">
        <f>DATE(2011,5,16) + TIME(20,36,32)</f>
        <v>40679.858703703707</v>
      </c>
      <c r="C739">
        <v>80</v>
      </c>
      <c r="D739">
        <v>79.936645507999998</v>
      </c>
      <c r="E739">
        <v>50</v>
      </c>
      <c r="F739">
        <v>48.068553925000003</v>
      </c>
      <c r="G739">
        <v>1391.9079589999999</v>
      </c>
      <c r="H739">
        <v>1377.3127440999999</v>
      </c>
      <c r="I739">
        <v>1285.1791992000001</v>
      </c>
      <c r="J739">
        <v>1266.1195068</v>
      </c>
      <c r="K739">
        <v>2400</v>
      </c>
      <c r="L739">
        <v>0</v>
      </c>
      <c r="M739">
        <v>0</v>
      </c>
      <c r="N739">
        <v>2400</v>
      </c>
    </row>
    <row r="740" spans="1:14" x14ac:dyDescent="0.25">
      <c r="A740">
        <v>381.27061200000003</v>
      </c>
      <c r="B740" s="1">
        <f>DATE(2011,5,17) + TIME(6,29,40)</f>
        <v>40680.270601851851</v>
      </c>
      <c r="C740">
        <v>80</v>
      </c>
      <c r="D740">
        <v>79.936637877999999</v>
      </c>
      <c r="E740">
        <v>50</v>
      </c>
      <c r="F740">
        <v>48.027664184999999</v>
      </c>
      <c r="G740">
        <v>1391.8255615</v>
      </c>
      <c r="H740">
        <v>1377.2419434000001</v>
      </c>
      <c r="I740">
        <v>1285.1645507999999</v>
      </c>
      <c r="J740">
        <v>1266.1016846</v>
      </c>
      <c r="K740">
        <v>2400</v>
      </c>
      <c r="L740">
        <v>0</v>
      </c>
      <c r="M740">
        <v>0</v>
      </c>
      <c r="N740">
        <v>2400</v>
      </c>
    </row>
    <row r="741" spans="1:14" x14ac:dyDescent="0.25">
      <c r="A741">
        <v>381.69624700000003</v>
      </c>
      <c r="B741" s="1">
        <f>DATE(2011,5,17) + TIME(16,42,35)</f>
        <v>40680.696238425924</v>
      </c>
      <c r="C741">
        <v>80</v>
      </c>
      <c r="D741">
        <v>79.936622619999994</v>
      </c>
      <c r="E741">
        <v>50</v>
      </c>
      <c r="F741">
        <v>47.985733031999999</v>
      </c>
      <c r="G741">
        <v>1391.7424315999999</v>
      </c>
      <c r="H741">
        <v>1377.1705322</v>
      </c>
      <c r="I741">
        <v>1285.1495361</v>
      </c>
      <c r="J741">
        <v>1266.083374</v>
      </c>
      <c r="K741">
        <v>2400</v>
      </c>
      <c r="L741">
        <v>0</v>
      </c>
      <c r="M741">
        <v>0</v>
      </c>
      <c r="N741">
        <v>2400</v>
      </c>
    </row>
    <row r="742" spans="1:14" x14ac:dyDescent="0.25">
      <c r="A742">
        <v>382.12847299999999</v>
      </c>
      <c r="B742" s="1">
        <f>DATE(2011,5,18) + TIME(3,5,0)</f>
        <v>40681.128472222219</v>
      </c>
      <c r="C742">
        <v>80</v>
      </c>
      <c r="D742">
        <v>79.936607361</v>
      </c>
      <c r="E742">
        <v>50</v>
      </c>
      <c r="F742">
        <v>47.943202972000002</v>
      </c>
      <c r="G742">
        <v>1391.6582031</v>
      </c>
      <c r="H742">
        <v>1377.0982666</v>
      </c>
      <c r="I742">
        <v>1285.1337891000001</v>
      </c>
      <c r="J742">
        <v>1266.0643310999999</v>
      </c>
      <c r="K742">
        <v>2400</v>
      </c>
      <c r="L742">
        <v>0</v>
      </c>
      <c r="M742">
        <v>0</v>
      </c>
      <c r="N742">
        <v>2400</v>
      </c>
    </row>
    <row r="743" spans="1:14" x14ac:dyDescent="0.25">
      <c r="A743">
        <v>382.56208900000001</v>
      </c>
      <c r="B743" s="1">
        <f>DATE(2011,5,18) + TIME(13,29,24)</f>
        <v>40681.562083333331</v>
      </c>
      <c r="C743">
        <v>80</v>
      </c>
      <c r="D743">
        <v>79.936599731000001</v>
      </c>
      <c r="E743">
        <v>50</v>
      </c>
      <c r="F743">
        <v>47.900466919000003</v>
      </c>
      <c r="G743">
        <v>1391.5744629000001</v>
      </c>
      <c r="H743">
        <v>1377.0263672000001</v>
      </c>
      <c r="I743">
        <v>1285.1177978999999</v>
      </c>
      <c r="J743">
        <v>1266.0450439000001</v>
      </c>
      <c r="K743">
        <v>2400</v>
      </c>
      <c r="L743">
        <v>0</v>
      </c>
      <c r="M743">
        <v>0</v>
      </c>
      <c r="N743">
        <v>2400</v>
      </c>
    </row>
    <row r="744" spans="1:14" x14ac:dyDescent="0.25">
      <c r="A744">
        <v>382.99823300000003</v>
      </c>
      <c r="B744" s="1">
        <f>DATE(2011,5,18) + TIME(23,57,27)</f>
        <v>40681.998229166667</v>
      </c>
      <c r="C744">
        <v>80</v>
      </c>
      <c r="D744">
        <v>79.936584472999996</v>
      </c>
      <c r="E744">
        <v>50</v>
      </c>
      <c r="F744">
        <v>47.857547760000003</v>
      </c>
      <c r="G744">
        <v>1391.4920654</v>
      </c>
      <c r="H744">
        <v>1376.9558105000001</v>
      </c>
      <c r="I744">
        <v>1285.1016846</v>
      </c>
      <c r="J744">
        <v>1266.0255127</v>
      </c>
      <c r="K744">
        <v>2400</v>
      </c>
      <c r="L744">
        <v>0</v>
      </c>
      <c r="M744">
        <v>0</v>
      </c>
      <c r="N744">
        <v>2400</v>
      </c>
    </row>
    <row r="745" spans="1:14" x14ac:dyDescent="0.25">
      <c r="A745">
        <v>383.43791399999998</v>
      </c>
      <c r="B745" s="1">
        <f>DATE(2011,5,19) + TIME(10,30,35)</f>
        <v>40682.437905092593</v>
      </c>
      <c r="C745">
        <v>80</v>
      </c>
      <c r="D745">
        <v>79.936569214000002</v>
      </c>
      <c r="E745">
        <v>50</v>
      </c>
      <c r="F745">
        <v>47.814434052000003</v>
      </c>
      <c r="G745">
        <v>1391.4108887</v>
      </c>
      <c r="H745">
        <v>1376.8862305</v>
      </c>
      <c r="I745">
        <v>1285.0854492000001</v>
      </c>
      <c r="J745">
        <v>1266.0057373</v>
      </c>
      <c r="K745">
        <v>2400</v>
      </c>
      <c r="L745">
        <v>0</v>
      </c>
      <c r="M745">
        <v>0</v>
      </c>
      <c r="N745">
        <v>2400</v>
      </c>
    </row>
    <row r="746" spans="1:14" x14ac:dyDescent="0.25">
      <c r="A746">
        <v>383.882047</v>
      </c>
      <c r="B746" s="1">
        <f>DATE(2011,5,19) + TIME(21,10,8)</f>
        <v>40682.882037037038</v>
      </c>
      <c r="C746">
        <v>80</v>
      </c>
      <c r="D746">
        <v>79.936553954999994</v>
      </c>
      <c r="E746">
        <v>50</v>
      </c>
      <c r="F746">
        <v>47.771083832000002</v>
      </c>
      <c r="G746">
        <v>1391.3306885</v>
      </c>
      <c r="H746">
        <v>1376.8173827999999</v>
      </c>
      <c r="I746">
        <v>1285.0690918</v>
      </c>
      <c r="J746">
        <v>1265.9858397999999</v>
      </c>
      <c r="K746">
        <v>2400</v>
      </c>
      <c r="L746">
        <v>0</v>
      </c>
      <c r="M746">
        <v>0</v>
      </c>
      <c r="N746">
        <v>2400</v>
      </c>
    </row>
    <row r="747" spans="1:14" x14ac:dyDescent="0.25">
      <c r="A747">
        <v>384.33165200000002</v>
      </c>
      <c r="B747" s="1">
        <f>DATE(2011,5,20) + TIME(7,57,34)</f>
        <v>40683.331643518519</v>
      </c>
      <c r="C747">
        <v>80</v>
      </c>
      <c r="D747">
        <v>79.936538696</v>
      </c>
      <c r="E747">
        <v>50</v>
      </c>
      <c r="F747">
        <v>47.727447509999998</v>
      </c>
      <c r="G747">
        <v>1391.2510986</v>
      </c>
      <c r="H747">
        <v>1376.7492675999999</v>
      </c>
      <c r="I747">
        <v>1285.0524902</v>
      </c>
      <c r="J747">
        <v>1265.9656981999999</v>
      </c>
      <c r="K747">
        <v>2400</v>
      </c>
      <c r="L747">
        <v>0</v>
      </c>
      <c r="M747">
        <v>0</v>
      </c>
      <c r="N747">
        <v>2400</v>
      </c>
    </row>
    <row r="748" spans="1:14" x14ac:dyDescent="0.25">
      <c r="A748">
        <v>384.78778</v>
      </c>
      <c r="B748" s="1">
        <f>DATE(2011,5,20) + TIME(18,54,24)</f>
        <v>40683.787777777776</v>
      </c>
      <c r="C748">
        <v>80</v>
      </c>
      <c r="D748">
        <v>79.936523437999995</v>
      </c>
      <c r="E748">
        <v>50</v>
      </c>
      <c r="F748">
        <v>47.683448792</v>
      </c>
      <c r="G748">
        <v>1391.1721190999999</v>
      </c>
      <c r="H748">
        <v>1376.6815185999999</v>
      </c>
      <c r="I748">
        <v>1285.0355225000001</v>
      </c>
      <c r="J748">
        <v>1265.9451904</v>
      </c>
      <c r="K748">
        <v>2400</v>
      </c>
      <c r="L748">
        <v>0</v>
      </c>
      <c r="M748">
        <v>0</v>
      </c>
      <c r="N748">
        <v>2400</v>
      </c>
    </row>
    <row r="749" spans="1:14" x14ac:dyDescent="0.25">
      <c r="A749">
        <v>385.25152700000001</v>
      </c>
      <c r="B749" s="1">
        <f>DATE(2011,5,21) + TIME(6,2,11)</f>
        <v>40684.251516203702</v>
      </c>
      <c r="C749">
        <v>80</v>
      </c>
      <c r="D749">
        <v>79.936515807999996</v>
      </c>
      <c r="E749">
        <v>50</v>
      </c>
      <c r="F749">
        <v>47.639011383000003</v>
      </c>
      <c r="G749">
        <v>1391.0935059000001</v>
      </c>
      <c r="H749">
        <v>1376.6141356999999</v>
      </c>
      <c r="I749">
        <v>1285.0183105000001</v>
      </c>
      <c r="J749">
        <v>1265.9241943</v>
      </c>
      <c r="K749">
        <v>2400</v>
      </c>
      <c r="L749">
        <v>0</v>
      </c>
      <c r="M749">
        <v>0</v>
      </c>
      <c r="N749">
        <v>2400</v>
      </c>
    </row>
    <row r="750" spans="1:14" x14ac:dyDescent="0.25">
      <c r="A750">
        <v>385.72404999999998</v>
      </c>
      <c r="B750" s="1">
        <f>DATE(2011,5,21) + TIME(17,22,37)</f>
        <v>40684.724039351851</v>
      </c>
      <c r="C750">
        <v>80</v>
      </c>
      <c r="D750">
        <v>79.936500549000002</v>
      </c>
      <c r="E750">
        <v>50</v>
      </c>
      <c r="F750">
        <v>47.594043732000003</v>
      </c>
      <c r="G750">
        <v>1391.0150146000001</v>
      </c>
      <c r="H750">
        <v>1376.5469971</v>
      </c>
      <c r="I750">
        <v>1285.0007324000001</v>
      </c>
      <c r="J750">
        <v>1265.902832</v>
      </c>
      <c r="K750">
        <v>2400</v>
      </c>
      <c r="L750">
        <v>0</v>
      </c>
      <c r="M750">
        <v>0</v>
      </c>
      <c r="N750">
        <v>2400</v>
      </c>
    </row>
    <row r="751" spans="1:14" x14ac:dyDescent="0.25">
      <c r="A751">
        <v>386.206591</v>
      </c>
      <c r="B751" s="1">
        <f>DATE(2011,5,22) + TIME(4,57,29)</f>
        <v>40685.206585648149</v>
      </c>
      <c r="C751">
        <v>80</v>
      </c>
      <c r="D751">
        <v>79.936485290999997</v>
      </c>
      <c r="E751">
        <v>50</v>
      </c>
      <c r="F751">
        <v>47.548450469999999</v>
      </c>
      <c r="G751">
        <v>1390.9365233999999</v>
      </c>
      <c r="H751">
        <v>1376.4797363</v>
      </c>
      <c r="I751">
        <v>1284.9827881000001</v>
      </c>
      <c r="J751">
        <v>1265.8811035000001</v>
      </c>
      <c r="K751">
        <v>2400</v>
      </c>
      <c r="L751">
        <v>0</v>
      </c>
      <c r="M751">
        <v>0</v>
      </c>
      <c r="N751">
        <v>2400</v>
      </c>
    </row>
    <row r="752" spans="1:14" x14ac:dyDescent="0.25">
      <c r="A752">
        <v>386.69833599999998</v>
      </c>
      <c r="B752" s="1">
        <f>DATE(2011,5,22) + TIME(16,45,36)</f>
        <v>40685.698333333334</v>
      </c>
      <c r="C752">
        <v>80</v>
      </c>
      <c r="D752">
        <v>79.936477660999998</v>
      </c>
      <c r="E752">
        <v>50</v>
      </c>
      <c r="F752">
        <v>47.502250670999999</v>
      </c>
      <c r="G752">
        <v>1390.8579102000001</v>
      </c>
      <c r="H752">
        <v>1376.4123535000001</v>
      </c>
      <c r="I752">
        <v>1284.9643555</v>
      </c>
      <c r="J752">
        <v>1265.8586425999999</v>
      </c>
      <c r="K752">
        <v>2400</v>
      </c>
      <c r="L752">
        <v>0</v>
      </c>
      <c r="M752">
        <v>0</v>
      </c>
      <c r="N752">
        <v>2400</v>
      </c>
    </row>
    <row r="753" spans="1:14" x14ac:dyDescent="0.25">
      <c r="A753">
        <v>387.19837100000001</v>
      </c>
      <c r="B753" s="1">
        <f>DATE(2011,5,23) + TIME(4,45,39)</f>
        <v>40686.198368055557</v>
      </c>
      <c r="C753">
        <v>80</v>
      </c>
      <c r="D753">
        <v>79.936462402000004</v>
      </c>
      <c r="E753">
        <v>50</v>
      </c>
      <c r="F753">
        <v>47.455497741999999</v>
      </c>
      <c r="G753">
        <v>1390.7791748</v>
      </c>
      <c r="H753">
        <v>1376.3448486</v>
      </c>
      <c r="I753">
        <v>1284.9454346</v>
      </c>
      <c r="J753">
        <v>1265.8356934000001</v>
      </c>
      <c r="K753">
        <v>2400</v>
      </c>
      <c r="L753">
        <v>0</v>
      </c>
      <c r="M753">
        <v>0</v>
      </c>
      <c r="N753">
        <v>2400</v>
      </c>
    </row>
    <row r="754" spans="1:14" x14ac:dyDescent="0.25">
      <c r="A754">
        <v>387.70793900000001</v>
      </c>
      <c r="B754" s="1">
        <f>DATE(2011,5,23) + TIME(16,59,25)</f>
        <v>40686.707928240743</v>
      </c>
      <c r="C754">
        <v>80</v>
      </c>
      <c r="D754">
        <v>79.936454772999994</v>
      </c>
      <c r="E754">
        <v>50</v>
      </c>
      <c r="F754">
        <v>47.408130645999996</v>
      </c>
      <c r="G754">
        <v>1390.7005615</v>
      </c>
      <c r="H754">
        <v>1376.2775879000001</v>
      </c>
      <c r="I754">
        <v>1284.9261475000001</v>
      </c>
      <c r="J754">
        <v>1265.8123779</v>
      </c>
      <c r="K754">
        <v>2400</v>
      </c>
      <c r="L754">
        <v>0</v>
      </c>
      <c r="M754">
        <v>0</v>
      </c>
      <c r="N754">
        <v>2400</v>
      </c>
    </row>
    <row r="755" spans="1:14" x14ac:dyDescent="0.25">
      <c r="A755">
        <v>388.22834</v>
      </c>
      <c r="B755" s="1">
        <f>DATE(2011,5,24) + TIME(5,28,48)</f>
        <v>40687.228333333333</v>
      </c>
      <c r="C755">
        <v>80</v>
      </c>
      <c r="D755">
        <v>79.936439514</v>
      </c>
      <c r="E755">
        <v>50</v>
      </c>
      <c r="F755">
        <v>47.360065460000001</v>
      </c>
      <c r="G755">
        <v>1390.6218262</v>
      </c>
      <c r="H755">
        <v>1376.2102050999999</v>
      </c>
      <c r="I755">
        <v>1284.9063721</v>
      </c>
      <c r="J755">
        <v>1265.7883300999999</v>
      </c>
      <c r="K755">
        <v>2400</v>
      </c>
      <c r="L755">
        <v>0</v>
      </c>
      <c r="M755">
        <v>0</v>
      </c>
      <c r="N755">
        <v>2400</v>
      </c>
    </row>
    <row r="756" spans="1:14" x14ac:dyDescent="0.25">
      <c r="A756">
        <v>388.76099399999998</v>
      </c>
      <c r="B756" s="1">
        <f>DATE(2011,5,24) + TIME(18,15,49)</f>
        <v>40687.760983796295</v>
      </c>
      <c r="C756">
        <v>80</v>
      </c>
      <c r="D756">
        <v>79.936431885000005</v>
      </c>
      <c r="E756">
        <v>50</v>
      </c>
      <c r="F756">
        <v>47.311206818000002</v>
      </c>
      <c r="G756">
        <v>1390.5429687999999</v>
      </c>
      <c r="H756">
        <v>1376.1427002</v>
      </c>
      <c r="I756">
        <v>1284.8859863</v>
      </c>
      <c r="J756">
        <v>1265.7636719</v>
      </c>
      <c r="K756">
        <v>2400</v>
      </c>
      <c r="L756">
        <v>0</v>
      </c>
      <c r="M756">
        <v>0</v>
      </c>
      <c r="N756">
        <v>2400</v>
      </c>
    </row>
    <row r="757" spans="1:14" x14ac:dyDescent="0.25">
      <c r="A757">
        <v>389.30746499999998</v>
      </c>
      <c r="B757" s="1">
        <f>DATE(2011,5,25) + TIME(7,22,44)</f>
        <v>40688.307453703703</v>
      </c>
      <c r="C757">
        <v>80</v>
      </c>
      <c r="D757">
        <v>79.936424255000006</v>
      </c>
      <c r="E757">
        <v>50</v>
      </c>
      <c r="F757">
        <v>47.261444091999998</v>
      </c>
      <c r="G757">
        <v>1390.4636230000001</v>
      </c>
      <c r="H757">
        <v>1376.074707</v>
      </c>
      <c r="I757">
        <v>1284.8651123</v>
      </c>
      <c r="J757">
        <v>1265.7384033000001</v>
      </c>
      <c r="K757">
        <v>2400</v>
      </c>
      <c r="L757">
        <v>0</v>
      </c>
      <c r="M757">
        <v>0</v>
      </c>
      <c r="N757">
        <v>2400</v>
      </c>
    </row>
    <row r="758" spans="1:14" x14ac:dyDescent="0.25">
      <c r="A758">
        <v>389.86361499999998</v>
      </c>
      <c r="B758" s="1">
        <f>DATE(2011,5,25) + TIME(20,43,36)</f>
        <v>40688.863611111112</v>
      </c>
      <c r="C758">
        <v>80</v>
      </c>
      <c r="D758">
        <v>79.936416625999996</v>
      </c>
      <c r="E758">
        <v>50</v>
      </c>
      <c r="F758">
        <v>47.210971831999998</v>
      </c>
      <c r="G758">
        <v>1390.3837891000001</v>
      </c>
      <c r="H758">
        <v>1376.0063477000001</v>
      </c>
      <c r="I758">
        <v>1284.8435059000001</v>
      </c>
      <c r="J758">
        <v>1265.7121582</v>
      </c>
      <c r="K758">
        <v>2400</v>
      </c>
      <c r="L758">
        <v>0</v>
      </c>
      <c r="M758">
        <v>0</v>
      </c>
      <c r="N758">
        <v>2400</v>
      </c>
    </row>
    <row r="759" spans="1:14" x14ac:dyDescent="0.25">
      <c r="A759">
        <v>390.421404</v>
      </c>
      <c r="B759" s="1">
        <f>DATE(2011,5,26) + TIME(10,6,49)</f>
        <v>40689.421400462961</v>
      </c>
      <c r="C759">
        <v>80</v>
      </c>
      <c r="D759">
        <v>79.936408997000001</v>
      </c>
      <c r="E759">
        <v>50</v>
      </c>
      <c r="F759">
        <v>47.160282135000003</v>
      </c>
      <c r="G759">
        <v>1390.3039550999999</v>
      </c>
      <c r="H759">
        <v>1375.9379882999999</v>
      </c>
      <c r="I759">
        <v>1284.8214111</v>
      </c>
      <c r="J759">
        <v>1265.6854248</v>
      </c>
      <c r="K759">
        <v>2400</v>
      </c>
      <c r="L759">
        <v>0</v>
      </c>
      <c r="M759">
        <v>0</v>
      </c>
      <c r="N759">
        <v>2400</v>
      </c>
    </row>
    <row r="760" spans="1:14" x14ac:dyDescent="0.25">
      <c r="A760">
        <v>390.98234300000001</v>
      </c>
      <c r="B760" s="1">
        <f>DATE(2011,5,26) + TIME(23,34,34)</f>
        <v>40689.98233796296</v>
      </c>
      <c r="C760">
        <v>80</v>
      </c>
      <c r="D760">
        <v>79.936401367000002</v>
      </c>
      <c r="E760">
        <v>50</v>
      </c>
      <c r="F760">
        <v>47.109413146999998</v>
      </c>
      <c r="G760">
        <v>1390.2252197</v>
      </c>
      <c r="H760">
        <v>1375.8706055</v>
      </c>
      <c r="I760">
        <v>1284.7990723</v>
      </c>
      <c r="J760">
        <v>1265.6584473</v>
      </c>
      <c r="K760">
        <v>2400</v>
      </c>
      <c r="L760">
        <v>0</v>
      </c>
      <c r="M760">
        <v>0</v>
      </c>
      <c r="N760">
        <v>2400</v>
      </c>
    </row>
    <row r="761" spans="1:14" x14ac:dyDescent="0.25">
      <c r="A761">
        <v>391.54761200000002</v>
      </c>
      <c r="B761" s="1">
        <f>DATE(2011,5,27) + TIME(13,8,33)</f>
        <v>40690.54760416667</v>
      </c>
      <c r="C761">
        <v>80</v>
      </c>
      <c r="D761">
        <v>79.936393738000007</v>
      </c>
      <c r="E761">
        <v>50</v>
      </c>
      <c r="F761">
        <v>47.058368682999998</v>
      </c>
      <c r="G761">
        <v>1390.1474608999999</v>
      </c>
      <c r="H761">
        <v>1375.8039550999999</v>
      </c>
      <c r="I761">
        <v>1284.7764893000001</v>
      </c>
      <c r="J761">
        <v>1265.6311035000001</v>
      </c>
      <c r="K761">
        <v>2400</v>
      </c>
      <c r="L761">
        <v>0</v>
      </c>
      <c r="M761">
        <v>0</v>
      </c>
      <c r="N761">
        <v>2400</v>
      </c>
    </row>
    <row r="762" spans="1:14" x14ac:dyDescent="0.25">
      <c r="A762">
        <v>392.11845199999999</v>
      </c>
      <c r="B762" s="1">
        <f>DATE(2011,5,28) + TIME(2,50,34)</f>
        <v>40691.118449074071</v>
      </c>
      <c r="C762">
        <v>80</v>
      </c>
      <c r="D762">
        <v>79.936386107999994</v>
      </c>
      <c r="E762">
        <v>50</v>
      </c>
      <c r="F762">
        <v>47.007095337000003</v>
      </c>
      <c r="G762">
        <v>1390.0704346</v>
      </c>
      <c r="H762">
        <v>1375.7380370999999</v>
      </c>
      <c r="I762">
        <v>1284.7535399999999</v>
      </c>
      <c r="J762">
        <v>1265.6032714999999</v>
      </c>
      <c r="K762">
        <v>2400</v>
      </c>
      <c r="L762">
        <v>0</v>
      </c>
      <c r="M762">
        <v>0</v>
      </c>
      <c r="N762">
        <v>2400</v>
      </c>
    </row>
    <row r="763" spans="1:14" x14ac:dyDescent="0.25">
      <c r="A763">
        <v>392.69618000000003</v>
      </c>
      <c r="B763" s="1">
        <f>DATE(2011,5,28) + TIME(16,42,29)</f>
        <v>40691.696168981478</v>
      </c>
      <c r="C763">
        <v>80</v>
      </c>
      <c r="D763">
        <v>79.936378478999998</v>
      </c>
      <c r="E763">
        <v>50</v>
      </c>
      <c r="F763">
        <v>46.955524445000002</v>
      </c>
      <c r="G763">
        <v>1389.9940185999999</v>
      </c>
      <c r="H763">
        <v>1375.6724853999999</v>
      </c>
      <c r="I763">
        <v>1284.7303466999999</v>
      </c>
      <c r="J763">
        <v>1265.5750731999999</v>
      </c>
      <c r="K763">
        <v>2400</v>
      </c>
      <c r="L763">
        <v>0</v>
      </c>
      <c r="M763">
        <v>0</v>
      </c>
      <c r="N763">
        <v>2400</v>
      </c>
    </row>
    <row r="764" spans="1:14" x14ac:dyDescent="0.25">
      <c r="A764">
        <v>393.28215699999998</v>
      </c>
      <c r="B764" s="1">
        <f>DATE(2011,5,29) + TIME(6,46,18)</f>
        <v>40692.282152777778</v>
      </c>
      <c r="C764">
        <v>80</v>
      </c>
      <c r="D764">
        <v>79.936370850000003</v>
      </c>
      <c r="E764">
        <v>50</v>
      </c>
      <c r="F764">
        <v>46.903560638000002</v>
      </c>
      <c r="G764">
        <v>1389.9179687999999</v>
      </c>
      <c r="H764">
        <v>1375.6074219</v>
      </c>
      <c r="I764">
        <v>1284.7066649999999</v>
      </c>
      <c r="J764">
        <v>1265.5462646000001</v>
      </c>
      <c r="K764">
        <v>2400</v>
      </c>
      <c r="L764">
        <v>0</v>
      </c>
      <c r="M764">
        <v>0</v>
      </c>
      <c r="N764">
        <v>2400</v>
      </c>
    </row>
    <row r="765" spans="1:14" x14ac:dyDescent="0.25">
      <c r="A765">
        <v>393.87781000000001</v>
      </c>
      <c r="B765" s="1">
        <f>DATE(2011,5,29) + TIME(21,4,2)</f>
        <v>40692.877800925926</v>
      </c>
      <c r="C765">
        <v>80</v>
      </c>
      <c r="D765">
        <v>79.936370850000003</v>
      </c>
      <c r="E765">
        <v>50</v>
      </c>
      <c r="F765">
        <v>46.851100922000001</v>
      </c>
      <c r="G765">
        <v>1389.8421631000001</v>
      </c>
      <c r="H765">
        <v>1375.5423584</v>
      </c>
      <c r="I765">
        <v>1284.6824951000001</v>
      </c>
      <c r="J765">
        <v>1265.5168457</v>
      </c>
      <c r="K765">
        <v>2400</v>
      </c>
      <c r="L765">
        <v>0</v>
      </c>
      <c r="M765">
        <v>0</v>
      </c>
      <c r="N765">
        <v>2400</v>
      </c>
    </row>
    <row r="766" spans="1:14" x14ac:dyDescent="0.25">
      <c r="A766">
        <v>394.48465499999998</v>
      </c>
      <c r="B766" s="1">
        <f>DATE(2011,5,30) + TIME(11,37,54)</f>
        <v>40693.484652777777</v>
      </c>
      <c r="C766">
        <v>80</v>
      </c>
      <c r="D766">
        <v>79.936363220000004</v>
      </c>
      <c r="E766">
        <v>50</v>
      </c>
      <c r="F766">
        <v>46.798034668</v>
      </c>
      <c r="G766">
        <v>1389.7662353999999</v>
      </c>
      <c r="H766">
        <v>1375.4774170000001</v>
      </c>
      <c r="I766">
        <v>1284.6577147999999</v>
      </c>
      <c r="J766">
        <v>1265.4866943</v>
      </c>
      <c r="K766">
        <v>2400</v>
      </c>
      <c r="L766">
        <v>0</v>
      </c>
      <c r="M766">
        <v>0</v>
      </c>
      <c r="N766">
        <v>2400</v>
      </c>
    </row>
    <row r="767" spans="1:14" x14ac:dyDescent="0.25">
      <c r="A767">
        <v>395.10431499999999</v>
      </c>
      <c r="B767" s="1">
        <f>DATE(2011,5,31) + TIME(2,30,12)</f>
        <v>40694.104305555556</v>
      </c>
      <c r="C767">
        <v>80</v>
      </c>
      <c r="D767">
        <v>79.936363220000004</v>
      </c>
      <c r="E767">
        <v>50</v>
      </c>
      <c r="F767">
        <v>46.744235992</v>
      </c>
      <c r="G767">
        <v>1389.6903076000001</v>
      </c>
      <c r="H767">
        <v>1375.4123535000001</v>
      </c>
      <c r="I767">
        <v>1284.6322021000001</v>
      </c>
      <c r="J767">
        <v>1265.4556885</v>
      </c>
      <c r="K767">
        <v>2400</v>
      </c>
      <c r="L767">
        <v>0</v>
      </c>
      <c r="M767">
        <v>0</v>
      </c>
      <c r="N767">
        <v>2400</v>
      </c>
    </row>
    <row r="768" spans="1:14" x14ac:dyDescent="0.25">
      <c r="A768">
        <v>395.73854799999998</v>
      </c>
      <c r="B768" s="1">
        <f>DATE(2011,5,31) + TIME(17,43,30)</f>
        <v>40694.738541666666</v>
      </c>
      <c r="C768">
        <v>80</v>
      </c>
      <c r="D768">
        <v>79.936363220000004</v>
      </c>
      <c r="E768">
        <v>50</v>
      </c>
      <c r="F768">
        <v>46.689575195000003</v>
      </c>
      <c r="G768">
        <v>1389.6140137</v>
      </c>
      <c r="H768">
        <v>1375.3469238</v>
      </c>
      <c r="I768">
        <v>1284.6060791</v>
      </c>
      <c r="J768">
        <v>1265.4237060999999</v>
      </c>
      <c r="K768">
        <v>2400</v>
      </c>
      <c r="L768">
        <v>0</v>
      </c>
      <c r="M768">
        <v>0</v>
      </c>
      <c r="N768">
        <v>2400</v>
      </c>
    </row>
    <row r="769" spans="1:14" x14ac:dyDescent="0.25">
      <c r="A769">
        <v>396</v>
      </c>
      <c r="B769" s="1">
        <f>DATE(2011,6,1) + TIME(0,0,0)</f>
        <v>40695</v>
      </c>
      <c r="C769">
        <v>80</v>
      </c>
      <c r="D769">
        <v>79.936347960999996</v>
      </c>
      <c r="E769">
        <v>50</v>
      </c>
      <c r="F769">
        <v>46.659618377999998</v>
      </c>
      <c r="G769">
        <v>1389.5371094</v>
      </c>
      <c r="H769">
        <v>1375.2810059000001</v>
      </c>
      <c r="I769">
        <v>1284.5762939000001</v>
      </c>
      <c r="J769">
        <v>1265.3931885</v>
      </c>
      <c r="K769">
        <v>2400</v>
      </c>
      <c r="L769">
        <v>0</v>
      </c>
      <c r="M769">
        <v>0</v>
      </c>
      <c r="N769">
        <v>2400</v>
      </c>
    </row>
    <row r="770" spans="1:14" x14ac:dyDescent="0.25">
      <c r="A770">
        <v>396.65075000000002</v>
      </c>
      <c r="B770" s="1">
        <f>DATE(2011,6,1) + TIME(15,37,4)</f>
        <v>40695.650740740741</v>
      </c>
      <c r="C770">
        <v>80</v>
      </c>
      <c r="D770">
        <v>79.936355590999995</v>
      </c>
      <c r="E770">
        <v>50</v>
      </c>
      <c r="F770">
        <v>46.607048034999998</v>
      </c>
      <c r="G770">
        <v>1389.5056152</v>
      </c>
      <c r="H770">
        <v>1375.2539062000001</v>
      </c>
      <c r="I770">
        <v>1284.5679932</v>
      </c>
      <c r="J770">
        <v>1265.3764647999999</v>
      </c>
      <c r="K770">
        <v>2400</v>
      </c>
      <c r="L770">
        <v>0</v>
      </c>
      <c r="M770">
        <v>0</v>
      </c>
      <c r="N770">
        <v>2400</v>
      </c>
    </row>
    <row r="771" spans="1:14" x14ac:dyDescent="0.25">
      <c r="A771">
        <v>397.31769000000003</v>
      </c>
      <c r="B771" s="1">
        <f>DATE(2011,6,2) + TIME(7,37,28)</f>
        <v>40696.317685185182</v>
      </c>
      <c r="C771">
        <v>80</v>
      </c>
      <c r="D771">
        <v>79.936363220000004</v>
      </c>
      <c r="E771">
        <v>50</v>
      </c>
      <c r="F771">
        <v>46.552185059000003</v>
      </c>
      <c r="G771">
        <v>1389.4289550999999</v>
      </c>
      <c r="H771">
        <v>1375.1882324000001</v>
      </c>
      <c r="I771">
        <v>1284.5399170000001</v>
      </c>
      <c r="J771">
        <v>1265.3425293</v>
      </c>
      <c r="K771">
        <v>2400</v>
      </c>
      <c r="L771">
        <v>0</v>
      </c>
      <c r="M771">
        <v>0</v>
      </c>
      <c r="N771">
        <v>2400</v>
      </c>
    </row>
    <row r="772" spans="1:14" x14ac:dyDescent="0.25">
      <c r="A772">
        <v>397.99813</v>
      </c>
      <c r="B772" s="1">
        <f>DATE(2011,6,2) + TIME(23,57,18)</f>
        <v>40696.998124999998</v>
      </c>
      <c r="C772">
        <v>80</v>
      </c>
      <c r="D772">
        <v>79.936363220000004</v>
      </c>
      <c r="E772">
        <v>50</v>
      </c>
      <c r="F772">
        <v>46.495639801000003</v>
      </c>
      <c r="G772">
        <v>1389.3513184000001</v>
      </c>
      <c r="H772">
        <v>1375.121582</v>
      </c>
      <c r="I772">
        <v>1284.5108643000001</v>
      </c>
      <c r="J772">
        <v>1265.307251</v>
      </c>
      <c r="K772">
        <v>2400</v>
      </c>
      <c r="L772">
        <v>0</v>
      </c>
      <c r="M772">
        <v>0</v>
      </c>
      <c r="N772">
        <v>2400</v>
      </c>
    </row>
    <row r="773" spans="1:14" x14ac:dyDescent="0.25">
      <c r="A773">
        <v>398.69219399999997</v>
      </c>
      <c r="B773" s="1">
        <f>DATE(2011,6,3) + TIME(16,36,45)</f>
        <v>40697.692187499997</v>
      </c>
      <c r="C773">
        <v>80</v>
      </c>
      <c r="D773">
        <v>79.936363220000004</v>
      </c>
      <c r="E773">
        <v>50</v>
      </c>
      <c r="F773">
        <v>46.437744141000003</v>
      </c>
      <c r="G773">
        <v>1389.2734375</v>
      </c>
      <c r="H773">
        <v>1375.0548096</v>
      </c>
      <c r="I773">
        <v>1284.480957</v>
      </c>
      <c r="J773">
        <v>1265.2707519999999</v>
      </c>
      <c r="K773">
        <v>2400</v>
      </c>
      <c r="L773">
        <v>0</v>
      </c>
      <c r="M773">
        <v>0</v>
      </c>
      <c r="N773">
        <v>2400</v>
      </c>
    </row>
    <row r="774" spans="1:14" x14ac:dyDescent="0.25">
      <c r="A774">
        <v>399.388327</v>
      </c>
      <c r="B774" s="1">
        <f>DATE(2011,6,4) + TIME(9,19,11)</f>
        <v>40698.388321759259</v>
      </c>
      <c r="C774">
        <v>80</v>
      </c>
      <c r="D774">
        <v>79.936370850000003</v>
      </c>
      <c r="E774">
        <v>50</v>
      </c>
      <c r="F774">
        <v>46.379241942999997</v>
      </c>
      <c r="G774">
        <v>1389.1953125</v>
      </c>
      <c r="H774">
        <v>1374.987793</v>
      </c>
      <c r="I774">
        <v>1284.4500731999999</v>
      </c>
      <c r="J774">
        <v>1265.2331543</v>
      </c>
      <c r="K774">
        <v>2400</v>
      </c>
      <c r="L774">
        <v>0</v>
      </c>
      <c r="M774">
        <v>0</v>
      </c>
      <c r="N774">
        <v>2400</v>
      </c>
    </row>
    <row r="775" spans="1:14" x14ac:dyDescent="0.25">
      <c r="A775">
        <v>400.08691199999998</v>
      </c>
      <c r="B775" s="1">
        <f>DATE(2011,6,5) + TIME(2,5,9)</f>
        <v>40699.086909722224</v>
      </c>
      <c r="C775">
        <v>80</v>
      </c>
      <c r="D775">
        <v>79.936370850000003</v>
      </c>
      <c r="E775">
        <v>50</v>
      </c>
      <c r="F775">
        <v>46.320415496999999</v>
      </c>
      <c r="G775">
        <v>1389.1182861</v>
      </c>
      <c r="H775">
        <v>1374.9215088000001</v>
      </c>
      <c r="I775">
        <v>1284.4188231999999</v>
      </c>
      <c r="J775">
        <v>1265.1949463000001</v>
      </c>
      <c r="K775">
        <v>2400</v>
      </c>
      <c r="L775">
        <v>0</v>
      </c>
      <c r="M775">
        <v>0</v>
      </c>
      <c r="N775">
        <v>2400</v>
      </c>
    </row>
    <row r="776" spans="1:14" x14ac:dyDescent="0.25">
      <c r="A776">
        <v>400.789288</v>
      </c>
      <c r="B776" s="1">
        <f>DATE(2011,6,5) + TIME(18,56,34)</f>
        <v>40699.789282407408</v>
      </c>
      <c r="C776">
        <v>80</v>
      </c>
      <c r="D776">
        <v>79.936378478999998</v>
      </c>
      <c r="E776">
        <v>50</v>
      </c>
      <c r="F776">
        <v>46.261371613000001</v>
      </c>
      <c r="G776">
        <v>1389.0421143000001</v>
      </c>
      <c r="H776">
        <v>1374.8562012</v>
      </c>
      <c r="I776">
        <v>1284.387207</v>
      </c>
      <c r="J776">
        <v>1265.1561279</v>
      </c>
      <c r="K776">
        <v>2400</v>
      </c>
      <c r="L776">
        <v>0</v>
      </c>
      <c r="M776">
        <v>0</v>
      </c>
      <c r="N776">
        <v>2400</v>
      </c>
    </row>
    <row r="777" spans="1:14" x14ac:dyDescent="0.25">
      <c r="A777">
        <v>401.49706300000003</v>
      </c>
      <c r="B777" s="1">
        <f>DATE(2011,6,6) + TIME(11,55,46)</f>
        <v>40700.497060185182</v>
      </c>
      <c r="C777">
        <v>80</v>
      </c>
      <c r="D777">
        <v>79.936378478999998</v>
      </c>
      <c r="E777">
        <v>50</v>
      </c>
      <c r="F777">
        <v>46.202098845999998</v>
      </c>
      <c r="G777">
        <v>1388.9667969</v>
      </c>
      <c r="H777">
        <v>1374.7915039</v>
      </c>
      <c r="I777">
        <v>1284.3549805</v>
      </c>
      <c r="J777">
        <v>1265.1165771000001</v>
      </c>
      <c r="K777">
        <v>2400</v>
      </c>
      <c r="L777">
        <v>0</v>
      </c>
      <c r="M777">
        <v>0</v>
      </c>
      <c r="N777">
        <v>2400</v>
      </c>
    </row>
    <row r="778" spans="1:14" x14ac:dyDescent="0.25">
      <c r="A778">
        <v>402.21167000000003</v>
      </c>
      <c r="B778" s="1">
        <f>DATE(2011,6,7) + TIME(5,4,48)</f>
        <v>40701.21166666667</v>
      </c>
      <c r="C778">
        <v>80</v>
      </c>
      <c r="D778">
        <v>79.936386107999994</v>
      </c>
      <c r="E778">
        <v>50</v>
      </c>
      <c r="F778">
        <v>46.142536163000003</v>
      </c>
      <c r="G778">
        <v>1388.8920897999999</v>
      </c>
      <c r="H778">
        <v>1374.7272949000001</v>
      </c>
      <c r="I778">
        <v>1284.3222656</v>
      </c>
      <c r="J778">
        <v>1265.0761719</v>
      </c>
      <c r="K778">
        <v>2400</v>
      </c>
      <c r="L778">
        <v>0</v>
      </c>
      <c r="M778">
        <v>0</v>
      </c>
      <c r="N778">
        <v>2400</v>
      </c>
    </row>
    <row r="779" spans="1:14" x14ac:dyDescent="0.25">
      <c r="A779">
        <v>402.934731</v>
      </c>
      <c r="B779" s="1">
        <f>DATE(2011,6,7) + TIME(22,26,0)</f>
        <v>40701.93472222222</v>
      </c>
      <c r="C779">
        <v>80</v>
      </c>
      <c r="D779">
        <v>79.936393738000007</v>
      </c>
      <c r="E779">
        <v>50</v>
      </c>
      <c r="F779">
        <v>46.082588196000003</v>
      </c>
      <c r="G779">
        <v>1388.8178711</v>
      </c>
      <c r="H779">
        <v>1374.6634521000001</v>
      </c>
      <c r="I779">
        <v>1284.2889404</v>
      </c>
      <c r="J779">
        <v>1265.0349120999999</v>
      </c>
      <c r="K779">
        <v>2400</v>
      </c>
      <c r="L779">
        <v>0</v>
      </c>
      <c r="M779">
        <v>0</v>
      </c>
      <c r="N779">
        <v>2400</v>
      </c>
    </row>
    <row r="780" spans="1:14" x14ac:dyDescent="0.25">
      <c r="A780">
        <v>403.66792900000002</v>
      </c>
      <c r="B780" s="1">
        <f>DATE(2011,6,8) + TIME(16,1,49)</f>
        <v>40702.667928240742</v>
      </c>
      <c r="C780">
        <v>80</v>
      </c>
      <c r="D780">
        <v>79.936401367000002</v>
      </c>
      <c r="E780">
        <v>50</v>
      </c>
      <c r="F780">
        <v>46.022140503000003</v>
      </c>
      <c r="G780">
        <v>1388.7437743999999</v>
      </c>
      <c r="H780">
        <v>1374.5998535000001</v>
      </c>
      <c r="I780">
        <v>1284.2547606999999</v>
      </c>
      <c r="J780">
        <v>1264.9926757999999</v>
      </c>
      <c r="K780">
        <v>2400</v>
      </c>
      <c r="L780">
        <v>0</v>
      </c>
      <c r="M780">
        <v>0</v>
      </c>
      <c r="N780">
        <v>2400</v>
      </c>
    </row>
    <row r="781" spans="1:14" x14ac:dyDescent="0.25">
      <c r="A781">
        <v>404.41302899999999</v>
      </c>
      <c r="B781" s="1">
        <f>DATE(2011,6,9) + TIME(9,54,45)</f>
        <v>40703.41302083333</v>
      </c>
      <c r="C781">
        <v>80</v>
      </c>
      <c r="D781">
        <v>79.936408997000001</v>
      </c>
      <c r="E781">
        <v>50</v>
      </c>
      <c r="F781">
        <v>45.961059570000003</v>
      </c>
      <c r="G781">
        <v>1388.6699219</v>
      </c>
      <c r="H781">
        <v>1374.5362548999999</v>
      </c>
      <c r="I781">
        <v>1284.2197266000001</v>
      </c>
      <c r="J781">
        <v>1264.9492187999999</v>
      </c>
      <c r="K781">
        <v>2400</v>
      </c>
      <c r="L781">
        <v>0</v>
      </c>
      <c r="M781">
        <v>0</v>
      </c>
      <c r="N781">
        <v>2400</v>
      </c>
    </row>
    <row r="782" spans="1:14" x14ac:dyDescent="0.25">
      <c r="A782">
        <v>405.17190199999999</v>
      </c>
      <c r="B782" s="1">
        <f>DATE(2011,6,10) + TIME(4,7,32)</f>
        <v>40704.171898148146</v>
      </c>
      <c r="C782">
        <v>80</v>
      </c>
      <c r="D782">
        <v>79.936416625999996</v>
      </c>
      <c r="E782">
        <v>50</v>
      </c>
      <c r="F782">
        <v>45.899200438999998</v>
      </c>
      <c r="G782">
        <v>1388.5960693</v>
      </c>
      <c r="H782">
        <v>1374.4726562000001</v>
      </c>
      <c r="I782">
        <v>1284.1837158000001</v>
      </c>
      <c r="J782">
        <v>1264.9044189000001</v>
      </c>
      <c r="K782">
        <v>2400</v>
      </c>
      <c r="L782">
        <v>0</v>
      </c>
      <c r="M782">
        <v>0</v>
      </c>
      <c r="N782">
        <v>2400</v>
      </c>
    </row>
    <row r="783" spans="1:14" x14ac:dyDescent="0.25">
      <c r="A783">
        <v>405.94656300000003</v>
      </c>
      <c r="B783" s="1">
        <f>DATE(2011,6,10) + TIME(22,43,3)</f>
        <v>40704.946562500001</v>
      </c>
      <c r="C783">
        <v>80</v>
      </c>
      <c r="D783">
        <v>79.936431885000005</v>
      </c>
      <c r="E783">
        <v>50</v>
      </c>
      <c r="F783">
        <v>45.836414337000001</v>
      </c>
      <c r="G783">
        <v>1388.5218506000001</v>
      </c>
      <c r="H783">
        <v>1374.4088135</v>
      </c>
      <c r="I783">
        <v>1284.1466064000001</v>
      </c>
      <c r="J783">
        <v>1264.8581543</v>
      </c>
      <c r="K783">
        <v>2400</v>
      </c>
      <c r="L783">
        <v>0</v>
      </c>
      <c r="M783">
        <v>0</v>
      </c>
      <c r="N783">
        <v>2400</v>
      </c>
    </row>
    <row r="784" spans="1:14" x14ac:dyDescent="0.25">
      <c r="A784">
        <v>406.739194</v>
      </c>
      <c r="B784" s="1">
        <f>DATE(2011,6,11) + TIME(17,44,26)</f>
        <v>40705.739189814813</v>
      </c>
      <c r="C784">
        <v>80</v>
      </c>
      <c r="D784">
        <v>79.936439514</v>
      </c>
      <c r="E784">
        <v>50</v>
      </c>
      <c r="F784">
        <v>45.772525786999999</v>
      </c>
      <c r="G784">
        <v>1388.4472656</v>
      </c>
      <c r="H784">
        <v>1374.3446045000001</v>
      </c>
      <c r="I784">
        <v>1284.1082764</v>
      </c>
      <c r="J784">
        <v>1264.8103027</v>
      </c>
      <c r="K784">
        <v>2400</v>
      </c>
      <c r="L784">
        <v>0</v>
      </c>
      <c r="M784">
        <v>0</v>
      </c>
      <c r="N784">
        <v>2400</v>
      </c>
    </row>
    <row r="785" spans="1:14" x14ac:dyDescent="0.25">
      <c r="A785">
        <v>407.55220600000001</v>
      </c>
      <c r="B785" s="1">
        <f>DATE(2011,6,12) + TIME(13,15,10)</f>
        <v>40706.552199074074</v>
      </c>
      <c r="C785">
        <v>80</v>
      </c>
      <c r="D785">
        <v>79.936454772999994</v>
      </c>
      <c r="E785">
        <v>50</v>
      </c>
      <c r="F785">
        <v>45.707355499000002</v>
      </c>
      <c r="G785">
        <v>1388.3721923999999</v>
      </c>
      <c r="H785">
        <v>1374.2799072</v>
      </c>
      <c r="I785">
        <v>1284.0684814000001</v>
      </c>
      <c r="J785">
        <v>1264.7604980000001</v>
      </c>
      <c r="K785">
        <v>2400</v>
      </c>
      <c r="L785">
        <v>0</v>
      </c>
      <c r="M785">
        <v>0</v>
      </c>
      <c r="N785">
        <v>2400</v>
      </c>
    </row>
    <row r="786" spans="1:14" x14ac:dyDescent="0.25">
      <c r="A786">
        <v>408.37120399999998</v>
      </c>
      <c r="B786" s="1">
        <f>DATE(2011,6,13) + TIME(8,54,32)</f>
        <v>40707.371203703704</v>
      </c>
      <c r="C786">
        <v>80</v>
      </c>
      <c r="D786">
        <v>79.936470032000003</v>
      </c>
      <c r="E786">
        <v>50</v>
      </c>
      <c r="F786">
        <v>45.641414642000001</v>
      </c>
      <c r="G786">
        <v>1388.2962646000001</v>
      </c>
      <c r="H786">
        <v>1374.2144774999999</v>
      </c>
      <c r="I786">
        <v>1284.0270995999999</v>
      </c>
      <c r="J786">
        <v>1264.7087402</v>
      </c>
      <c r="K786">
        <v>2400</v>
      </c>
      <c r="L786">
        <v>0</v>
      </c>
      <c r="M786">
        <v>0</v>
      </c>
      <c r="N786">
        <v>2400</v>
      </c>
    </row>
    <row r="787" spans="1:14" x14ac:dyDescent="0.25">
      <c r="A787">
        <v>409.19647500000002</v>
      </c>
      <c r="B787" s="1">
        <f>DATE(2011,6,14) + TIME(4,42,55)</f>
        <v>40708.196469907409</v>
      </c>
      <c r="C787">
        <v>80</v>
      </c>
      <c r="D787">
        <v>79.936485290999997</v>
      </c>
      <c r="E787">
        <v>50</v>
      </c>
      <c r="F787">
        <v>45.574901580999999</v>
      </c>
      <c r="G787">
        <v>1388.2209473</v>
      </c>
      <c r="H787">
        <v>1374.1495361</v>
      </c>
      <c r="I787">
        <v>1283.9848632999999</v>
      </c>
      <c r="J787">
        <v>1264.6557617000001</v>
      </c>
      <c r="K787">
        <v>2400</v>
      </c>
      <c r="L787">
        <v>0</v>
      </c>
      <c r="M787">
        <v>0</v>
      </c>
      <c r="N787">
        <v>2400</v>
      </c>
    </row>
    <row r="788" spans="1:14" x14ac:dyDescent="0.25">
      <c r="A788">
        <v>410.02839499999999</v>
      </c>
      <c r="B788" s="1">
        <f>DATE(2011,6,15) + TIME(0,40,53)</f>
        <v>40709.028391203705</v>
      </c>
      <c r="C788">
        <v>80</v>
      </c>
      <c r="D788">
        <v>79.936500549000002</v>
      </c>
      <c r="E788">
        <v>50</v>
      </c>
      <c r="F788">
        <v>45.507892609000002</v>
      </c>
      <c r="G788">
        <v>1388.1462402</v>
      </c>
      <c r="H788">
        <v>1374.0850829999999</v>
      </c>
      <c r="I788">
        <v>1283.9417725000001</v>
      </c>
      <c r="J788">
        <v>1264.6014404</v>
      </c>
      <c r="K788">
        <v>2400</v>
      </c>
      <c r="L788">
        <v>0</v>
      </c>
      <c r="M788">
        <v>0</v>
      </c>
      <c r="N788">
        <v>2400</v>
      </c>
    </row>
    <row r="789" spans="1:14" x14ac:dyDescent="0.25">
      <c r="A789">
        <v>410.86362200000002</v>
      </c>
      <c r="B789" s="1">
        <f>DATE(2011,6,15) + TIME(20,43,36)</f>
        <v>40709.863611111112</v>
      </c>
      <c r="C789">
        <v>80</v>
      </c>
      <c r="D789">
        <v>79.936515807999996</v>
      </c>
      <c r="E789">
        <v>50</v>
      </c>
      <c r="F789">
        <v>45.440570831000002</v>
      </c>
      <c r="G789">
        <v>1388.0720214999999</v>
      </c>
      <c r="H789">
        <v>1374.0211182</v>
      </c>
      <c r="I789">
        <v>1283.8975829999999</v>
      </c>
      <c r="J789">
        <v>1264.5456543</v>
      </c>
      <c r="K789">
        <v>2400</v>
      </c>
      <c r="L789">
        <v>0</v>
      </c>
      <c r="M789">
        <v>0</v>
      </c>
      <c r="N789">
        <v>2400</v>
      </c>
    </row>
    <row r="790" spans="1:14" x14ac:dyDescent="0.25">
      <c r="A790">
        <v>411.70434999999998</v>
      </c>
      <c r="B790" s="1">
        <f>DATE(2011,6,16) + TIME(16,54,15)</f>
        <v>40710.704340277778</v>
      </c>
      <c r="C790">
        <v>80</v>
      </c>
      <c r="D790">
        <v>79.936531067000004</v>
      </c>
      <c r="E790">
        <v>50</v>
      </c>
      <c r="F790">
        <v>45.372917174999998</v>
      </c>
      <c r="G790">
        <v>1387.9986572</v>
      </c>
      <c r="H790">
        <v>1373.9577637</v>
      </c>
      <c r="I790">
        <v>1283.8526611</v>
      </c>
      <c r="J790">
        <v>1264.4887695</v>
      </c>
      <c r="K790">
        <v>2400</v>
      </c>
      <c r="L790">
        <v>0</v>
      </c>
      <c r="M790">
        <v>0</v>
      </c>
      <c r="N790">
        <v>2400</v>
      </c>
    </row>
    <row r="791" spans="1:14" x14ac:dyDescent="0.25">
      <c r="A791">
        <v>412.55222500000002</v>
      </c>
      <c r="B791" s="1">
        <f>DATE(2011,6,17) + TIME(13,15,12)</f>
        <v>40711.552222222221</v>
      </c>
      <c r="C791">
        <v>80</v>
      </c>
      <c r="D791">
        <v>79.936546325999998</v>
      </c>
      <c r="E791">
        <v>50</v>
      </c>
      <c r="F791">
        <v>45.304843902999998</v>
      </c>
      <c r="G791">
        <v>1387.9257812000001</v>
      </c>
      <c r="H791">
        <v>1373.8947754000001</v>
      </c>
      <c r="I791">
        <v>1283.8067627</v>
      </c>
      <c r="J791">
        <v>1264.4304199000001</v>
      </c>
      <c r="K791">
        <v>2400</v>
      </c>
      <c r="L791">
        <v>0</v>
      </c>
      <c r="M791">
        <v>0</v>
      </c>
      <c r="N791">
        <v>2400</v>
      </c>
    </row>
    <row r="792" spans="1:14" x14ac:dyDescent="0.25">
      <c r="A792">
        <v>413.40909099999999</v>
      </c>
      <c r="B792" s="1">
        <f>DATE(2011,6,18) + TIME(9,49,5)</f>
        <v>40712.409085648149</v>
      </c>
      <c r="C792">
        <v>80</v>
      </c>
      <c r="D792">
        <v>79.936561584000003</v>
      </c>
      <c r="E792">
        <v>50</v>
      </c>
      <c r="F792">
        <v>45.236232758</v>
      </c>
      <c r="G792">
        <v>1387.8535156</v>
      </c>
      <c r="H792">
        <v>1373.8322754000001</v>
      </c>
      <c r="I792">
        <v>1283.7597656</v>
      </c>
      <c r="J792">
        <v>1264.3704834</v>
      </c>
      <c r="K792">
        <v>2400</v>
      </c>
      <c r="L792">
        <v>0</v>
      </c>
      <c r="M792">
        <v>0</v>
      </c>
      <c r="N792">
        <v>2400</v>
      </c>
    </row>
    <row r="793" spans="1:14" x14ac:dyDescent="0.25">
      <c r="A793">
        <v>414.276926</v>
      </c>
      <c r="B793" s="1">
        <f>DATE(2011,6,19) + TIME(6,38,46)</f>
        <v>40713.276921296296</v>
      </c>
      <c r="C793">
        <v>80</v>
      </c>
      <c r="D793">
        <v>79.936584472999996</v>
      </c>
      <c r="E793">
        <v>50</v>
      </c>
      <c r="F793">
        <v>45.166938782000003</v>
      </c>
      <c r="G793">
        <v>1387.7813721</v>
      </c>
      <c r="H793">
        <v>1373.7700195</v>
      </c>
      <c r="I793">
        <v>1283.7116699000001</v>
      </c>
      <c r="J793">
        <v>1264.3088379000001</v>
      </c>
      <c r="K793">
        <v>2400</v>
      </c>
      <c r="L793">
        <v>0</v>
      </c>
      <c r="M793">
        <v>0</v>
      </c>
      <c r="N793">
        <v>2400</v>
      </c>
    </row>
    <row r="794" spans="1:14" x14ac:dyDescent="0.25">
      <c r="A794">
        <v>415.15778699999998</v>
      </c>
      <c r="B794" s="1">
        <f>DATE(2011,6,20) + TIME(3,47,12)</f>
        <v>40714.157777777778</v>
      </c>
      <c r="C794">
        <v>80</v>
      </c>
      <c r="D794">
        <v>79.936607361</v>
      </c>
      <c r="E794">
        <v>50</v>
      </c>
      <c r="F794">
        <v>45.096786498999997</v>
      </c>
      <c r="G794">
        <v>1387.7093506000001</v>
      </c>
      <c r="H794">
        <v>1373.7076416</v>
      </c>
      <c r="I794">
        <v>1283.6621094</v>
      </c>
      <c r="J794">
        <v>1264.2453613</v>
      </c>
      <c r="K794">
        <v>2400</v>
      </c>
      <c r="L794">
        <v>0</v>
      </c>
      <c r="M794">
        <v>0</v>
      </c>
      <c r="N794">
        <v>2400</v>
      </c>
    </row>
    <row r="795" spans="1:14" x14ac:dyDescent="0.25">
      <c r="A795">
        <v>416.05385699999999</v>
      </c>
      <c r="B795" s="1">
        <f>DATE(2011,6,21) + TIME(1,17,33)</f>
        <v>40715.053854166668</v>
      </c>
      <c r="C795">
        <v>80</v>
      </c>
      <c r="D795">
        <v>79.936622619999994</v>
      </c>
      <c r="E795">
        <v>50</v>
      </c>
      <c r="F795">
        <v>45.025596618999998</v>
      </c>
      <c r="G795">
        <v>1387.6373291</v>
      </c>
      <c r="H795">
        <v>1373.6453856999999</v>
      </c>
      <c r="I795">
        <v>1283.6110839999999</v>
      </c>
      <c r="J795">
        <v>1264.1796875</v>
      </c>
      <c r="K795">
        <v>2400</v>
      </c>
      <c r="L795">
        <v>0</v>
      </c>
      <c r="M795">
        <v>0</v>
      </c>
      <c r="N795">
        <v>2400</v>
      </c>
    </row>
    <row r="796" spans="1:14" x14ac:dyDescent="0.25">
      <c r="A796">
        <v>416.96746400000001</v>
      </c>
      <c r="B796" s="1">
        <f>DATE(2011,6,21) + TIME(23,13,8)</f>
        <v>40715.967453703706</v>
      </c>
      <c r="C796">
        <v>80</v>
      </c>
      <c r="D796">
        <v>79.936645507999998</v>
      </c>
      <c r="E796">
        <v>50</v>
      </c>
      <c r="F796">
        <v>44.953174591</v>
      </c>
      <c r="G796">
        <v>1387.5651855000001</v>
      </c>
      <c r="H796">
        <v>1373.5828856999999</v>
      </c>
      <c r="I796">
        <v>1283.5584716999999</v>
      </c>
      <c r="J796">
        <v>1264.1115723</v>
      </c>
      <c r="K796">
        <v>2400</v>
      </c>
      <c r="L796">
        <v>0</v>
      </c>
      <c r="M796">
        <v>0</v>
      </c>
      <c r="N796">
        <v>2400</v>
      </c>
    </row>
    <row r="797" spans="1:14" x14ac:dyDescent="0.25">
      <c r="A797">
        <v>417.90112800000003</v>
      </c>
      <c r="B797" s="1">
        <f>DATE(2011,6,22) + TIME(21,37,37)</f>
        <v>40716.901122685187</v>
      </c>
      <c r="C797">
        <v>80</v>
      </c>
      <c r="D797">
        <v>79.936668396000002</v>
      </c>
      <c r="E797">
        <v>50</v>
      </c>
      <c r="F797">
        <v>44.879302979000002</v>
      </c>
      <c r="G797">
        <v>1387.4925536999999</v>
      </c>
      <c r="H797">
        <v>1373.5198975000001</v>
      </c>
      <c r="I797">
        <v>1283.5037841999999</v>
      </c>
      <c r="J797">
        <v>1264.0407714999999</v>
      </c>
      <c r="K797">
        <v>2400</v>
      </c>
      <c r="L797">
        <v>0</v>
      </c>
      <c r="M797">
        <v>0</v>
      </c>
      <c r="N797">
        <v>2400</v>
      </c>
    </row>
    <row r="798" spans="1:14" x14ac:dyDescent="0.25">
      <c r="A798">
        <v>418.85339800000003</v>
      </c>
      <c r="B798" s="1">
        <f>DATE(2011,6,23) + TIME(20,28,53)</f>
        <v>40717.853391203702</v>
      </c>
      <c r="C798">
        <v>80</v>
      </c>
      <c r="D798">
        <v>79.936698914000004</v>
      </c>
      <c r="E798">
        <v>50</v>
      </c>
      <c r="F798">
        <v>44.803916931000003</v>
      </c>
      <c r="G798">
        <v>1387.4194336</v>
      </c>
      <c r="H798">
        <v>1373.456543</v>
      </c>
      <c r="I798">
        <v>1283.4470214999999</v>
      </c>
      <c r="J798">
        <v>1263.9670410000001</v>
      </c>
      <c r="K798">
        <v>2400</v>
      </c>
      <c r="L798">
        <v>0</v>
      </c>
      <c r="M798">
        <v>0</v>
      </c>
      <c r="N798">
        <v>2400</v>
      </c>
    </row>
    <row r="799" spans="1:14" x14ac:dyDescent="0.25">
      <c r="A799">
        <v>419.81137200000001</v>
      </c>
      <c r="B799" s="1">
        <f>DATE(2011,6,24) + TIME(19,28,22)</f>
        <v>40718.811365740738</v>
      </c>
      <c r="C799">
        <v>80</v>
      </c>
      <c r="D799">
        <v>79.936721801999994</v>
      </c>
      <c r="E799">
        <v>50</v>
      </c>
      <c r="F799">
        <v>44.727455139</v>
      </c>
      <c r="G799">
        <v>1387.3458252</v>
      </c>
      <c r="H799">
        <v>1373.3927002</v>
      </c>
      <c r="I799">
        <v>1283.3881836</v>
      </c>
      <c r="J799">
        <v>1263.8905029</v>
      </c>
      <c r="K799">
        <v>2400</v>
      </c>
      <c r="L799">
        <v>0</v>
      </c>
      <c r="M799">
        <v>0</v>
      </c>
      <c r="N799">
        <v>2400</v>
      </c>
    </row>
    <row r="800" spans="1:14" x14ac:dyDescent="0.25">
      <c r="A800">
        <v>420.77734500000003</v>
      </c>
      <c r="B800" s="1">
        <f>DATE(2011,6,25) + TIME(18,39,22)</f>
        <v>40719.777337962965</v>
      </c>
      <c r="C800">
        <v>80</v>
      </c>
      <c r="D800">
        <v>79.936744689999998</v>
      </c>
      <c r="E800">
        <v>50</v>
      </c>
      <c r="F800">
        <v>44.650066375999998</v>
      </c>
      <c r="G800">
        <v>1387.2728271000001</v>
      </c>
      <c r="H800">
        <v>1373.3294678</v>
      </c>
      <c r="I800">
        <v>1283.3280029</v>
      </c>
      <c r="J800">
        <v>1263.8116454999999</v>
      </c>
      <c r="K800">
        <v>2400</v>
      </c>
      <c r="L800">
        <v>0</v>
      </c>
      <c r="M800">
        <v>0</v>
      </c>
      <c r="N800">
        <v>2400</v>
      </c>
    </row>
    <row r="801" spans="1:14" x14ac:dyDescent="0.25">
      <c r="A801">
        <v>421.753602</v>
      </c>
      <c r="B801" s="1">
        <f>DATE(2011,6,26) + TIME(18,5,11)</f>
        <v>40720.753599537034</v>
      </c>
      <c r="C801">
        <v>80</v>
      </c>
      <c r="D801">
        <v>79.936775208</v>
      </c>
      <c r="E801">
        <v>50</v>
      </c>
      <c r="F801">
        <v>44.571712494000003</v>
      </c>
      <c r="G801">
        <v>1387.2003173999999</v>
      </c>
      <c r="H801">
        <v>1373.2664795000001</v>
      </c>
      <c r="I801">
        <v>1283.2662353999999</v>
      </c>
      <c r="J801">
        <v>1263.7305908000001</v>
      </c>
      <c r="K801">
        <v>2400</v>
      </c>
      <c r="L801">
        <v>0</v>
      </c>
      <c r="M801">
        <v>0</v>
      </c>
      <c r="N801">
        <v>2400</v>
      </c>
    </row>
    <row r="802" spans="1:14" x14ac:dyDescent="0.25">
      <c r="A802">
        <v>422.73997400000002</v>
      </c>
      <c r="B802" s="1">
        <f>DATE(2011,6,27) + TIME(17,45,33)</f>
        <v>40721.739965277775</v>
      </c>
      <c r="C802">
        <v>80</v>
      </c>
      <c r="D802">
        <v>79.936805724999999</v>
      </c>
      <c r="E802">
        <v>50</v>
      </c>
      <c r="F802">
        <v>44.492351532000001</v>
      </c>
      <c r="G802">
        <v>1387.1280518000001</v>
      </c>
      <c r="H802">
        <v>1373.2037353999999</v>
      </c>
      <c r="I802">
        <v>1283.2027588000001</v>
      </c>
      <c r="J802">
        <v>1263.6469727000001</v>
      </c>
      <c r="K802">
        <v>2400</v>
      </c>
      <c r="L802">
        <v>0</v>
      </c>
      <c r="M802">
        <v>0</v>
      </c>
      <c r="N802">
        <v>2400</v>
      </c>
    </row>
    <row r="803" spans="1:14" x14ac:dyDescent="0.25">
      <c r="A803">
        <v>423.73266100000001</v>
      </c>
      <c r="B803" s="1">
        <f>DATE(2011,6,28) + TIME(17,35,1)</f>
        <v>40722.73265046296</v>
      </c>
      <c r="C803">
        <v>80</v>
      </c>
      <c r="D803">
        <v>79.936828613000003</v>
      </c>
      <c r="E803">
        <v>50</v>
      </c>
      <c r="F803">
        <v>44.412086487000003</v>
      </c>
      <c r="G803">
        <v>1387.0560303</v>
      </c>
      <c r="H803">
        <v>1373.1411132999999</v>
      </c>
      <c r="I803">
        <v>1283.1375731999999</v>
      </c>
      <c r="J803">
        <v>1263.5606689000001</v>
      </c>
      <c r="K803">
        <v>2400</v>
      </c>
      <c r="L803">
        <v>0</v>
      </c>
      <c r="M803">
        <v>0</v>
      </c>
      <c r="N803">
        <v>2400</v>
      </c>
    </row>
    <row r="804" spans="1:14" x14ac:dyDescent="0.25">
      <c r="A804">
        <v>424.733925</v>
      </c>
      <c r="B804" s="1">
        <f>DATE(2011,6,29) + TIME(17,36,51)</f>
        <v>40723.733923611115</v>
      </c>
      <c r="C804">
        <v>80</v>
      </c>
      <c r="D804">
        <v>79.936859131000006</v>
      </c>
      <c r="E804">
        <v>50</v>
      </c>
      <c r="F804">
        <v>44.330883026000002</v>
      </c>
      <c r="G804">
        <v>1386.9844971</v>
      </c>
      <c r="H804">
        <v>1373.0789795000001</v>
      </c>
      <c r="I804">
        <v>1283.0706786999999</v>
      </c>
      <c r="J804">
        <v>1263.4719238</v>
      </c>
      <c r="K804">
        <v>2400</v>
      </c>
      <c r="L804">
        <v>0</v>
      </c>
      <c r="M804">
        <v>0</v>
      </c>
      <c r="N804">
        <v>2400</v>
      </c>
    </row>
    <row r="805" spans="1:14" x14ac:dyDescent="0.25">
      <c r="A805">
        <v>425.745812</v>
      </c>
      <c r="B805" s="1">
        <f>DATE(2011,6,30) + TIME(17,53,58)</f>
        <v>40724.745810185188</v>
      </c>
      <c r="C805">
        <v>80</v>
      </c>
      <c r="D805">
        <v>79.936889648000005</v>
      </c>
      <c r="E805">
        <v>50</v>
      </c>
      <c r="F805">
        <v>44.248607634999999</v>
      </c>
      <c r="G805">
        <v>1386.9133300999999</v>
      </c>
      <c r="H805">
        <v>1373.0170897999999</v>
      </c>
      <c r="I805">
        <v>1283.0021973</v>
      </c>
      <c r="J805">
        <v>1263.3804932</v>
      </c>
      <c r="K805">
        <v>2400</v>
      </c>
      <c r="L805">
        <v>0</v>
      </c>
      <c r="M805">
        <v>0</v>
      </c>
      <c r="N805">
        <v>2400</v>
      </c>
    </row>
    <row r="806" spans="1:14" x14ac:dyDescent="0.25">
      <c r="A806">
        <v>426</v>
      </c>
      <c r="B806" s="1">
        <f>DATE(2011,7,1) + TIME(0,0,0)</f>
        <v>40725</v>
      </c>
      <c r="C806">
        <v>80</v>
      </c>
      <c r="D806">
        <v>79.936889648000005</v>
      </c>
      <c r="E806">
        <v>50</v>
      </c>
      <c r="F806">
        <v>44.214130402000002</v>
      </c>
      <c r="G806">
        <v>1386.8428954999999</v>
      </c>
      <c r="H806">
        <v>1372.9556885</v>
      </c>
      <c r="I806">
        <v>1282.9302978999999</v>
      </c>
      <c r="J806">
        <v>1263.2990723</v>
      </c>
      <c r="K806">
        <v>2400</v>
      </c>
      <c r="L806">
        <v>0</v>
      </c>
      <c r="M806">
        <v>0</v>
      </c>
      <c r="N806">
        <v>2400</v>
      </c>
    </row>
    <row r="807" spans="1:14" x14ac:dyDescent="0.25">
      <c r="A807">
        <v>427.024832</v>
      </c>
      <c r="B807" s="1">
        <f>DATE(2011,7,2) + TIME(0,35,45)</f>
        <v>40726.024826388886</v>
      </c>
      <c r="C807">
        <v>80</v>
      </c>
      <c r="D807">
        <v>79.936927795000003</v>
      </c>
      <c r="E807">
        <v>50</v>
      </c>
      <c r="F807">
        <v>44.137668609999999</v>
      </c>
      <c r="G807">
        <v>1386.8244629000001</v>
      </c>
      <c r="H807">
        <v>1372.9395752</v>
      </c>
      <c r="I807">
        <v>1282.9130858999999</v>
      </c>
      <c r="J807">
        <v>1263.2591553</v>
      </c>
      <c r="K807">
        <v>2400</v>
      </c>
      <c r="L807">
        <v>0</v>
      </c>
      <c r="M807">
        <v>0</v>
      </c>
      <c r="N807">
        <v>2400</v>
      </c>
    </row>
    <row r="808" spans="1:14" x14ac:dyDescent="0.25">
      <c r="A808">
        <v>428.069455</v>
      </c>
      <c r="B808" s="1">
        <f>DATE(2011,7,3) + TIME(1,40,0)</f>
        <v>40727.069444444445</v>
      </c>
      <c r="C808">
        <v>80</v>
      </c>
      <c r="D808">
        <v>79.936965942</v>
      </c>
      <c r="E808">
        <v>50</v>
      </c>
      <c r="F808">
        <v>44.055778502999999</v>
      </c>
      <c r="G808">
        <v>1386.7541504000001</v>
      </c>
      <c r="H808">
        <v>1372.878418</v>
      </c>
      <c r="I808">
        <v>1282.8404541</v>
      </c>
      <c r="J808">
        <v>1263.1625977000001</v>
      </c>
      <c r="K808">
        <v>2400</v>
      </c>
      <c r="L808">
        <v>0</v>
      </c>
      <c r="M808">
        <v>0</v>
      </c>
      <c r="N808">
        <v>2400</v>
      </c>
    </row>
    <row r="809" spans="1:14" x14ac:dyDescent="0.25">
      <c r="A809">
        <v>429.13267000000002</v>
      </c>
      <c r="B809" s="1">
        <f>DATE(2011,7,4) + TIME(3,11,2)</f>
        <v>40728.132662037038</v>
      </c>
      <c r="C809">
        <v>80</v>
      </c>
      <c r="D809">
        <v>79.936996460000003</v>
      </c>
      <c r="E809">
        <v>50</v>
      </c>
      <c r="F809">
        <v>43.970226287999999</v>
      </c>
      <c r="G809">
        <v>1386.6831055</v>
      </c>
      <c r="H809">
        <v>1372.8165283000001</v>
      </c>
      <c r="I809">
        <v>1282.7648925999999</v>
      </c>
      <c r="J809">
        <v>1263.0611572</v>
      </c>
      <c r="K809">
        <v>2400</v>
      </c>
      <c r="L809">
        <v>0</v>
      </c>
      <c r="M809">
        <v>0</v>
      </c>
      <c r="N809">
        <v>2400</v>
      </c>
    </row>
    <row r="810" spans="1:14" x14ac:dyDescent="0.25">
      <c r="A810">
        <v>430.21628299999998</v>
      </c>
      <c r="B810" s="1">
        <f>DATE(2011,7,5) + TIME(5,11,26)</f>
        <v>40729.216273148151</v>
      </c>
      <c r="C810">
        <v>80</v>
      </c>
      <c r="D810">
        <v>79.937034607000001</v>
      </c>
      <c r="E810">
        <v>50</v>
      </c>
      <c r="F810">
        <v>43.881778717000003</v>
      </c>
      <c r="G810">
        <v>1386.6118164</v>
      </c>
      <c r="H810">
        <v>1372.7542725000001</v>
      </c>
      <c r="I810">
        <v>1282.6865233999999</v>
      </c>
      <c r="J810">
        <v>1262.9553223</v>
      </c>
      <c r="K810">
        <v>2400</v>
      </c>
      <c r="L810">
        <v>0</v>
      </c>
      <c r="M810">
        <v>0</v>
      </c>
      <c r="N810">
        <v>2400</v>
      </c>
    </row>
    <row r="811" spans="1:14" x14ac:dyDescent="0.25">
      <c r="A811">
        <v>431.31439699999999</v>
      </c>
      <c r="B811" s="1">
        <f>DATE(2011,7,6) + TIME(7,32,43)</f>
        <v>40730.314386574071</v>
      </c>
      <c r="C811">
        <v>80</v>
      </c>
      <c r="D811">
        <v>79.937072753999999</v>
      </c>
      <c r="E811">
        <v>50</v>
      </c>
      <c r="F811">
        <v>43.790962219000001</v>
      </c>
      <c r="G811">
        <v>1386.5401611</v>
      </c>
      <c r="H811">
        <v>1372.6916504000001</v>
      </c>
      <c r="I811">
        <v>1282.6052245999999</v>
      </c>
      <c r="J811">
        <v>1262.8449707</v>
      </c>
      <c r="K811">
        <v>2400</v>
      </c>
      <c r="L811">
        <v>0</v>
      </c>
      <c r="M811">
        <v>0</v>
      </c>
      <c r="N811">
        <v>2400</v>
      </c>
    </row>
    <row r="812" spans="1:14" x14ac:dyDescent="0.25">
      <c r="A812">
        <v>432.41950100000003</v>
      </c>
      <c r="B812" s="1">
        <f>DATE(2011,7,7) + TIME(10,4,4)</f>
        <v>40731.419490740744</v>
      </c>
      <c r="C812">
        <v>80</v>
      </c>
      <c r="D812">
        <v>79.937103270999998</v>
      </c>
      <c r="E812">
        <v>50</v>
      </c>
      <c r="F812">
        <v>43.698322296000001</v>
      </c>
      <c r="G812">
        <v>1386.4683838000001</v>
      </c>
      <c r="H812">
        <v>1372.6290283000001</v>
      </c>
      <c r="I812">
        <v>1282.5213623</v>
      </c>
      <c r="J812">
        <v>1262.7305908000001</v>
      </c>
      <c r="K812">
        <v>2400</v>
      </c>
      <c r="L812">
        <v>0</v>
      </c>
      <c r="M812">
        <v>0</v>
      </c>
      <c r="N812">
        <v>2400</v>
      </c>
    </row>
    <row r="813" spans="1:14" x14ac:dyDescent="0.25">
      <c r="A813">
        <v>433.53315700000002</v>
      </c>
      <c r="B813" s="1">
        <f>DATE(2011,7,8) + TIME(12,47,44)</f>
        <v>40732.533148148148</v>
      </c>
      <c r="C813">
        <v>80</v>
      </c>
      <c r="D813">
        <v>79.937141417999996</v>
      </c>
      <c r="E813">
        <v>50</v>
      </c>
      <c r="F813">
        <v>43.604084014999998</v>
      </c>
      <c r="G813">
        <v>1386.3972168</v>
      </c>
      <c r="H813">
        <v>1372.5668945</v>
      </c>
      <c r="I813">
        <v>1282.4353027</v>
      </c>
      <c r="J813">
        <v>1262.612793</v>
      </c>
      <c r="K813">
        <v>2400</v>
      </c>
      <c r="L813">
        <v>0</v>
      </c>
      <c r="M813">
        <v>0</v>
      </c>
      <c r="N813">
        <v>2400</v>
      </c>
    </row>
    <row r="814" spans="1:14" x14ac:dyDescent="0.25">
      <c r="A814">
        <v>434.65699799999999</v>
      </c>
      <c r="B814" s="1">
        <f>DATE(2011,7,9) + TIME(15,46,4)</f>
        <v>40733.656990740739</v>
      </c>
      <c r="C814">
        <v>80</v>
      </c>
      <c r="D814">
        <v>79.937179564999994</v>
      </c>
      <c r="E814">
        <v>50</v>
      </c>
      <c r="F814">
        <v>43.508247375000003</v>
      </c>
      <c r="G814">
        <v>1386.3264160000001</v>
      </c>
      <c r="H814">
        <v>1372.5050048999999</v>
      </c>
      <c r="I814">
        <v>1282.3470459</v>
      </c>
      <c r="J814">
        <v>1262.4914550999999</v>
      </c>
      <c r="K814">
        <v>2400</v>
      </c>
      <c r="L814">
        <v>0</v>
      </c>
      <c r="M814">
        <v>0</v>
      </c>
      <c r="N814">
        <v>2400</v>
      </c>
    </row>
    <row r="815" spans="1:14" x14ac:dyDescent="0.25">
      <c r="A815">
        <v>435.79361399999999</v>
      </c>
      <c r="B815" s="1">
        <f>DATE(2011,7,10) + TIME(19,2,48)</f>
        <v>40734.793611111112</v>
      </c>
      <c r="C815">
        <v>80</v>
      </c>
      <c r="D815">
        <v>79.937225342000005</v>
      </c>
      <c r="E815">
        <v>50</v>
      </c>
      <c r="F815">
        <v>43.410659789999997</v>
      </c>
      <c r="G815">
        <v>1386.2558594</v>
      </c>
      <c r="H815">
        <v>1372.4432373</v>
      </c>
      <c r="I815">
        <v>1282.2564697</v>
      </c>
      <c r="J815">
        <v>1262.3662108999999</v>
      </c>
      <c r="K815">
        <v>2400</v>
      </c>
      <c r="L815">
        <v>0</v>
      </c>
      <c r="M815">
        <v>0</v>
      </c>
      <c r="N815">
        <v>2400</v>
      </c>
    </row>
    <row r="816" spans="1:14" x14ac:dyDescent="0.25">
      <c r="A816">
        <v>436.94570099999999</v>
      </c>
      <c r="B816" s="1">
        <f>DATE(2011,7,11) + TIME(22,41,48)</f>
        <v>40735.945694444446</v>
      </c>
      <c r="C816">
        <v>80</v>
      </c>
      <c r="D816">
        <v>79.937263489000003</v>
      </c>
      <c r="E816">
        <v>50</v>
      </c>
      <c r="F816">
        <v>43.311092377000001</v>
      </c>
      <c r="G816">
        <v>1386.1854248</v>
      </c>
      <c r="H816">
        <v>1372.3815918</v>
      </c>
      <c r="I816">
        <v>1282.1630858999999</v>
      </c>
      <c r="J816">
        <v>1262.2369385</v>
      </c>
      <c r="K816">
        <v>2400</v>
      </c>
      <c r="L816">
        <v>0</v>
      </c>
      <c r="M816">
        <v>0</v>
      </c>
      <c r="N816">
        <v>2400</v>
      </c>
    </row>
    <row r="817" spans="1:14" x14ac:dyDescent="0.25">
      <c r="A817">
        <v>438.11360999999999</v>
      </c>
      <c r="B817" s="1">
        <f>DATE(2011,7,13) + TIME(2,43,35)</f>
        <v>40737.113599537035</v>
      </c>
      <c r="C817">
        <v>80</v>
      </c>
      <c r="D817">
        <v>79.937301636000001</v>
      </c>
      <c r="E817">
        <v>50</v>
      </c>
      <c r="F817">
        <v>43.209354400999999</v>
      </c>
      <c r="G817">
        <v>1386.1149902</v>
      </c>
      <c r="H817">
        <v>1372.3199463000001</v>
      </c>
      <c r="I817">
        <v>1282.0668945</v>
      </c>
      <c r="J817">
        <v>1262.1030272999999</v>
      </c>
      <c r="K817">
        <v>2400</v>
      </c>
      <c r="L817">
        <v>0</v>
      </c>
      <c r="M817">
        <v>0</v>
      </c>
      <c r="N817">
        <v>2400</v>
      </c>
    </row>
    <row r="818" spans="1:14" x14ac:dyDescent="0.25">
      <c r="A818">
        <v>439.29322000000002</v>
      </c>
      <c r="B818" s="1">
        <f>DATE(2011,7,14) + TIME(7,2,14)</f>
        <v>40738.293217592596</v>
      </c>
      <c r="C818">
        <v>80</v>
      </c>
      <c r="D818">
        <v>79.937347411999994</v>
      </c>
      <c r="E818">
        <v>50</v>
      </c>
      <c r="F818">
        <v>43.10546875</v>
      </c>
      <c r="G818">
        <v>1386.0445557</v>
      </c>
      <c r="H818">
        <v>1372.2581786999999</v>
      </c>
      <c r="I818">
        <v>1281.9676514</v>
      </c>
      <c r="J818">
        <v>1261.9643555</v>
      </c>
      <c r="K818">
        <v>2400</v>
      </c>
      <c r="L818">
        <v>0</v>
      </c>
      <c r="M818">
        <v>0</v>
      </c>
      <c r="N818">
        <v>2400</v>
      </c>
    </row>
    <row r="819" spans="1:14" x14ac:dyDescent="0.25">
      <c r="A819">
        <v>440.48506900000001</v>
      </c>
      <c r="B819" s="1">
        <f>DATE(2011,7,15) + TIME(11,38,29)</f>
        <v>40739.48505787037</v>
      </c>
      <c r="C819">
        <v>80</v>
      </c>
      <c r="D819">
        <v>79.937393188000001</v>
      </c>
      <c r="E819">
        <v>50</v>
      </c>
      <c r="F819">
        <v>42.999439240000001</v>
      </c>
      <c r="G819">
        <v>1385.9742432</v>
      </c>
      <c r="H819">
        <v>1372.1965332</v>
      </c>
      <c r="I819">
        <v>1281.8654785000001</v>
      </c>
      <c r="J819">
        <v>1261.8211670000001</v>
      </c>
      <c r="K819">
        <v>2400</v>
      </c>
      <c r="L819">
        <v>0</v>
      </c>
      <c r="M819">
        <v>0</v>
      </c>
      <c r="N819">
        <v>2400</v>
      </c>
    </row>
    <row r="820" spans="1:14" x14ac:dyDescent="0.25">
      <c r="A820">
        <v>441.69174199999998</v>
      </c>
      <c r="B820" s="1">
        <f>DATE(2011,7,16) + TIME(16,36,6)</f>
        <v>40740.691736111112</v>
      </c>
      <c r="C820">
        <v>80</v>
      </c>
      <c r="D820">
        <v>79.937438964999998</v>
      </c>
      <c r="E820">
        <v>50</v>
      </c>
      <c r="F820">
        <v>42.891109467</v>
      </c>
      <c r="G820">
        <v>1385.9041748</v>
      </c>
      <c r="H820">
        <v>1372.1350098</v>
      </c>
      <c r="I820">
        <v>1281.7606201000001</v>
      </c>
      <c r="J820">
        <v>1261.6734618999999</v>
      </c>
      <c r="K820">
        <v>2400</v>
      </c>
      <c r="L820">
        <v>0</v>
      </c>
      <c r="M820">
        <v>0</v>
      </c>
      <c r="N820">
        <v>2400</v>
      </c>
    </row>
    <row r="821" spans="1:14" x14ac:dyDescent="0.25">
      <c r="A821">
        <v>442.916066</v>
      </c>
      <c r="B821" s="1">
        <f>DATE(2011,7,17) + TIME(21,59,8)</f>
        <v>40741.916064814817</v>
      </c>
      <c r="C821">
        <v>80</v>
      </c>
      <c r="D821">
        <v>79.937484741000006</v>
      </c>
      <c r="E821">
        <v>50</v>
      </c>
      <c r="F821">
        <v>42.780227660999998</v>
      </c>
      <c r="G821">
        <v>1385.8341064000001</v>
      </c>
      <c r="H821">
        <v>1372.0734863</v>
      </c>
      <c r="I821">
        <v>1281.6524658000001</v>
      </c>
      <c r="J821">
        <v>1261.5206298999999</v>
      </c>
      <c r="K821">
        <v>2400</v>
      </c>
      <c r="L821">
        <v>0</v>
      </c>
      <c r="M821">
        <v>0</v>
      </c>
      <c r="N821">
        <v>2400</v>
      </c>
    </row>
    <row r="822" spans="1:14" x14ac:dyDescent="0.25">
      <c r="A822">
        <v>444.15569699999998</v>
      </c>
      <c r="B822" s="1">
        <f>DATE(2011,7,19) + TIME(3,44,12)</f>
        <v>40743.155694444446</v>
      </c>
      <c r="C822">
        <v>80</v>
      </c>
      <c r="D822">
        <v>79.937530518000003</v>
      </c>
      <c r="E822">
        <v>50</v>
      </c>
      <c r="F822">
        <v>42.666687011999997</v>
      </c>
      <c r="G822">
        <v>1385.7639160000001</v>
      </c>
      <c r="H822">
        <v>1372.0118408000001</v>
      </c>
      <c r="I822">
        <v>1281.5408935999999</v>
      </c>
      <c r="J822">
        <v>1261.3624268000001</v>
      </c>
      <c r="K822">
        <v>2400</v>
      </c>
      <c r="L822">
        <v>0</v>
      </c>
      <c r="M822">
        <v>0</v>
      </c>
      <c r="N822">
        <v>2400</v>
      </c>
    </row>
    <row r="823" spans="1:14" x14ac:dyDescent="0.25">
      <c r="A823">
        <v>445.40059100000002</v>
      </c>
      <c r="B823" s="1">
        <f>DATE(2011,7,20) + TIME(9,36,51)</f>
        <v>40744.400590277779</v>
      </c>
      <c r="C823">
        <v>80</v>
      </c>
      <c r="D823">
        <v>79.937576293999996</v>
      </c>
      <c r="E823">
        <v>50</v>
      </c>
      <c r="F823">
        <v>42.550807953000003</v>
      </c>
      <c r="G823">
        <v>1385.6937256000001</v>
      </c>
      <c r="H823">
        <v>1371.9500731999999</v>
      </c>
      <c r="I823">
        <v>1281.4260254000001</v>
      </c>
      <c r="J823">
        <v>1261.1989745999999</v>
      </c>
      <c r="K823">
        <v>2400</v>
      </c>
      <c r="L823">
        <v>0</v>
      </c>
      <c r="M823">
        <v>0</v>
      </c>
      <c r="N823">
        <v>2400</v>
      </c>
    </row>
    <row r="824" spans="1:14" x14ac:dyDescent="0.25">
      <c r="A824">
        <v>446.65358500000002</v>
      </c>
      <c r="B824" s="1">
        <f>DATE(2011,7,21) + TIME(15,41,9)</f>
        <v>40745.65357638889</v>
      </c>
      <c r="C824">
        <v>80</v>
      </c>
      <c r="D824">
        <v>79.937622070000003</v>
      </c>
      <c r="E824">
        <v>50</v>
      </c>
      <c r="F824">
        <v>42.432735442999999</v>
      </c>
      <c r="G824">
        <v>1385.6241454999999</v>
      </c>
      <c r="H824">
        <v>1371.8889160000001</v>
      </c>
      <c r="I824">
        <v>1281.3087158000001</v>
      </c>
      <c r="J824">
        <v>1261.03125</v>
      </c>
      <c r="K824">
        <v>2400</v>
      </c>
      <c r="L824">
        <v>0</v>
      </c>
      <c r="M824">
        <v>0</v>
      </c>
      <c r="N824">
        <v>2400</v>
      </c>
    </row>
    <row r="825" spans="1:14" x14ac:dyDescent="0.25">
      <c r="A825">
        <v>447.91718200000003</v>
      </c>
      <c r="B825" s="1">
        <f>DATE(2011,7,22) + TIME(22,0,44)</f>
        <v>40746.917175925926</v>
      </c>
      <c r="C825">
        <v>80</v>
      </c>
      <c r="D825">
        <v>79.937667847</v>
      </c>
      <c r="E825">
        <v>50</v>
      </c>
      <c r="F825">
        <v>42.312355042</v>
      </c>
      <c r="G825">
        <v>1385.5549315999999</v>
      </c>
      <c r="H825">
        <v>1371.8280029</v>
      </c>
      <c r="I825">
        <v>1281.1885986</v>
      </c>
      <c r="J825">
        <v>1260.8588867000001</v>
      </c>
      <c r="K825">
        <v>2400</v>
      </c>
      <c r="L825">
        <v>0</v>
      </c>
      <c r="M825">
        <v>0</v>
      </c>
      <c r="N825">
        <v>2400</v>
      </c>
    </row>
    <row r="826" spans="1:14" x14ac:dyDescent="0.25">
      <c r="A826">
        <v>449.19421899999998</v>
      </c>
      <c r="B826" s="1">
        <f>DATE(2011,7,24) + TIME(4,39,40)</f>
        <v>40748.194212962961</v>
      </c>
      <c r="C826">
        <v>80</v>
      </c>
      <c r="D826">
        <v>79.937721252000003</v>
      </c>
      <c r="E826">
        <v>50</v>
      </c>
      <c r="F826">
        <v>42.189411163000003</v>
      </c>
      <c r="G826">
        <v>1385.4860839999999</v>
      </c>
      <c r="H826">
        <v>1371.7672118999999</v>
      </c>
      <c r="I826">
        <v>1281.0655518000001</v>
      </c>
      <c r="J826">
        <v>1260.6815185999999</v>
      </c>
      <c r="K826">
        <v>2400</v>
      </c>
      <c r="L826">
        <v>0</v>
      </c>
      <c r="M826">
        <v>0</v>
      </c>
      <c r="N826">
        <v>2400</v>
      </c>
    </row>
    <row r="827" spans="1:14" x14ac:dyDescent="0.25">
      <c r="A827">
        <v>450.487638</v>
      </c>
      <c r="B827" s="1">
        <f>DATE(2011,7,25) + TIME(11,42,11)</f>
        <v>40749.487627314818</v>
      </c>
      <c r="C827">
        <v>80</v>
      </c>
      <c r="D827">
        <v>79.937774657999995</v>
      </c>
      <c r="E827">
        <v>50</v>
      </c>
      <c r="F827">
        <v>42.063598632999998</v>
      </c>
      <c r="G827">
        <v>1385.4173584</v>
      </c>
      <c r="H827">
        <v>1371.7066649999999</v>
      </c>
      <c r="I827">
        <v>1280.9390868999999</v>
      </c>
      <c r="J827">
        <v>1260.4986572</v>
      </c>
      <c r="K827">
        <v>2400</v>
      </c>
      <c r="L827">
        <v>0</v>
      </c>
      <c r="M827">
        <v>0</v>
      </c>
      <c r="N827">
        <v>2400</v>
      </c>
    </row>
    <row r="828" spans="1:14" x14ac:dyDescent="0.25">
      <c r="A828">
        <v>451.80055499999997</v>
      </c>
      <c r="B828" s="1">
        <f>DATE(2011,7,26) + TIME(19,12,47)</f>
        <v>40750.800543981481</v>
      </c>
      <c r="C828">
        <v>80</v>
      </c>
      <c r="D828">
        <v>79.937820435000006</v>
      </c>
      <c r="E828">
        <v>50</v>
      </c>
      <c r="F828">
        <v>41.934551239000001</v>
      </c>
      <c r="G828">
        <v>1385.3485106999999</v>
      </c>
      <c r="H828">
        <v>1371.645874</v>
      </c>
      <c r="I828">
        <v>1280.809082</v>
      </c>
      <c r="J828">
        <v>1260.3098144999999</v>
      </c>
      <c r="K828">
        <v>2400</v>
      </c>
      <c r="L828">
        <v>0</v>
      </c>
      <c r="M828">
        <v>0</v>
      </c>
      <c r="N828">
        <v>2400</v>
      </c>
    </row>
    <row r="829" spans="1:14" x14ac:dyDescent="0.25">
      <c r="A829">
        <v>453.13628899999998</v>
      </c>
      <c r="B829" s="1">
        <f>DATE(2011,7,28) + TIME(3,16,15)</f>
        <v>40752.136284722219</v>
      </c>
      <c r="C829">
        <v>80</v>
      </c>
      <c r="D829">
        <v>79.937873839999995</v>
      </c>
      <c r="E829">
        <v>50</v>
      </c>
      <c r="F829">
        <v>41.801864623999997</v>
      </c>
      <c r="G829">
        <v>1385.2795410000001</v>
      </c>
      <c r="H829">
        <v>1371.5849608999999</v>
      </c>
      <c r="I829">
        <v>1280.6750488</v>
      </c>
      <c r="J829">
        <v>1260.1145019999999</v>
      </c>
      <c r="K829">
        <v>2400</v>
      </c>
      <c r="L829">
        <v>0</v>
      </c>
      <c r="M829">
        <v>0</v>
      </c>
      <c r="N829">
        <v>2400</v>
      </c>
    </row>
    <row r="830" spans="1:14" x14ac:dyDescent="0.25">
      <c r="A830">
        <v>454.48926299999999</v>
      </c>
      <c r="B830" s="1">
        <f>DATE(2011,7,29) + TIME(11,44,32)</f>
        <v>40753.489259259259</v>
      </c>
      <c r="C830">
        <v>80</v>
      </c>
      <c r="D830">
        <v>79.937934874999996</v>
      </c>
      <c r="E830">
        <v>50</v>
      </c>
      <c r="F830">
        <v>41.665466309000003</v>
      </c>
      <c r="G830">
        <v>1385.2102050999999</v>
      </c>
      <c r="H830">
        <v>1371.5236815999999</v>
      </c>
      <c r="I830">
        <v>1280.5366211</v>
      </c>
      <c r="J830">
        <v>1259.9121094</v>
      </c>
      <c r="K830">
        <v>2400</v>
      </c>
      <c r="L830">
        <v>0</v>
      </c>
      <c r="M830">
        <v>0</v>
      </c>
      <c r="N830">
        <v>2400</v>
      </c>
    </row>
    <row r="831" spans="1:14" x14ac:dyDescent="0.25">
      <c r="A831">
        <v>455.85034000000002</v>
      </c>
      <c r="B831" s="1">
        <f>DATE(2011,7,30) + TIME(20,24,29)</f>
        <v>40754.850335648145</v>
      </c>
      <c r="C831">
        <v>80</v>
      </c>
      <c r="D831">
        <v>79.937988281000003</v>
      </c>
      <c r="E831">
        <v>50</v>
      </c>
      <c r="F831">
        <v>41.525749206999997</v>
      </c>
      <c r="G831">
        <v>1385.1407471</v>
      </c>
      <c r="H831">
        <v>1371.4624022999999</v>
      </c>
      <c r="I831">
        <v>1280.3942870999999</v>
      </c>
      <c r="J831">
        <v>1259.7032471</v>
      </c>
      <c r="K831">
        <v>2400</v>
      </c>
      <c r="L831">
        <v>0</v>
      </c>
      <c r="M831">
        <v>0</v>
      </c>
      <c r="N831">
        <v>2400</v>
      </c>
    </row>
    <row r="832" spans="1:14" x14ac:dyDescent="0.25">
      <c r="A832">
        <v>457</v>
      </c>
      <c r="B832" s="1">
        <f>DATE(2011,8,1) + TIME(0,0,0)</f>
        <v>40756</v>
      </c>
      <c r="C832">
        <v>80</v>
      </c>
      <c r="D832">
        <v>79.938026428000001</v>
      </c>
      <c r="E832">
        <v>50</v>
      </c>
      <c r="F832">
        <v>41.393108368</v>
      </c>
      <c r="G832">
        <v>1385.0716553</v>
      </c>
      <c r="H832">
        <v>1371.4012451000001</v>
      </c>
      <c r="I832">
        <v>1280.2492675999999</v>
      </c>
      <c r="J832">
        <v>1259.4932861</v>
      </c>
      <c r="K832">
        <v>2400</v>
      </c>
      <c r="L832">
        <v>0</v>
      </c>
      <c r="M832">
        <v>0</v>
      </c>
      <c r="N832">
        <v>2400</v>
      </c>
    </row>
    <row r="833" spans="1:14" x14ac:dyDescent="0.25">
      <c r="A833">
        <v>458.37229600000001</v>
      </c>
      <c r="B833" s="1">
        <f>DATE(2011,8,2) + TIME(8,56,6)</f>
        <v>40757.372291666667</v>
      </c>
      <c r="C833">
        <v>80</v>
      </c>
      <c r="D833">
        <v>79.938087463000002</v>
      </c>
      <c r="E833">
        <v>50</v>
      </c>
      <c r="F833">
        <v>41.255790709999999</v>
      </c>
      <c r="G833">
        <v>1385.0140381000001</v>
      </c>
      <c r="H833">
        <v>1371.3502197</v>
      </c>
      <c r="I833">
        <v>1280.1231689000001</v>
      </c>
      <c r="J833">
        <v>1259.3009033000001</v>
      </c>
      <c r="K833">
        <v>2400</v>
      </c>
      <c r="L833">
        <v>0</v>
      </c>
      <c r="M833">
        <v>0</v>
      </c>
      <c r="N833">
        <v>2400</v>
      </c>
    </row>
    <row r="834" spans="1:14" x14ac:dyDescent="0.25">
      <c r="A834">
        <v>459.76779699999997</v>
      </c>
      <c r="B834" s="1">
        <f>DATE(2011,8,3) + TIME(18,25,37)</f>
        <v>40758.767789351848</v>
      </c>
      <c r="C834">
        <v>80</v>
      </c>
      <c r="D834">
        <v>79.938148498999993</v>
      </c>
      <c r="E834">
        <v>50</v>
      </c>
      <c r="F834">
        <v>41.110458373999997</v>
      </c>
      <c r="G834">
        <v>1384.9461670000001</v>
      </c>
      <c r="H834">
        <v>1371.2900391000001</v>
      </c>
      <c r="I834">
        <v>1279.9733887</v>
      </c>
      <c r="J834">
        <v>1259.0795897999999</v>
      </c>
      <c r="K834">
        <v>2400</v>
      </c>
      <c r="L834">
        <v>0</v>
      </c>
      <c r="M834">
        <v>0</v>
      </c>
      <c r="N834">
        <v>2400</v>
      </c>
    </row>
    <row r="835" spans="1:14" x14ac:dyDescent="0.25">
      <c r="A835">
        <v>461.17081300000001</v>
      </c>
      <c r="B835" s="1">
        <f>DATE(2011,8,5) + TIME(4,5,58)</f>
        <v>40760.170810185184</v>
      </c>
      <c r="C835">
        <v>80</v>
      </c>
      <c r="D835">
        <v>79.938201903999996</v>
      </c>
      <c r="E835">
        <v>50</v>
      </c>
      <c r="F835">
        <v>40.959808350000003</v>
      </c>
      <c r="G835">
        <v>1384.8776855000001</v>
      </c>
      <c r="H835">
        <v>1371.2293701000001</v>
      </c>
      <c r="I835">
        <v>1279.8186035000001</v>
      </c>
      <c r="J835">
        <v>1258.8496094</v>
      </c>
      <c r="K835">
        <v>2400</v>
      </c>
      <c r="L835">
        <v>0</v>
      </c>
      <c r="M835">
        <v>0</v>
      </c>
      <c r="N835">
        <v>2400</v>
      </c>
    </row>
    <row r="836" spans="1:14" x14ac:dyDescent="0.25">
      <c r="A836">
        <v>462.58535000000001</v>
      </c>
      <c r="B836" s="1">
        <f>DATE(2011,8,6) + TIME(14,2,54)</f>
        <v>40761.585347222222</v>
      </c>
      <c r="C836">
        <v>80</v>
      </c>
      <c r="D836">
        <v>79.938262938999998</v>
      </c>
      <c r="E836">
        <v>50</v>
      </c>
      <c r="F836">
        <v>40.805103301999999</v>
      </c>
      <c r="G836">
        <v>1384.8098144999999</v>
      </c>
      <c r="H836">
        <v>1371.1690673999999</v>
      </c>
      <c r="I836">
        <v>1279.6606445</v>
      </c>
      <c r="J836">
        <v>1258.6135254000001</v>
      </c>
      <c r="K836">
        <v>2400</v>
      </c>
      <c r="L836">
        <v>0</v>
      </c>
      <c r="M836">
        <v>0</v>
      </c>
      <c r="N836">
        <v>2400</v>
      </c>
    </row>
    <row r="837" spans="1:14" x14ac:dyDescent="0.25">
      <c r="A837">
        <v>464.01445699999999</v>
      </c>
      <c r="B837" s="1">
        <f>DATE(2011,8,8) + TIME(0,20,49)</f>
        <v>40763.014456018522</v>
      </c>
      <c r="C837">
        <v>80</v>
      </c>
      <c r="D837">
        <v>79.938323975000003</v>
      </c>
      <c r="E837">
        <v>50</v>
      </c>
      <c r="F837">
        <v>40.646579742</v>
      </c>
      <c r="G837">
        <v>1384.7420654</v>
      </c>
      <c r="H837">
        <v>1371.1090088000001</v>
      </c>
      <c r="I837">
        <v>1279.4992675999999</v>
      </c>
      <c r="J837">
        <v>1258.3712158000001</v>
      </c>
      <c r="K837">
        <v>2400</v>
      </c>
      <c r="L837">
        <v>0</v>
      </c>
      <c r="M837">
        <v>0</v>
      </c>
      <c r="N837">
        <v>2400</v>
      </c>
    </row>
    <row r="838" spans="1:14" x14ac:dyDescent="0.25">
      <c r="A838">
        <v>465.46138400000001</v>
      </c>
      <c r="B838" s="1">
        <f>DATE(2011,8,9) + TIME(11,4,23)</f>
        <v>40764.461377314816</v>
      </c>
      <c r="C838">
        <v>80</v>
      </c>
      <c r="D838">
        <v>79.938385010000005</v>
      </c>
      <c r="E838">
        <v>50</v>
      </c>
      <c r="F838">
        <v>40.484073639000002</v>
      </c>
      <c r="G838">
        <v>1384.6744385</v>
      </c>
      <c r="H838">
        <v>1371.0488281</v>
      </c>
      <c r="I838">
        <v>1279.3341064000001</v>
      </c>
      <c r="J838">
        <v>1258.1223144999999</v>
      </c>
      <c r="K838">
        <v>2400</v>
      </c>
      <c r="L838">
        <v>0</v>
      </c>
      <c r="M838">
        <v>0</v>
      </c>
      <c r="N838">
        <v>2400</v>
      </c>
    </row>
    <row r="839" spans="1:14" x14ac:dyDescent="0.25">
      <c r="A839">
        <v>466.929531</v>
      </c>
      <c r="B839" s="1">
        <f>DATE(2011,8,10) + TIME(22,18,31)</f>
        <v>40765.929525462961</v>
      </c>
      <c r="C839">
        <v>80</v>
      </c>
      <c r="D839">
        <v>79.938446045000006</v>
      </c>
      <c r="E839">
        <v>50</v>
      </c>
      <c r="F839">
        <v>40.317249298</v>
      </c>
      <c r="G839">
        <v>1384.6066894999999</v>
      </c>
      <c r="H839">
        <v>1370.9886475000001</v>
      </c>
      <c r="I839">
        <v>1279.1650391000001</v>
      </c>
      <c r="J839">
        <v>1257.8663329999999</v>
      </c>
      <c r="K839">
        <v>2400</v>
      </c>
      <c r="L839">
        <v>0</v>
      </c>
      <c r="M839">
        <v>0</v>
      </c>
      <c r="N839">
        <v>2400</v>
      </c>
    </row>
    <row r="840" spans="1:14" x14ac:dyDescent="0.25">
      <c r="A840">
        <v>468.418249</v>
      </c>
      <c r="B840" s="1">
        <f>DATE(2011,8,12) + TIME(10,2,16)</f>
        <v>40767.418240740742</v>
      </c>
      <c r="C840">
        <v>80</v>
      </c>
      <c r="D840">
        <v>79.938507079999994</v>
      </c>
      <c r="E840">
        <v>50</v>
      </c>
      <c r="F840">
        <v>40.145839690999999</v>
      </c>
      <c r="G840">
        <v>1384.5386963000001</v>
      </c>
      <c r="H840">
        <v>1370.9282227000001</v>
      </c>
      <c r="I840">
        <v>1278.9913329999999</v>
      </c>
      <c r="J840">
        <v>1257.6025391000001</v>
      </c>
      <c r="K840">
        <v>2400</v>
      </c>
      <c r="L840">
        <v>0</v>
      </c>
      <c r="M840">
        <v>0</v>
      </c>
      <c r="N840">
        <v>2400</v>
      </c>
    </row>
    <row r="841" spans="1:14" x14ac:dyDescent="0.25">
      <c r="A841">
        <v>469.91445900000002</v>
      </c>
      <c r="B841" s="1">
        <f>DATE(2011,8,13) + TIME(21,56,49)</f>
        <v>40768.914456018516</v>
      </c>
      <c r="C841">
        <v>80</v>
      </c>
      <c r="D841">
        <v>79.938568114999995</v>
      </c>
      <c r="E841">
        <v>50</v>
      </c>
      <c r="F841">
        <v>39.970310210999997</v>
      </c>
      <c r="G841">
        <v>1384.4705810999999</v>
      </c>
      <c r="H841">
        <v>1370.8675536999999</v>
      </c>
      <c r="I841">
        <v>1278.8132324000001</v>
      </c>
      <c r="J841">
        <v>1257.3312988</v>
      </c>
      <c r="K841">
        <v>2400</v>
      </c>
      <c r="L841">
        <v>0</v>
      </c>
      <c r="M841">
        <v>0</v>
      </c>
      <c r="N841">
        <v>2400</v>
      </c>
    </row>
    <row r="842" spans="1:14" x14ac:dyDescent="0.25">
      <c r="A842">
        <v>471.42109799999997</v>
      </c>
      <c r="B842" s="1">
        <f>DATE(2011,8,15) + TIME(10,6,22)</f>
        <v>40770.421087962961</v>
      </c>
      <c r="C842">
        <v>80</v>
      </c>
      <c r="D842">
        <v>79.938636779999996</v>
      </c>
      <c r="E842">
        <v>50</v>
      </c>
      <c r="F842">
        <v>39.791149138999998</v>
      </c>
      <c r="G842">
        <v>1384.4029541</v>
      </c>
      <c r="H842">
        <v>1370.807251</v>
      </c>
      <c r="I842">
        <v>1278.6323242000001</v>
      </c>
      <c r="J842">
        <v>1257.0541992000001</v>
      </c>
      <c r="K842">
        <v>2400</v>
      </c>
      <c r="L842">
        <v>0</v>
      </c>
      <c r="M842">
        <v>0</v>
      </c>
      <c r="N842">
        <v>2400</v>
      </c>
    </row>
    <row r="843" spans="1:14" x14ac:dyDescent="0.25">
      <c r="A843">
        <v>472.941509</v>
      </c>
      <c r="B843" s="1">
        <f>DATE(2011,8,16) + TIME(22,35,46)</f>
        <v>40771.941504629627</v>
      </c>
      <c r="C843">
        <v>80</v>
      </c>
      <c r="D843">
        <v>79.938697814999998</v>
      </c>
      <c r="E843">
        <v>50</v>
      </c>
      <c r="F843">
        <v>39.608219147</v>
      </c>
      <c r="G843">
        <v>1384.3354492000001</v>
      </c>
      <c r="H843">
        <v>1370.7470702999999</v>
      </c>
      <c r="I843">
        <v>1278.4481201000001</v>
      </c>
      <c r="J843">
        <v>1256.7712402</v>
      </c>
      <c r="K843">
        <v>2400</v>
      </c>
      <c r="L843">
        <v>0</v>
      </c>
      <c r="M843">
        <v>0</v>
      </c>
      <c r="N843">
        <v>2400</v>
      </c>
    </row>
    <row r="844" spans="1:14" x14ac:dyDescent="0.25">
      <c r="A844">
        <v>474.479128</v>
      </c>
      <c r="B844" s="1">
        <f>DATE(2011,8,18) + TIME(11,29,56)</f>
        <v>40773.479120370372</v>
      </c>
      <c r="C844">
        <v>80</v>
      </c>
      <c r="D844">
        <v>79.938766478999995</v>
      </c>
      <c r="E844">
        <v>50</v>
      </c>
      <c r="F844">
        <v>39.421234130999999</v>
      </c>
      <c r="G844">
        <v>1384.2681885</v>
      </c>
      <c r="H844">
        <v>1370.6870117000001</v>
      </c>
      <c r="I844">
        <v>1278.260376</v>
      </c>
      <c r="J844">
        <v>1256.4815673999999</v>
      </c>
      <c r="K844">
        <v>2400</v>
      </c>
      <c r="L844">
        <v>0</v>
      </c>
      <c r="M844">
        <v>0</v>
      </c>
      <c r="N844">
        <v>2400</v>
      </c>
    </row>
    <row r="845" spans="1:14" x14ac:dyDescent="0.25">
      <c r="A845">
        <v>476.03754300000003</v>
      </c>
      <c r="B845" s="1">
        <f>DATE(2011,8,20) + TIME(0,54,3)</f>
        <v>40775.037534722222</v>
      </c>
      <c r="C845">
        <v>80</v>
      </c>
      <c r="D845">
        <v>79.938835143999995</v>
      </c>
      <c r="E845">
        <v>50</v>
      </c>
      <c r="F845">
        <v>39.229797363000003</v>
      </c>
      <c r="G845">
        <v>1384.2008057</v>
      </c>
      <c r="H845">
        <v>1370.6268310999999</v>
      </c>
      <c r="I845">
        <v>1278.0688477000001</v>
      </c>
      <c r="J845">
        <v>1256.1848144999999</v>
      </c>
      <c r="K845">
        <v>2400</v>
      </c>
      <c r="L845">
        <v>0</v>
      </c>
      <c r="M845">
        <v>0</v>
      </c>
      <c r="N845">
        <v>2400</v>
      </c>
    </row>
    <row r="846" spans="1:14" x14ac:dyDescent="0.25">
      <c r="A846">
        <v>477.60569600000002</v>
      </c>
      <c r="B846" s="1">
        <f>DATE(2011,8,21) + TIME(14,32,12)</f>
        <v>40776.605694444443</v>
      </c>
      <c r="C846">
        <v>80</v>
      </c>
      <c r="D846">
        <v>79.938896178999997</v>
      </c>
      <c r="E846">
        <v>50</v>
      </c>
      <c r="F846">
        <v>39.034126282000003</v>
      </c>
      <c r="G846">
        <v>1384.1331786999999</v>
      </c>
      <c r="H846">
        <v>1370.5664062000001</v>
      </c>
      <c r="I846">
        <v>1277.8729248</v>
      </c>
      <c r="J846">
        <v>1255.8804932</v>
      </c>
      <c r="K846">
        <v>2400</v>
      </c>
      <c r="L846">
        <v>0</v>
      </c>
      <c r="M846">
        <v>0</v>
      </c>
      <c r="N846">
        <v>2400</v>
      </c>
    </row>
    <row r="847" spans="1:14" x14ac:dyDescent="0.25">
      <c r="A847">
        <v>479.18600400000003</v>
      </c>
      <c r="B847" s="1">
        <f>DATE(2011,8,23) + TIME(4,27,50)</f>
        <v>40778.185995370368</v>
      </c>
      <c r="C847">
        <v>80</v>
      </c>
      <c r="D847">
        <v>79.938964843999997</v>
      </c>
      <c r="E847">
        <v>50</v>
      </c>
      <c r="F847">
        <v>38.834587096999996</v>
      </c>
      <c r="G847">
        <v>1384.065918</v>
      </c>
      <c r="H847">
        <v>1370.5063477000001</v>
      </c>
      <c r="I847">
        <v>1277.6741943</v>
      </c>
      <c r="J847">
        <v>1255.5701904</v>
      </c>
      <c r="K847">
        <v>2400</v>
      </c>
      <c r="L847">
        <v>0</v>
      </c>
      <c r="M847">
        <v>0</v>
      </c>
      <c r="N847">
        <v>2400</v>
      </c>
    </row>
    <row r="848" spans="1:14" x14ac:dyDescent="0.25">
      <c r="A848">
        <v>480.78375799999998</v>
      </c>
      <c r="B848" s="1">
        <f>DATE(2011,8,24) + TIME(18,48,36)</f>
        <v>40779.783750000002</v>
      </c>
      <c r="C848">
        <v>80</v>
      </c>
      <c r="D848">
        <v>79.939033507999994</v>
      </c>
      <c r="E848">
        <v>50</v>
      </c>
      <c r="F848">
        <v>38.631008147999999</v>
      </c>
      <c r="G848">
        <v>1383.9989014</v>
      </c>
      <c r="H848">
        <v>1370.4462891000001</v>
      </c>
      <c r="I848">
        <v>1277.4722899999999</v>
      </c>
      <c r="J848">
        <v>1255.2536620999999</v>
      </c>
      <c r="K848">
        <v>2400</v>
      </c>
      <c r="L848">
        <v>0</v>
      </c>
      <c r="M848">
        <v>0</v>
      </c>
      <c r="N848">
        <v>2400</v>
      </c>
    </row>
    <row r="849" spans="1:14" x14ac:dyDescent="0.25">
      <c r="A849">
        <v>482.40208000000001</v>
      </c>
      <c r="B849" s="1">
        <f>DATE(2011,8,26) + TIME(9,38,59)</f>
        <v>40781.402071759258</v>
      </c>
      <c r="C849">
        <v>80</v>
      </c>
      <c r="D849">
        <v>79.939109802000004</v>
      </c>
      <c r="E849">
        <v>50</v>
      </c>
      <c r="F849">
        <v>38.423011780000003</v>
      </c>
      <c r="G849">
        <v>1383.9317627</v>
      </c>
      <c r="H849">
        <v>1370.3861084</v>
      </c>
      <c r="I849">
        <v>1277.2667236</v>
      </c>
      <c r="J849">
        <v>1254.9300536999999</v>
      </c>
      <c r="K849">
        <v>2400</v>
      </c>
      <c r="L849">
        <v>0</v>
      </c>
      <c r="M849">
        <v>0</v>
      </c>
      <c r="N849">
        <v>2400</v>
      </c>
    </row>
    <row r="850" spans="1:14" x14ac:dyDescent="0.25">
      <c r="A850">
        <v>484.03480999999999</v>
      </c>
      <c r="B850" s="1">
        <f>DATE(2011,8,28) + TIME(0,50,7)</f>
        <v>40783.034803240742</v>
      </c>
      <c r="C850">
        <v>80</v>
      </c>
      <c r="D850">
        <v>79.939178467000005</v>
      </c>
      <c r="E850">
        <v>50</v>
      </c>
      <c r="F850">
        <v>38.210639954000001</v>
      </c>
      <c r="G850">
        <v>1383.8645019999999</v>
      </c>
      <c r="H850">
        <v>1370.3258057</v>
      </c>
      <c r="I850">
        <v>1277.0571289</v>
      </c>
      <c r="J850">
        <v>1254.598999</v>
      </c>
      <c r="K850">
        <v>2400</v>
      </c>
      <c r="L850">
        <v>0</v>
      </c>
      <c r="M850">
        <v>0</v>
      </c>
      <c r="N850">
        <v>2400</v>
      </c>
    </row>
    <row r="851" spans="1:14" x14ac:dyDescent="0.25">
      <c r="A851">
        <v>485.67323299999998</v>
      </c>
      <c r="B851" s="1">
        <f>DATE(2011,8,29) + TIME(16,9,27)</f>
        <v>40784.673229166663</v>
      </c>
      <c r="C851">
        <v>80</v>
      </c>
      <c r="D851">
        <v>79.939247131000002</v>
      </c>
      <c r="E851">
        <v>50</v>
      </c>
      <c r="F851">
        <v>37.994575500000003</v>
      </c>
      <c r="G851">
        <v>1383.7972411999999</v>
      </c>
      <c r="H851">
        <v>1370.2653809000001</v>
      </c>
      <c r="I851">
        <v>1276.8443603999999</v>
      </c>
      <c r="J851">
        <v>1254.2615966999999</v>
      </c>
      <c r="K851">
        <v>2400</v>
      </c>
      <c r="L851">
        <v>0</v>
      </c>
      <c r="M851">
        <v>0</v>
      </c>
      <c r="N851">
        <v>2400</v>
      </c>
    </row>
    <row r="852" spans="1:14" x14ac:dyDescent="0.25">
      <c r="A852">
        <v>487.32249000000002</v>
      </c>
      <c r="B852" s="1">
        <f>DATE(2011,8,31) + TIME(7,44,23)</f>
        <v>40786.322488425925</v>
      </c>
      <c r="C852">
        <v>80</v>
      </c>
      <c r="D852">
        <v>79.939323424999998</v>
      </c>
      <c r="E852">
        <v>50</v>
      </c>
      <c r="F852">
        <v>37.775218963999997</v>
      </c>
      <c r="G852">
        <v>1383.7304687999999</v>
      </c>
      <c r="H852">
        <v>1370.2054443</v>
      </c>
      <c r="I852">
        <v>1276.6295166</v>
      </c>
      <c r="J852">
        <v>1253.9194336</v>
      </c>
      <c r="K852">
        <v>2400</v>
      </c>
      <c r="L852">
        <v>0</v>
      </c>
      <c r="M852">
        <v>0</v>
      </c>
      <c r="N852">
        <v>2400</v>
      </c>
    </row>
    <row r="853" spans="1:14" x14ac:dyDescent="0.25">
      <c r="A853">
        <v>488</v>
      </c>
      <c r="B853" s="1">
        <f>DATE(2011,9,1) + TIME(0,0,0)</f>
        <v>40787</v>
      </c>
      <c r="C853">
        <v>80</v>
      </c>
      <c r="D853">
        <v>79.939338684000006</v>
      </c>
      <c r="E853">
        <v>50</v>
      </c>
      <c r="F853">
        <v>37.627258300999998</v>
      </c>
      <c r="G853">
        <v>1383.6635742000001</v>
      </c>
      <c r="H853">
        <v>1370.1452637</v>
      </c>
      <c r="I853">
        <v>1276.4162598</v>
      </c>
      <c r="J853">
        <v>1253.6121826000001</v>
      </c>
      <c r="K853">
        <v>2400</v>
      </c>
      <c r="L853">
        <v>0</v>
      </c>
      <c r="M853">
        <v>0</v>
      </c>
      <c r="N853">
        <v>2400</v>
      </c>
    </row>
    <row r="854" spans="1:14" x14ac:dyDescent="0.25">
      <c r="A854">
        <v>489.664018</v>
      </c>
      <c r="B854" s="1">
        <f>DATE(2011,9,2) + TIME(15,56,11)</f>
        <v>40788.6640162037</v>
      </c>
      <c r="C854">
        <v>80</v>
      </c>
      <c r="D854">
        <v>79.939422606999997</v>
      </c>
      <c r="E854">
        <v>50</v>
      </c>
      <c r="F854">
        <v>37.440475464000002</v>
      </c>
      <c r="G854">
        <v>1383.6363524999999</v>
      </c>
      <c r="H854">
        <v>1370.1208495999999</v>
      </c>
      <c r="I854">
        <v>1276.317749</v>
      </c>
      <c r="J854">
        <v>1253.4105225000001</v>
      </c>
      <c r="K854">
        <v>2400</v>
      </c>
      <c r="L854">
        <v>0</v>
      </c>
      <c r="M854">
        <v>0</v>
      </c>
      <c r="N854">
        <v>2400</v>
      </c>
    </row>
    <row r="855" spans="1:14" x14ac:dyDescent="0.25">
      <c r="A855">
        <v>491.35450800000001</v>
      </c>
      <c r="B855" s="1">
        <f>DATE(2011,9,4) + TIME(8,30,29)</f>
        <v>40790.354502314818</v>
      </c>
      <c r="C855">
        <v>80</v>
      </c>
      <c r="D855">
        <v>79.939498900999993</v>
      </c>
      <c r="E855">
        <v>50</v>
      </c>
      <c r="F855">
        <v>37.225551605</v>
      </c>
      <c r="G855">
        <v>1383.5703125</v>
      </c>
      <c r="H855">
        <v>1370.0614014</v>
      </c>
      <c r="I855">
        <v>1276.1008300999999</v>
      </c>
      <c r="J855">
        <v>1253.0672606999999</v>
      </c>
      <c r="K855">
        <v>2400</v>
      </c>
      <c r="L855">
        <v>0</v>
      </c>
      <c r="M855">
        <v>0</v>
      </c>
      <c r="N855">
        <v>2400</v>
      </c>
    </row>
    <row r="856" spans="1:14" x14ac:dyDescent="0.25">
      <c r="A856">
        <v>493.06416400000001</v>
      </c>
      <c r="B856" s="1">
        <f>DATE(2011,9,6) + TIME(1,32,23)</f>
        <v>40792.064155092594</v>
      </c>
      <c r="C856">
        <v>80</v>
      </c>
      <c r="D856">
        <v>79.939575195000003</v>
      </c>
      <c r="E856">
        <v>50</v>
      </c>
      <c r="F856">
        <v>36.997684479</v>
      </c>
      <c r="G856">
        <v>1383.5036620999999</v>
      </c>
      <c r="H856">
        <v>1370.0013428</v>
      </c>
      <c r="I856">
        <v>1275.8775635</v>
      </c>
      <c r="J856">
        <v>1252.7084961</v>
      </c>
      <c r="K856">
        <v>2400</v>
      </c>
      <c r="L856">
        <v>0</v>
      </c>
      <c r="M856">
        <v>0</v>
      </c>
      <c r="N856">
        <v>2400</v>
      </c>
    </row>
    <row r="857" spans="1:14" x14ac:dyDescent="0.25">
      <c r="A857">
        <v>494.78648900000002</v>
      </c>
      <c r="B857" s="1">
        <f>DATE(2011,9,7) + TIME(18,52,32)</f>
        <v>40793.786481481482</v>
      </c>
      <c r="C857">
        <v>80</v>
      </c>
      <c r="D857">
        <v>79.939651488999999</v>
      </c>
      <c r="E857">
        <v>50</v>
      </c>
      <c r="F857">
        <v>36.762908936000002</v>
      </c>
      <c r="G857">
        <v>1383.4367675999999</v>
      </c>
      <c r="H857">
        <v>1369.9410399999999</v>
      </c>
      <c r="I857">
        <v>1275.6502685999999</v>
      </c>
      <c r="J857">
        <v>1252.340332</v>
      </c>
      <c r="K857">
        <v>2400</v>
      </c>
      <c r="L857">
        <v>0</v>
      </c>
      <c r="M857">
        <v>0</v>
      </c>
      <c r="N857">
        <v>2400</v>
      </c>
    </row>
    <row r="858" spans="1:14" x14ac:dyDescent="0.25">
      <c r="A858">
        <v>496.51910299999997</v>
      </c>
      <c r="B858" s="1">
        <f>DATE(2011,9,9) + TIME(12,27,30)</f>
        <v>40795.519097222219</v>
      </c>
      <c r="C858">
        <v>80</v>
      </c>
      <c r="D858">
        <v>79.939727782999995</v>
      </c>
      <c r="E858">
        <v>50</v>
      </c>
      <c r="F858">
        <v>36.523773192999997</v>
      </c>
      <c r="G858">
        <v>1383.3699951000001</v>
      </c>
      <c r="H858">
        <v>1369.8808594</v>
      </c>
      <c r="I858">
        <v>1275.4205322</v>
      </c>
      <c r="J858">
        <v>1251.9661865</v>
      </c>
      <c r="K858">
        <v>2400</v>
      </c>
      <c r="L858">
        <v>0</v>
      </c>
      <c r="M858">
        <v>0</v>
      </c>
      <c r="N858">
        <v>2400</v>
      </c>
    </row>
    <row r="859" spans="1:14" x14ac:dyDescent="0.25">
      <c r="A859">
        <v>498.26580799999999</v>
      </c>
      <c r="B859" s="1">
        <f>DATE(2011,9,11) + TIME(6,22,45)</f>
        <v>40797.265798611108</v>
      </c>
      <c r="C859">
        <v>80</v>
      </c>
      <c r="D859">
        <v>79.939804077000005</v>
      </c>
      <c r="E859">
        <v>50</v>
      </c>
      <c r="F859">
        <v>36.281177520999996</v>
      </c>
      <c r="G859">
        <v>1383.3034668</v>
      </c>
      <c r="H859">
        <v>1369.8206786999999</v>
      </c>
      <c r="I859">
        <v>1275.1892089999999</v>
      </c>
      <c r="J859">
        <v>1251.5872803</v>
      </c>
      <c r="K859">
        <v>2400</v>
      </c>
      <c r="L859">
        <v>0</v>
      </c>
      <c r="M859">
        <v>0</v>
      </c>
      <c r="N859">
        <v>2400</v>
      </c>
    </row>
    <row r="860" spans="1:14" x14ac:dyDescent="0.25">
      <c r="A860">
        <v>500.03050000000002</v>
      </c>
      <c r="B860" s="1">
        <f>DATE(2011,9,13) + TIME(0,43,55)</f>
        <v>40799.030497685184</v>
      </c>
      <c r="C860">
        <v>80</v>
      </c>
      <c r="D860">
        <v>79.939880371000001</v>
      </c>
      <c r="E860">
        <v>50</v>
      </c>
      <c r="F860">
        <v>36.035160064999999</v>
      </c>
      <c r="G860">
        <v>1383.2369385</v>
      </c>
      <c r="H860">
        <v>1369.7606201000001</v>
      </c>
      <c r="I860">
        <v>1274.9558105000001</v>
      </c>
      <c r="J860">
        <v>1251.203125</v>
      </c>
      <c r="K860">
        <v>2400</v>
      </c>
      <c r="L860">
        <v>0</v>
      </c>
      <c r="M860">
        <v>0</v>
      </c>
      <c r="N860">
        <v>2400</v>
      </c>
    </row>
    <row r="861" spans="1:14" x14ac:dyDescent="0.25">
      <c r="A861">
        <v>501.81392199999999</v>
      </c>
      <c r="B861" s="1">
        <f>DATE(2011,9,14) + TIME(19,32,2)</f>
        <v>40800.81391203704</v>
      </c>
      <c r="C861">
        <v>80</v>
      </c>
      <c r="D861">
        <v>79.939956664999997</v>
      </c>
      <c r="E861">
        <v>50</v>
      </c>
      <c r="F861">
        <v>35.785625457999998</v>
      </c>
      <c r="G861">
        <v>1383.1702881000001</v>
      </c>
      <c r="H861">
        <v>1369.7003173999999</v>
      </c>
      <c r="I861">
        <v>1274.7202147999999</v>
      </c>
      <c r="J861">
        <v>1250.8134766000001</v>
      </c>
      <c r="K861">
        <v>2400</v>
      </c>
      <c r="L861">
        <v>0</v>
      </c>
      <c r="M861">
        <v>0</v>
      </c>
      <c r="N861">
        <v>2400</v>
      </c>
    </row>
    <row r="862" spans="1:14" x14ac:dyDescent="0.25">
      <c r="A862">
        <v>503.60552999999999</v>
      </c>
      <c r="B862" s="1">
        <f>DATE(2011,9,16) + TIME(14,31,57)</f>
        <v>40802.605520833335</v>
      </c>
      <c r="C862">
        <v>80</v>
      </c>
      <c r="D862">
        <v>79.940040588000002</v>
      </c>
      <c r="E862">
        <v>50</v>
      </c>
      <c r="F862">
        <v>35.533111572000003</v>
      </c>
      <c r="G862">
        <v>1383.1035156</v>
      </c>
      <c r="H862">
        <v>1369.6398925999999</v>
      </c>
      <c r="I862">
        <v>1274.4824219</v>
      </c>
      <c r="J862">
        <v>1250.4188231999999</v>
      </c>
      <c r="K862">
        <v>2400</v>
      </c>
      <c r="L862">
        <v>0</v>
      </c>
      <c r="M862">
        <v>0</v>
      </c>
      <c r="N862">
        <v>2400</v>
      </c>
    </row>
    <row r="863" spans="1:14" x14ac:dyDescent="0.25">
      <c r="A863">
        <v>505.40617300000002</v>
      </c>
      <c r="B863" s="1">
        <f>DATE(2011,9,18) + TIME(9,44,53)</f>
        <v>40804.406168981484</v>
      </c>
      <c r="C863">
        <v>80</v>
      </c>
      <c r="D863">
        <v>79.940116881999998</v>
      </c>
      <c r="E863">
        <v>50</v>
      </c>
      <c r="F863">
        <v>35.278400421000001</v>
      </c>
      <c r="G863">
        <v>1383.0369873</v>
      </c>
      <c r="H863">
        <v>1369.5795897999999</v>
      </c>
      <c r="I863">
        <v>1274.2440185999999</v>
      </c>
      <c r="J863">
        <v>1250.020874</v>
      </c>
      <c r="K863">
        <v>2400</v>
      </c>
      <c r="L863">
        <v>0</v>
      </c>
      <c r="M863">
        <v>0</v>
      </c>
      <c r="N863">
        <v>2400</v>
      </c>
    </row>
    <row r="864" spans="1:14" x14ac:dyDescent="0.25">
      <c r="A864">
        <v>507.218816</v>
      </c>
      <c r="B864" s="1">
        <f>DATE(2011,9,20) + TIME(5,15,5)</f>
        <v>40806.218807870369</v>
      </c>
      <c r="C864">
        <v>80</v>
      </c>
      <c r="D864">
        <v>79.940193175999994</v>
      </c>
      <c r="E864">
        <v>50</v>
      </c>
      <c r="F864">
        <v>35.021724700999997</v>
      </c>
      <c r="G864">
        <v>1382.9705810999999</v>
      </c>
      <c r="H864">
        <v>1369.5194091999999</v>
      </c>
      <c r="I864">
        <v>1274.005249</v>
      </c>
      <c r="J864">
        <v>1249.6201172000001</v>
      </c>
      <c r="K864">
        <v>2400</v>
      </c>
      <c r="L864">
        <v>0</v>
      </c>
      <c r="M864">
        <v>0</v>
      </c>
      <c r="N864">
        <v>2400</v>
      </c>
    </row>
    <row r="865" spans="1:14" x14ac:dyDescent="0.25">
      <c r="A865">
        <v>509.03714200000002</v>
      </c>
      <c r="B865" s="1">
        <f>DATE(2011,9,22) + TIME(0,53,29)</f>
        <v>40808.037141203706</v>
      </c>
      <c r="C865">
        <v>80</v>
      </c>
      <c r="D865">
        <v>79.940277100000003</v>
      </c>
      <c r="E865">
        <v>50</v>
      </c>
      <c r="F865">
        <v>34.763458252</v>
      </c>
      <c r="G865">
        <v>1382.9042969</v>
      </c>
      <c r="H865">
        <v>1369.4592285000001</v>
      </c>
      <c r="I865">
        <v>1273.7657471</v>
      </c>
      <c r="J865">
        <v>1249.2164307</v>
      </c>
      <c r="K865">
        <v>2400</v>
      </c>
      <c r="L865">
        <v>0</v>
      </c>
      <c r="M865">
        <v>0</v>
      </c>
      <c r="N865">
        <v>2400</v>
      </c>
    </row>
    <row r="866" spans="1:14" x14ac:dyDescent="0.25">
      <c r="A866">
        <v>509.95002399999998</v>
      </c>
      <c r="B866" s="1">
        <f>DATE(2011,9,22) + TIME(22,48,2)</f>
        <v>40808.950023148151</v>
      </c>
      <c r="C866">
        <v>80</v>
      </c>
      <c r="D866">
        <v>79.940307617000002</v>
      </c>
      <c r="E866">
        <v>50</v>
      </c>
      <c r="F866">
        <v>34.567527771000002</v>
      </c>
      <c r="G866">
        <v>1382.8380127</v>
      </c>
      <c r="H866">
        <v>1369.3989257999999</v>
      </c>
      <c r="I866">
        <v>1273.5299072</v>
      </c>
      <c r="J866">
        <v>1248.8487548999999</v>
      </c>
      <c r="K866">
        <v>2400</v>
      </c>
      <c r="L866">
        <v>0</v>
      </c>
      <c r="M866">
        <v>0</v>
      </c>
      <c r="N866">
        <v>2400</v>
      </c>
    </row>
    <row r="867" spans="1:14" x14ac:dyDescent="0.25">
      <c r="A867">
        <v>510.86290500000001</v>
      </c>
      <c r="B867" s="1">
        <f>DATE(2011,9,23) + TIME(20,42,35)</f>
        <v>40809.862905092596</v>
      </c>
      <c r="C867">
        <v>80</v>
      </c>
      <c r="D867">
        <v>79.940345764</v>
      </c>
      <c r="E867">
        <v>50</v>
      </c>
      <c r="F867">
        <v>34.405235290999997</v>
      </c>
      <c r="G867">
        <v>1382.8046875</v>
      </c>
      <c r="H867">
        <v>1369.3685303</v>
      </c>
      <c r="I867">
        <v>1273.4049072</v>
      </c>
      <c r="J867">
        <v>1248.6195068</v>
      </c>
      <c r="K867">
        <v>2400</v>
      </c>
      <c r="L867">
        <v>0</v>
      </c>
      <c r="M867">
        <v>0</v>
      </c>
      <c r="N867">
        <v>2400</v>
      </c>
    </row>
    <row r="868" spans="1:14" x14ac:dyDescent="0.25">
      <c r="A868">
        <v>511.77578699999998</v>
      </c>
      <c r="B868" s="1">
        <f>DATE(2011,9,24) + TIME(18,37,7)</f>
        <v>40810.775775462964</v>
      </c>
      <c r="C868">
        <v>80</v>
      </c>
      <c r="D868">
        <v>79.940383910999998</v>
      </c>
      <c r="E868">
        <v>50</v>
      </c>
      <c r="F868">
        <v>34.259437560999999</v>
      </c>
      <c r="G868">
        <v>1382.7717285000001</v>
      </c>
      <c r="H868">
        <v>1369.3386230000001</v>
      </c>
      <c r="I868">
        <v>1273.2835693</v>
      </c>
      <c r="J868">
        <v>1248.4041748</v>
      </c>
      <c r="K868">
        <v>2400</v>
      </c>
      <c r="L868">
        <v>0</v>
      </c>
      <c r="M868">
        <v>0</v>
      </c>
      <c r="N868">
        <v>2400</v>
      </c>
    </row>
    <row r="869" spans="1:14" x14ac:dyDescent="0.25">
      <c r="A869">
        <v>512.68866800000001</v>
      </c>
      <c r="B869" s="1">
        <f>DATE(2011,9,25) + TIME(16,31,40)</f>
        <v>40811.688657407409</v>
      </c>
      <c r="C869">
        <v>80</v>
      </c>
      <c r="D869">
        <v>79.940422057999996</v>
      </c>
      <c r="E869">
        <v>50</v>
      </c>
      <c r="F869">
        <v>34.121795654000003</v>
      </c>
      <c r="G869">
        <v>1382.7390137</v>
      </c>
      <c r="H869">
        <v>1369.3087158000001</v>
      </c>
      <c r="I869">
        <v>1273.1641846</v>
      </c>
      <c r="J869">
        <v>1248.1956786999999</v>
      </c>
      <c r="K869">
        <v>2400</v>
      </c>
      <c r="L869">
        <v>0</v>
      </c>
      <c r="M869">
        <v>0</v>
      </c>
      <c r="N869">
        <v>2400</v>
      </c>
    </row>
    <row r="870" spans="1:14" x14ac:dyDescent="0.25">
      <c r="A870">
        <v>513.60154899999998</v>
      </c>
      <c r="B870" s="1">
        <f>DATE(2011,9,26) + TIME(14,26,13)</f>
        <v>40812.601539351854</v>
      </c>
      <c r="C870">
        <v>80</v>
      </c>
      <c r="D870">
        <v>79.940460204999994</v>
      </c>
      <c r="E870">
        <v>50</v>
      </c>
      <c r="F870">
        <v>33.988262177000003</v>
      </c>
      <c r="G870">
        <v>1382.7064209</v>
      </c>
      <c r="H870">
        <v>1369.2790527</v>
      </c>
      <c r="I870">
        <v>1273.0458983999999</v>
      </c>
      <c r="J870">
        <v>1247.9904785000001</v>
      </c>
      <c r="K870">
        <v>2400</v>
      </c>
      <c r="L870">
        <v>0</v>
      </c>
      <c r="M870">
        <v>0</v>
      </c>
      <c r="N870">
        <v>2400</v>
      </c>
    </row>
    <row r="871" spans="1:14" x14ac:dyDescent="0.25">
      <c r="A871">
        <v>514.51443099999995</v>
      </c>
      <c r="B871" s="1">
        <f>DATE(2011,9,27) + TIME(12,20,46)</f>
        <v>40813.514421296299</v>
      </c>
      <c r="C871">
        <v>80</v>
      </c>
      <c r="D871">
        <v>79.940505981000001</v>
      </c>
      <c r="E871">
        <v>50</v>
      </c>
      <c r="F871">
        <v>33.856876372999999</v>
      </c>
      <c r="G871">
        <v>1382.6738281</v>
      </c>
      <c r="H871">
        <v>1369.2492675999999</v>
      </c>
      <c r="I871">
        <v>1272.9284668</v>
      </c>
      <c r="J871">
        <v>1247.7871094</v>
      </c>
      <c r="K871">
        <v>2400</v>
      </c>
      <c r="L871">
        <v>0</v>
      </c>
      <c r="M871">
        <v>0</v>
      </c>
      <c r="N871">
        <v>2400</v>
      </c>
    </row>
    <row r="872" spans="1:14" x14ac:dyDescent="0.25">
      <c r="A872">
        <v>515.42731200000003</v>
      </c>
      <c r="B872" s="1">
        <f>DATE(2011,9,28) + TIME(10,15,19)</f>
        <v>40814.427303240744</v>
      </c>
      <c r="C872">
        <v>80</v>
      </c>
      <c r="D872">
        <v>79.940544127999999</v>
      </c>
      <c r="E872">
        <v>50</v>
      </c>
      <c r="F872">
        <v>33.726703643999997</v>
      </c>
      <c r="G872">
        <v>1382.6414795000001</v>
      </c>
      <c r="H872">
        <v>1369.2197266000001</v>
      </c>
      <c r="I872">
        <v>1272.8117675999999</v>
      </c>
      <c r="J872">
        <v>1247.5848389</v>
      </c>
      <c r="K872">
        <v>2400</v>
      </c>
      <c r="L872">
        <v>0</v>
      </c>
      <c r="M872">
        <v>0</v>
      </c>
      <c r="N872">
        <v>2400</v>
      </c>
    </row>
    <row r="873" spans="1:14" x14ac:dyDescent="0.25">
      <c r="A873">
        <v>516.340193</v>
      </c>
      <c r="B873" s="1">
        <f>DATE(2011,9,29) + TIME(8,9,52)</f>
        <v>40815.340185185189</v>
      </c>
      <c r="C873">
        <v>80</v>
      </c>
      <c r="D873">
        <v>79.940582274999997</v>
      </c>
      <c r="E873">
        <v>50</v>
      </c>
      <c r="F873">
        <v>33.597312926999997</v>
      </c>
      <c r="G873">
        <v>1382.6091309000001</v>
      </c>
      <c r="H873">
        <v>1369.1901855000001</v>
      </c>
      <c r="I873">
        <v>1272.6956786999999</v>
      </c>
      <c r="J873">
        <v>1247.3833007999999</v>
      </c>
      <c r="K873">
        <v>2400</v>
      </c>
      <c r="L873">
        <v>0</v>
      </c>
      <c r="M873">
        <v>0</v>
      </c>
      <c r="N873">
        <v>2400</v>
      </c>
    </row>
    <row r="874" spans="1:14" x14ac:dyDescent="0.25">
      <c r="A874">
        <v>518</v>
      </c>
      <c r="B874" s="1">
        <f>DATE(2011,10,1) + TIME(0,0,0)</f>
        <v>40817</v>
      </c>
      <c r="C874">
        <v>80</v>
      </c>
      <c r="D874">
        <v>79.940666199000006</v>
      </c>
      <c r="E874">
        <v>50</v>
      </c>
      <c r="F874">
        <v>33.432243346999996</v>
      </c>
      <c r="G874">
        <v>1382.5772704999999</v>
      </c>
      <c r="H874">
        <v>1369.1611327999999</v>
      </c>
      <c r="I874">
        <v>1272.5786132999999</v>
      </c>
      <c r="J874">
        <v>1247.1604004000001</v>
      </c>
      <c r="K874">
        <v>2400</v>
      </c>
      <c r="L874">
        <v>0</v>
      </c>
      <c r="M874">
        <v>0</v>
      </c>
      <c r="N874">
        <v>2400</v>
      </c>
    </row>
    <row r="875" spans="1:14" x14ac:dyDescent="0.25">
      <c r="A875">
        <v>519.82576300000005</v>
      </c>
      <c r="B875" s="1">
        <f>DATE(2011,10,2) + TIME(19,49,5)</f>
        <v>40818.825752314813</v>
      </c>
      <c r="C875">
        <v>80</v>
      </c>
      <c r="D875">
        <v>79.940750121999997</v>
      </c>
      <c r="E875">
        <v>50</v>
      </c>
      <c r="F875">
        <v>33.216415404999999</v>
      </c>
      <c r="G875">
        <v>1382.5191649999999</v>
      </c>
      <c r="H875">
        <v>1369.1081543</v>
      </c>
      <c r="I875">
        <v>1272.3746338000001</v>
      </c>
      <c r="J875">
        <v>1246.8131103999999</v>
      </c>
      <c r="K875">
        <v>2400</v>
      </c>
      <c r="L875">
        <v>0</v>
      </c>
      <c r="M875">
        <v>0</v>
      </c>
      <c r="N875">
        <v>2400</v>
      </c>
    </row>
    <row r="876" spans="1:14" x14ac:dyDescent="0.25">
      <c r="A876">
        <v>521.65919799999995</v>
      </c>
      <c r="B876" s="1">
        <f>DATE(2011,10,4) + TIME(15,49,14)</f>
        <v>40820.659189814818</v>
      </c>
      <c r="C876">
        <v>80</v>
      </c>
      <c r="D876">
        <v>79.940834045000003</v>
      </c>
      <c r="E876">
        <v>50</v>
      </c>
      <c r="F876">
        <v>32.974765777999998</v>
      </c>
      <c r="G876">
        <v>1382.4555664</v>
      </c>
      <c r="H876">
        <v>1369.0500488</v>
      </c>
      <c r="I876">
        <v>1272.1499022999999</v>
      </c>
      <c r="J876">
        <v>1246.4254149999999</v>
      </c>
      <c r="K876">
        <v>2400</v>
      </c>
      <c r="L876">
        <v>0</v>
      </c>
      <c r="M876">
        <v>0</v>
      </c>
      <c r="N876">
        <v>2400</v>
      </c>
    </row>
    <row r="877" spans="1:14" x14ac:dyDescent="0.25">
      <c r="A877">
        <v>522.59464600000001</v>
      </c>
      <c r="B877" s="1">
        <f>DATE(2011,10,5) + TIME(14,16,17)</f>
        <v>40821.594641203701</v>
      </c>
      <c r="C877">
        <v>80</v>
      </c>
      <c r="D877">
        <v>79.940864563000005</v>
      </c>
      <c r="E877">
        <v>50</v>
      </c>
      <c r="F877">
        <v>32.784500121999997</v>
      </c>
      <c r="G877">
        <v>1382.3917236</v>
      </c>
      <c r="H877">
        <v>1368.9915771000001</v>
      </c>
      <c r="I877">
        <v>1271.9278564000001</v>
      </c>
      <c r="J877">
        <v>1246.067749</v>
      </c>
      <c r="K877">
        <v>2400</v>
      </c>
      <c r="L877">
        <v>0</v>
      </c>
      <c r="M877">
        <v>0</v>
      </c>
      <c r="N877">
        <v>2400</v>
      </c>
    </row>
    <row r="878" spans="1:14" x14ac:dyDescent="0.25">
      <c r="A878">
        <v>523.53009299999997</v>
      </c>
      <c r="B878" s="1">
        <f>DATE(2011,10,6) + TIME(12,43,20)</f>
        <v>40822.530092592591</v>
      </c>
      <c r="C878">
        <v>80</v>
      </c>
      <c r="D878">
        <v>79.940902710000003</v>
      </c>
      <c r="E878">
        <v>50</v>
      </c>
      <c r="F878">
        <v>32.626815796000002</v>
      </c>
      <c r="G878">
        <v>1382.3590088000001</v>
      </c>
      <c r="H878">
        <v>1368.9615478999999</v>
      </c>
      <c r="I878">
        <v>1271.8094481999999</v>
      </c>
      <c r="J878">
        <v>1245.8415527</v>
      </c>
      <c r="K878">
        <v>2400</v>
      </c>
      <c r="L878">
        <v>0</v>
      </c>
      <c r="M878">
        <v>0</v>
      </c>
      <c r="N878">
        <v>2400</v>
      </c>
    </row>
    <row r="879" spans="1:14" x14ac:dyDescent="0.25">
      <c r="A879">
        <v>524.46554100000003</v>
      </c>
      <c r="B879" s="1">
        <f>DATE(2011,10,7) + TIME(11,10,22)</f>
        <v>40823.465532407405</v>
      </c>
      <c r="C879">
        <v>80</v>
      </c>
      <c r="D879">
        <v>79.940940857000001</v>
      </c>
      <c r="E879">
        <v>50</v>
      </c>
      <c r="F879">
        <v>32.485160827999998</v>
      </c>
      <c r="G879">
        <v>1382.3266602000001</v>
      </c>
      <c r="H879">
        <v>1368.9320068</v>
      </c>
      <c r="I879">
        <v>1271.6945800999999</v>
      </c>
      <c r="J879">
        <v>1245.6293945</v>
      </c>
      <c r="K879">
        <v>2400</v>
      </c>
      <c r="L879">
        <v>0</v>
      </c>
      <c r="M879">
        <v>0</v>
      </c>
      <c r="N879">
        <v>2400</v>
      </c>
    </row>
    <row r="880" spans="1:14" x14ac:dyDescent="0.25">
      <c r="A880">
        <v>525.40098899999998</v>
      </c>
      <c r="B880" s="1">
        <f>DATE(2011,10,8) + TIME(9,37,25)</f>
        <v>40824.400983796295</v>
      </c>
      <c r="C880">
        <v>80</v>
      </c>
      <c r="D880">
        <v>79.940986632999994</v>
      </c>
      <c r="E880">
        <v>50</v>
      </c>
      <c r="F880">
        <v>32.351623535000002</v>
      </c>
      <c r="G880">
        <v>1382.2945557</v>
      </c>
      <c r="H880">
        <v>1368.9024658000001</v>
      </c>
      <c r="I880">
        <v>1271.5819091999999</v>
      </c>
      <c r="J880">
        <v>1245.4241943</v>
      </c>
      <c r="K880">
        <v>2400</v>
      </c>
      <c r="L880">
        <v>0</v>
      </c>
      <c r="M880">
        <v>0</v>
      </c>
      <c r="N880">
        <v>2400</v>
      </c>
    </row>
    <row r="881" spans="1:14" x14ac:dyDescent="0.25">
      <c r="A881">
        <v>526.33643700000005</v>
      </c>
      <c r="B881" s="1">
        <f>DATE(2011,10,9) + TIME(8,4,28)</f>
        <v>40825.336435185185</v>
      </c>
      <c r="C881">
        <v>80</v>
      </c>
      <c r="D881">
        <v>79.941024780000006</v>
      </c>
      <c r="E881">
        <v>50</v>
      </c>
      <c r="F881">
        <v>32.222438812</v>
      </c>
      <c r="G881">
        <v>1382.2624512</v>
      </c>
      <c r="H881">
        <v>1368.8730469</v>
      </c>
      <c r="I881">
        <v>1271.4708252</v>
      </c>
      <c r="J881">
        <v>1245.2230225000001</v>
      </c>
      <c r="K881">
        <v>2400</v>
      </c>
      <c r="L881">
        <v>0</v>
      </c>
      <c r="M881">
        <v>0</v>
      </c>
      <c r="N881">
        <v>2400</v>
      </c>
    </row>
    <row r="882" spans="1:14" x14ac:dyDescent="0.25">
      <c r="A882">
        <v>527.271885</v>
      </c>
      <c r="B882" s="1">
        <f>DATE(2011,10,10) + TIME(6,31,30)</f>
        <v>40826.271874999999</v>
      </c>
      <c r="C882">
        <v>80</v>
      </c>
      <c r="D882">
        <v>79.941062927000004</v>
      </c>
      <c r="E882">
        <v>50</v>
      </c>
      <c r="F882">
        <v>32.095829010000003</v>
      </c>
      <c r="G882">
        <v>1382.2304687999999</v>
      </c>
      <c r="H882">
        <v>1368.8436279</v>
      </c>
      <c r="I882">
        <v>1271.3609618999999</v>
      </c>
      <c r="J882">
        <v>1245.0242920000001</v>
      </c>
      <c r="K882">
        <v>2400</v>
      </c>
      <c r="L882">
        <v>0</v>
      </c>
      <c r="M882">
        <v>0</v>
      </c>
      <c r="N882">
        <v>2400</v>
      </c>
    </row>
    <row r="883" spans="1:14" x14ac:dyDescent="0.25">
      <c r="A883">
        <v>528.20733299999995</v>
      </c>
      <c r="B883" s="1">
        <f>DATE(2011,10,11) + TIME(4,58,33)</f>
        <v>40827.207326388889</v>
      </c>
      <c r="C883">
        <v>80</v>
      </c>
      <c r="D883">
        <v>79.941108704000001</v>
      </c>
      <c r="E883">
        <v>50</v>
      </c>
      <c r="F883">
        <v>31.970968246000002</v>
      </c>
      <c r="G883">
        <v>1382.1984863</v>
      </c>
      <c r="H883">
        <v>1368.8143310999999</v>
      </c>
      <c r="I883">
        <v>1271.2521973</v>
      </c>
      <c r="J883">
        <v>1244.8273925999999</v>
      </c>
      <c r="K883">
        <v>2400</v>
      </c>
      <c r="L883">
        <v>0</v>
      </c>
      <c r="M883">
        <v>0</v>
      </c>
      <c r="N883">
        <v>2400</v>
      </c>
    </row>
    <row r="884" spans="1:14" x14ac:dyDescent="0.25">
      <c r="A884">
        <v>529.14278000000002</v>
      </c>
      <c r="B884" s="1">
        <f>DATE(2011,10,12) + TIME(3,25,36)</f>
        <v>40828.142777777779</v>
      </c>
      <c r="C884">
        <v>80</v>
      </c>
      <c r="D884">
        <v>79.941146850999999</v>
      </c>
      <c r="E884">
        <v>50</v>
      </c>
      <c r="F884">
        <v>31.847486495999998</v>
      </c>
      <c r="G884">
        <v>1382.166626</v>
      </c>
      <c r="H884">
        <v>1368.7851562000001</v>
      </c>
      <c r="I884">
        <v>1271.1446533000001</v>
      </c>
      <c r="J884">
        <v>1244.6319579999999</v>
      </c>
      <c r="K884">
        <v>2400</v>
      </c>
      <c r="L884">
        <v>0</v>
      </c>
      <c r="M884">
        <v>0</v>
      </c>
      <c r="N884">
        <v>2400</v>
      </c>
    </row>
    <row r="885" spans="1:14" x14ac:dyDescent="0.25">
      <c r="A885">
        <v>530.07822799999997</v>
      </c>
      <c r="B885" s="1">
        <f>DATE(2011,10,13) + TIME(1,52,38)</f>
        <v>40829.078217592592</v>
      </c>
      <c r="C885">
        <v>80</v>
      </c>
      <c r="D885">
        <v>79.941192627000007</v>
      </c>
      <c r="E885">
        <v>50</v>
      </c>
      <c r="F885">
        <v>31.7252388</v>
      </c>
      <c r="G885">
        <v>1382.1348877</v>
      </c>
      <c r="H885">
        <v>1368.7558594</v>
      </c>
      <c r="I885">
        <v>1271.0382079999999</v>
      </c>
      <c r="J885">
        <v>1244.4379882999999</v>
      </c>
      <c r="K885">
        <v>2400</v>
      </c>
      <c r="L885">
        <v>0</v>
      </c>
      <c r="M885">
        <v>0</v>
      </c>
      <c r="N885">
        <v>2400</v>
      </c>
    </row>
    <row r="886" spans="1:14" x14ac:dyDescent="0.25">
      <c r="A886">
        <v>531.01367600000003</v>
      </c>
      <c r="B886" s="1">
        <f>DATE(2011,10,14) + TIME(0,19,41)</f>
        <v>40830.013668981483</v>
      </c>
      <c r="C886">
        <v>80</v>
      </c>
      <c r="D886">
        <v>79.941230774000005</v>
      </c>
      <c r="E886">
        <v>50</v>
      </c>
      <c r="F886">
        <v>31.604179382000002</v>
      </c>
      <c r="G886">
        <v>1382.1031493999999</v>
      </c>
      <c r="H886">
        <v>1368.7266846</v>
      </c>
      <c r="I886">
        <v>1270.9328613</v>
      </c>
      <c r="J886">
        <v>1244.2453613</v>
      </c>
      <c r="K886">
        <v>2400</v>
      </c>
      <c r="L886">
        <v>0</v>
      </c>
      <c r="M886">
        <v>0</v>
      </c>
      <c r="N886">
        <v>2400</v>
      </c>
    </row>
    <row r="887" spans="1:14" x14ac:dyDescent="0.25">
      <c r="A887">
        <v>532.88457200000005</v>
      </c>
      <c r="B887" s="1">
        <f>DATE(2011,10,15) + TIME(21,13,46)</f>
        <v>40831.884560185186</v>
      </c>
      <c r="C887">
        <v>80</v>
      </c>
      <c r="D887">
        <v>79.941322326999995</v>
      </c>
      <c r="E887">
        <v>50</v>
      </c>
      <c r="F887">
        <v>31.446493148999998</v>
      </c>
      <c r="G887">
        <v>1382.0718993999999</v>
      </c>
      <c r="H887">
        <v>1368.6979980000001</v>
      </c>
      <c r="I887">
        <v>1270.8266602000001</v>
      </c>
      <c r="J887">
        <v>1244.0290527</v>
      </c>
      <c r="K887">
        <v>2400</v>
      </c>
      <c r="L887">
        <v>0</v>
      </c>
      <c r="M887">
        <v>0</v>
      </c>
      <c r="N887">
        <v>2400</v>
      </c>
    </row>
    <row r="888" spans="1:14" x14ac:dyDescent="0.25">
      <c r="A888">
        <v>534.75698499999999</v>
      </c>
      <c r="B888" s="1">
        <f>DATE(2011,10,17) + TIME(18,10,3)</f>
        <v>40833.756979166668</v>
      </c>
      <c r="C888">
        <v>80</v>
      </c>
      <c r="D888">
        <v>79.94140625</v>
      </c>
      <c r="E888">
        <v>50</v>
      </c>
      <c r="F888">
        <v>31.236085891999998</v>
      </c>
      <c r="G888">
        <v>1382.0091553</v>
      </c>
      <c r="H888">
        <v>1368.6402588000001</v>
      </c>
      <c r="I888">
        <v>1270.6262207</v>
      </c>
      <c r="J888">
        <v>1243.6739502</v>
      </c>
      <c r="K888">
        <v>2400</v>
      </c>
      <c r="L888">
        <v>0</v>
      </c>
      <c r="M888">
        <v>0</v>
      </c>
      <c r="N888">
        <v>2400</v>
      </c>
    </row>
    <row r="889" spans="1:14" x14ac:dyDescent="0.25">
      <c r="A889">
        <v>536.67061799999999</v>
      </c>
      <c r="B889" s="1">
        <f>DATE(2011,10,19) + TIME(16,5,41)</f>
        <v>40835.670613425929</v>
      </c>
      <c r="C889">
        <v>80</v>
      </c>
      <c r="D889">
        <v>79.941490173000005</v>
      </c>
      <c r="E889">
        <v>50</v>
      </c>
      <c r="F889">
        <v>31.011142731</v>
      </c>
      <c r="G889">
        <v>1381.9464111</v>
      </c>
      <c r="H889">
        <v>1368.5825195</v>
      </c>
      <c r="I889">
        <v>1270.4261475000001</v>
      </c>
      <c r="J889">
        <v>1243.3062743999999</v>
      </c>
      <c r="K889">
        <v>2400</v>
      </c>
      <c r="L889">
        <v>0</v>
      </c>
      <c r="M889">
        <v>0</v>
      </c>
      <c r="N889">
        <v>2400</v>
      </c>
    </row>
    <row r="890" spans="1:14" x14ac:dyDescent="0.25">
      <c r="A890">
        <v>538.61598100000003</v>
      </c>
      <c r="B890" s="1">
        <f>DATE(2011,10,21) + TIME(14,47,0)</f>
        <v>40837.615972222222</v>
      </c>
      <c r="C890">
        <v>80</v>
      </c>
      <c r="D890">
        <v>79.941574097</v>
      </c>
      <c r="E890">
        <v>50</v>
      </c>
      <c r="F890">
        <v>30.782619476000001</v>
      </c>
      <c r="G890">
        <v>1381.8825684000001</v>
      </c>
      <c r="H890">
        <v>1368.5236815999999</v>
      </c>
      <c r="I890">
        <v>1270.2259521000001</v>
      </c>
      <c r="J890">
        <v>1242.9329834</v>
      </c>
      <c r="K890">
        <v>2400</v>
      </c>
      <c r="L890">
        <v>0</v>
      </c>
      <c r="M890">
        <v>0</v>
      </c>
      <c r="N890">
        <v>2400</v>
      </c>
    </row>
    <row r="891" spans="1:14" x14ac:dyDescent="0.25">
      <c r="A891">
        <v>540.56264299999998</v>
      </c>
      <c r="B891" s="1">
        <f>DATE(2011,10,23) + TIME(13,30,12)</f>
        <v>40839.562638888892</v>
      </c>
      <c r="C891">
        <v>80</v>
      </c>
      <c r="D891">
        <v>79.941658020000006</v>
      </c>
      <c r="E891">
        <v>50</v>
      </c>
      <c r="F891">
        <v>30.55616951</v>
      </c>
      <c r="G891">
        <v>1381.8179932</v>
      </c>
      <c r="H891">
        <v>1368.4639893000001</v>
      </c>
      <c r="I891">
        <v>1270.027832</v>
      </c>
      <c r="J891">
        <v>1242.5600586</v>
      </c>
      <c r="K891">
        <v>2400</v>
      </c>
      <c r="L891">
        <v>0</v>
      </c>
      <c r="M891">
        <v>0</v>
      </c>
      <c r="N891">
        <v>2400</v>
      </c>
    </row>
    <row r="892" spans="1:14" x14ac:dyDescent="0.25">
      <c r="A892">
        <v>542.51504799999998</v>
      </c>
      <c r="B892" s="1">
        <f>DATE(2011,10,25) + TIME(12,21,40)</f>
        <v>40841.515046296299</v>
      </c>
      <c r="C892">
        <v>80</v>
      </c>
      <c r="D892">
        <v>79.941741942999997</v>
      </c>
      <c r="E892">
        <v>50</v>
      </c>
      <c r="F892">
        <v>30.335290909000001</v>
      </c>
      <c r="G892">
        <v>1381.7535399999999</v>
      </c>
      <c r="H892">
        <v>1368.4044189000001</v>
      </c>
      <c r="I892">
        <v>1269.8354492000001</v>
      </c>
      <c r="J892">
        <v>1242.1938477000001</v>
      </c>
      <c r="K892">
        <v>2400</v>
      </c>
      <c r="L892">
        <v>0</v>
      </c>
      <c r="M892">
        <v>0</v>
      </c>
      <c r="N892">
        <v>2400</v>
      </c>
    </row>
    <row r="893" spans="1:14" x14ac:dyDescent="0.25">
      <c r="A893">
        <v>544.47914700000001</v>
      </c>
      <c r="B893" s="1">
        <f>DATE(2011,10,27) + TIME(11,29,58)</f>
        <v>40843.479143518518</v>
      </c>
      <c r="C893">
        <v>80</v>
      </c>
      <c r="D893">
        <v>79.941825867000006</v>
      </c>
      <c r="E893">
        <v>50</v>
      </c>
      <c r="F893">
        <v>30.121189117</v>
      </c>
      <c r="G893">
        <v>1381.6890868999999</v>
      </c>
      <c r="H893">
        <v>1368.3448486</v>
      </c>
      <c r="I893">
        <v>1269.6489257999999</v>
      </c>
      <c r="J893">
        <v>1241.8352050999999</v>
      </c>
      <c r="K893">
        <v>2400</v>
      </c>
      <c r="L893">
        <v>0</v>
      </c>
      <c r="M893">
        <v>0</v>
      </c>
      <c r="N893">
        <v>2400</v>
      </c>
    </row>
    <row r="894" spans="1:14" x14ac:dyDescent="0.25">
      <c r="A894">
        <v>546.46032700000001</v>
      </c>
      <c r="B894" s="1">
        <f>DATE(2011,10,29) + TIME(11,2,52)</f>
        <v>40845.460324074076</v>
      </c>
      <c r="C894">
        <v>80</v>
      </c>
      <c r="D894">
        <v>79.941909789999997</v>
      </c>
      <c r="E894">
        <v>50</v>
      </c>
      <c r="F894">
        <v>29.914443970000001</v>
      </c>
      <c r="G894">
        <v>1381.6245117000001</v>
      </c>
      <c r="H894">
        <v>1368.2850341999999</v>
      </c>
      <c r="I894">
        <v>1269.4681396000001</v>
      </c>
      <c r="J894">
        <v>1241.4842529</v>
      </c>
      <c r="K894">
        <v>2400</v>
      </c>
      <c r="L894">
        <v>0</v>
      </c>
      <c r="M894">
        <v>0</v>
      </c>
      <c r="N894">
        <v>2400</v>
      </c>
    </row>
    <row r="895" spans="1:14" x14ac:dyDescent="0.25">
      <c r="A895">
        <v>548.44428200000004</v>
      </c>
      <c r="B895" s="1">
        <f>DATE(2011,10,31) + TIME(10,39,45)</f>
        <v>40847.44427083333</v>
      </c>
      <c r="C895">
        <v>80</v>
      </c>
      <c r="D895">
        <v>79.942001343000001</v>
      </c>
      <c r="E895">
        <v>50</v>
      </c>
      <c r="F895">
        <v>29.716104507000001</v>
      </c>
      <c r="G895">
        <v>1381.5595702999999</v>
      </c>
      <c r="H895">
        <v>1368.2248535000001</v>
      </c>
      <c r="I895">
        <v>1269.2932129000001</v>
      </c>
      <c r="J895">
        <v>1241.1414795000001</v>
      </c>
      <c r="K895">
        <v>2400</v>
      </c>
      <c r="L895">
        <v>0</v>
      </c>
      <c r="M895">
        <v>0</v>
      </c>
      <c r="N895">
        <v>2400</v>
      </c>
    </row>
    <row r="896" spans="1:14" x14ac:dyDescent="0.25">
      <c r="A896">
        <v>549</v>
      </c>
      <c r="B896" s="1">
        <f>DATE(2011,11,1) + TIME(0,0,0)</f>
        <v>40848</v>
      </c>
      <c r="C896">
        <v>80</v>
      </c>
      <c r="D896">
        <v>79.942008971999996</v>
      </c>
      <c r="E896">
        <v>50</v>
      </c>
      <c r="F896">
        <v>29.609699248999998</v>
      </c>
      <c r="G896">
        <v>1381.4951172000001</v>
      </c>
      <c r="H896">
        <v>1368.1650391000001</v>
      </c>
      <c r="I896">
        <v>1269.1343993999999</v>
      </c>
      <c r="J896">
        <v>1240.8754882999999</v>
      </c>
      <c r="K896">
        <v>2400</v>
      </c>
      <c r="L896">
        <v>0</v>
      </c>
      <c r="M896">
        <v>0</v>
      </c>
      <c r="N896">
        <v>2400</v>
      </c>
    </row>
    <row r="897" spans="1:14" x14ac:dyDescent="0.25">
      <c r="A897">
        <v>549.000001</v>
      </c>
      <c r="B897" s="1">
        <f>DATE(2011,11,1) + TIME(0,0,0)</f>
        <v>40848</v>
      </c>
      <c r="C897">
        <v>80</v>
      </c>
      <c r="D897">
        <v>79.941886901999993</v>
      </c>
      <c r="E897">
        <v>50</v>
      </c>
      <c r="F897">
        <v>29.609821320000002</v>
      </c>
      <c r="G897">
        <v>1367.2933350000001</v>
      </c>
      <c r="H897">
        <v>1355.3084716999999</v>
      </c>
      <c r="I897">
        <v>1298.0114745999999</v>
      </c>
      <c r="J897">
        <v>1270.0166016000001</v>
      </c>
      <c r="K897">
        <v>0</v>
      </c>
      <c r="L897">
        <v>2400</v>
      </c>
      <c r="M897">
        <v>2400</v>
      </c>
      <c r="N897">
        <v>0</v>
      </c>
    </row>
    <row r="898" spans="1:14" x14ac:dyDescent="0.25">
      <c r="A898">
        <v>549.00000399999999</v>
      </c>
      <c r="B898" s="1">
        <f>DATE(2011,11,1) + TIME(0,0,0)</f>
        <v>40848</v>
      </c>
      <c r="C898">
        <v>80</v>
      </c>
      <c r="D898">
        <v>79.941574097</v>
      </c>
      <c r="E898">
        <v>50</v>
      </c>
      <c r="F898">
        <v>29.610168457</v>
      </c>
      <c r="G898">
        <v>1365.0910644999999</v>
      </c>
      <c r="H898">
        <v>1353.1053466999999</v>
      </c>
      <c r="I898">
        <v>1300.4379882999999</v>
      </c>
      <c r="J898">
        <v>1272.4550781</v>
      </c>
      <c r="K898">
        <v>0</v>
      </c>
      <c r="L898">
        <v>2400</v>
      </c>
      <c r="M898">
        <v>2400</v>
      </c>
      <c r="N898">
        <v>0</v>
      </c>
    </row>
    <row r="899" spans="1:14" x14ac:dyDescent="0.25">
      <c r="A899">
        <v>549.00001299999997</v>
      </c>
      <c r="B899" s="1">
        <f>DATE(2011,11,1) + TIME(0,0,1)</f>
        <v>40848.000011574077</v>
      </c>
      <c r="C899">
        <v>80</v>
      </c>
      <c r="D899">
        <v>79.940940857000001</v>
      </c>
      <c r="E899">
        <v>50</v>
      </c>
      <c r="F899">
        <v>29.611049651999998</v>
      </c>
      <c r="G899">
        <v>1360.6448975000001</v>
      </c>
      <c r="H899">
        <v>1348.6585693</v>
      </c>
      <c r="I899">
        <v>1306.3223877</v>
      </c>
      <c r="J899">
        <v>1278.3635254000001</v>
      </c>
      <c r="K899">
        <v>0</v>
      </c>
      <c r="L899">
        <v>2400</v>
      </c>
      <c r="M899">
        <v>2400</v>
      </c>
      <c r="N899">
        <v>0</v>
      </c>
    </row>
    <row r="900" spans="1:14" x14ac:dyDescent="0.25">
      <c r="A900">
        <v>549.00004000000001</v>
      </c>
      <c r="B900" s="1">
        <f>DATE(2011,11,1) + TIME(0,0,3)</f>
        <v>40848.000034722223</v>
      </c>
      <c r="C900">
        <v>80</v>
      </c>
      <c r="D900">
        <v>79.940017699999999</v>
      </c>
      <c r="E900">
        <v>50</v>
      </c>
      <c r="F900">
        <v>29.612947464000001</v>
      </c>
      <c r="G900">
        <v>1354.1507568</v>
      </c>
      <c r="H900">
        <v>1342.1651611</v>
      </c>
      <c r="I900">
        <v>1317.4039307</v>
      </c>
      <c r="J900">
        <v>1289.4707031</v>
      </c>
      <c r="K900">
        <v>0</v>
      </c>
      <c r="L900">
        <v>2400</v>
      </c>
      <c r="M900">
        <v>2400</v>
      </c>
      <c r="N900">
        <v>0</v>
      </c>
    </row>
    <row r="901" spans="1:14" x14ac:dyDescent="0.25">
      <c r="A901">
        <v>549.00012100000004</v>
      </c>
      <c r="B901" s="1">
        <f>DATE(2011,11,1) + TIME(0,0,10)</f>
        <v>40848.000115740739</v>
      </c>
      <c r="C901">
        <v>80</v>
      </c>
      <c r="D901">
        <v>79.938972473000007</v>
      </c>
      <c r="E901">
        <v>50</v>
      </c>
      <c r="F901">
        <v>29.616569518999999</v>
      </c>
      <c r="G901">
        <v>1346.9176024999999</v>
      </c>
      <c r="H901">
        <v>1334.9403076000001</v>
      </c>
      <c r="I901">
        <v>1332.4399414</v>
      </c>
      <c r="J901">
        <v>1304.5205077999999</v>
      </c>
      <c r="K901">
        <v>0</v>
      </c>
      <c r="L901">
        <v>2400</v>
      </c>
      <c r="M901">
        <v>2400</v>
      </c>
      <c r="N901">
        <v>0</v>
      </c>
    </row>
    <row r="902" spans="1:14" x14ac:dyDescent="0.25">
      <c r="A902">
        <v>549.00036399999999</v>
      </c>
      <c r="B902" s="1">
        <f>DATE(2011,11,1) + TIME(0,0,31)</f>
        <v>40848.000358796293</v>
      </c>
      <c r="C902">
        <v>80</v>
      </c>
      <c r="D902">
        <v>79.937873839999995</v>
      </c>
      <c r="E902">
        <v>50</v>
      </c>
      <c r="F902">
        <v>29.624158859000001</v>
      </c>
      <c r="G902">
        <v>1339.6436768000001</v>
      </c>
      <c r="H902">
        <v>1327.6770019999999</v>
      </c>
      <c r="I902">
        <v>1348.6702881000001</v>
      </c>
      <c r="J902">
        <v>1320.7617187999999</v>
      </c>
      <c r="K902">
        <v>0</v>
      </c>
      <c r="L902">
        <v>2400</v>
      </c>
      <c r="M902">
        <v>2400</v>
      </c>
      <c r="N902">
        <v>0</v>
      </c>
    </row>
    <row r="903" spans="1:14" x14ac:dyDescent="0.25">
      <c r="A903">
        <v>549.00109299999997</v>
      </c>
      <c r="B903" s="1">
        <f>DATE(2011,11,1) + TIME(0,1,34)</f>
        <v>40848.001087962963</v>
      </c>
      <c r="C903">
        <v>80</v>
      </c>
      <c r="D903">
        <v>79.936637877999999</v>
      </c>
      <c r="E903">
        <v>50</v>
      </c>
      <c r="F903">
        <v>29.643270492999999</v>
      </c>
      <c r="G903">
        <v>1332.307251</v>
      </c>
      <c r="H903">
        <v>1320.3297118999999</v>
      </c>
      <c r="I903">
        <v>1365.2050781</v>
      </c>
      <c r="J903">
        <v>1337.2993164</v>
      </c>
      <c r="K903">
        <v>0</v>
      </c>
      <c r="L903">
        <v>2400</v>
      </c>
      <c r="M903">
        <v>2400</v>
      </c>
      <c r="N903">
        <v>0</v>
      </c>
    </row>
    <row r="904" spans="1:14" x14ac:dyDescent="0.25">
      <c r="A904">
        <v>549.00328000000002</v>
      </c>
      <c r="B904" s="1">
        <f>DATE(2011,11,1) + TIME(0,4,43)</f>
        <v>40848.003275462965</v>
      </c>
      <c r="C904">
        <v>80</v>
      </c>
      <c r="D904">
        <v>79.934921265</v>
      </c>
      <c r="E904">
        <v>50</v>
      </c>
      <c r="F904">
        <v>29.696876526</v>
      </c>
      <c r="G904">
        <v>1324.4169922000001</v>
      </c>
      <c r="H904">
        <v>1312.3511963000001</v>
      </c>
      <c r="I904">
        <v>1382.2033690999999</v>
      </c>
      <c r="J904">
        <v>1354.2728271000001</v>
      </c>
      <c r="K904">
        <v>0</v>
      </c>
      <c r="L904">
        <v>2400</v>
      </c>
      <c r="M904">
        <v>2400</v>
      </c>
      <c r="N904">
        <v>0</v>
      </c>
    </row>
    <row r="905" spans="1:14" x14ac:dyDescent="0.25">
      <c r="A905">
        <v>549.00984100000005</v>
      </c>
      <c r="B905" s="1">
        <f>DATE(2011,11,1) + TIME(0,14,10)</f>
        <v>40848.009837962964</v>
      </c>
      <c r="C905">
        <v>80</v>
      </c>
      <c r="D905">
        <v>79.931854247999993</v>
      </c>
      <c r="E905">
        <v>50</v>
      </c>
      <c r="F905">
        <v>29.853315352999999</v>
      </c>
      <c r="G905">
        <v>1315.4200439000001</v>
      </c>
      <c r="H905">
        <v>1303.2279053</v>
      </c>
      <c r="I905">
        <v>1398.8542480000001</v>
      </c>
      <c r="J905">
        <v>1370.8912353999999</v>
      </c>
      <c r="K905">
        <v>0</v>
      </c>
      <c r="L905">
        <v>2400</v>
      </c>
      <c r="M905">
        <v>2400</v>
      </c>
      <c r="N905">
        <v>0</v>
      </c>
    </row>
    <row r="906" spans="1:14" x14ac:dyDescent="0.25">
      <c r="A906">
        <v>549.02952400000004</v>
      </c>
      <c r="B906" s="1">
        <f>DATE(2011,11,1) + TIME(0,42,30)</f>
        <v>40848.029513888891</v>
      </c>
      <c r="C906">
        <v>80</v>
      </c>
      <c r="D906">
        <v>79.925331115999995</v>
      </c>
      <c r="E906">
        <v>50</v>
      </c>
      <c r="F906">
        <v>30.310348511000001</v>
      </c>
      <c r="G906">
        <v>1306.7912598</v>
      </c>
      <c r="H906">
        <v>1294.5229492000001</v>
      </c>
      <c r="I906">
        <v>1411.6352539</v>
      </c>
      <c r="J906">
        <v>1383.8050536999999</v>
      </c>
      <c r="K906">
        <v>0</v>
      </c>
      <c r="L906">
        <v>2400</v>
      </c>
      <c r="M906">
        <v>2400</v>
      </c>
      <c r="N906">
        <v>0</v>
      </c>
    </row>
    <row r="907" spans="1:14" x14ac:dyDescent="0.25">
      <c r="A907">
        <v>549.06851900000004</v>
      </c>
      <c r="B907" s="1">
        <f>DATE(2011,11,1) + TIME(1,38,40)</f>
        <v>40848.068518518521</v>
      </c>
      <c r="C907">
        <v>80</v>
      </c>
      <c r="D907">
        <v>79.914459229000002</v>
      </c>
      <c r="E907">
        <v>50</v>
      </c>
      <c r="F907">
        <v>31.176992416000001</v>
      </c>
      <c r="G907">
        <v>1302.2496338000001</v>
      </c>
      <c r="H907">
        <v>1289.9555664</v>
      </c>
      <c r="I907">
        <v>1416.4362793</v>
      </c>
      <c r="J907">
        <v>1389.0255127</v>
      </c>
      <c r="K907">
        <v>0</v>
      </c>
      <c r="L907">
        <v>2400</v>
      </c>
      <c r="M907">
        <v>2400</v>
      </c>
      <c r="N907">
        <v>0</v>
      </c>
    </row>
    <row r="908" spans="1:14" x14ac:dyDescent="0.25">
      <c r="A908">
        <v>549.109193</v>
      </c>
      <c r="B908" s="1">
        <f>DATE(2011,11,1) + TIME(2,37,14)</f>
        <v>40848.109189814815</v>
      </c>
      <c r="C908">
        <v>80</v>
      </c>
      <c r="D908">
        <v>79.903717040999993</v>
      </c>
      <c r="E908">
        <v>50</v>
      </c>
      <c r="F908">
        <v>32.041461945000002</v>
      </c>
      <c r="G908">
        <v>1300.8226318</v>
      </c>
      <c r="H908">
        <v>1288.5216064000001</v>
      </c>
      <c r="I908">
        <v>1417.0447998</v>
      </c>
      <c r="J908">
        <v>1390.0697021000001</v>
      </c>
      <c r="K908">
        <v>0</v>
      </c>
      <c r="L908">
        <v>2400</v>
      </c>
      <c r="M908">
        <v>2400</v>
      </c>
      <c r="N908">
        <v>0</v>
      </c>
    </row>
    <row r="909" spans="1:14" x14ac:dyDescent="0.25">
      <c r="A909">
        <v>549.15153199999997</v>
      </c>
      <c r="B909" s="1">
        <f>DATE(2011,11,1) + TIME(3,38,12)</f>
        <v>40848.15152777778</v>
      </c>
      <c r="C909">
        <v>80</v>
      </c>
      <c r="D909">
        <v>79.892837524000001</v>
      </c>
      <c r="E909">
        <v>50</v>
      </c>
      <c r="F909">
        <v>32.900329589999998</v>
      </c>
      <c r="G909">
        <v>1300.3395995999999</v>
      </c>
      <c r="H909">
        <v>1288.0362548999999</v>
      </c>
      <c r="I909">
        <v>1416.6541748</v>
      </c>
      <c r="J909">
        <v>1390.1085204999999</v>
      </c>
      <c r="K909">
        <v>0</v>
      </c>
      <c r="L909">
        <v>2400</v>
      </c>
      <c r="M909">
        <v>2400</v>
      </c>
      <c r="N909">
        <v>0</v>
      </c>
    </row>
    <row r="910" spans="1:14" x14ac:dyDescent="0.25">
      <c r="A910">
        <v>549.19564800000001</v>
      </c>
      <c r="B910" s="1">
        <f>DATE(2011,11,1) + TIME(4,41,43)</f>
        <v>40848.195636574077</v>
      </c>
      <c r="C910">
        <v>80</v>
      </c>
      <c r="D910">
        <v>79.881721497000001</v>
      </c>
      <c r="E910">
        <v>50</v>
      </c>
      <c r="F910">
        <v>33.752639770999998</v>
      </c>
      <c r="G910">
        <v>1300.1650391000001</v>
      </c>
      <c r="H910">
        <v>1287.8603516000001</v>
      </c>
      <c r="I910">
        <v>1416.0509033000001</v>
      </c>
      <c r="J910">
        <v>1389.9211425999999</v>
      </c>
      <c r="K910">
        <v>0</v>
      </c>
      <c r="L910">
        <v>2400</v>
      </c>
      <c r="M910">
        <v>2400</v>
      </c>
      <c r="N910">
        <v>0</v>
      </c>
    </row>
    <row r="911" spans="1:14" x14ac:dyDescent="0.25">
      <c r="A911">
        <v>549.24169600000005</v>
      </c>
      <c r="B911" s="1">
        <f>DATE(2011,11,1) + TIME(5,48,2)</f>
        <v>40848.241689814815</v>
      </c>
      <c r="C911">
        <v>80</v>
      </c>
      <c r="D911">
        <v>79.870315551999994</v>
      </c>
      <c r="E911">
        <v>50</v>
      </c>
      <c r="F911">
        <v>34.597957610999998</v>
      </c>
      <c r="G911">
        <v>1300.0975341999999</v>
      </c>
      <c r="H911">
        <v>1287.7922363</v>
      </c>
      <c r="I911">
        <v>1415.4268798999999</v>
      </c>
      <c r="J911">
        <v>1389.6976318</v>
      </c>
      <c r="K911">
        <v>0</v>
      </c>
      <c r="L911">
        <v>2400</v>
      </c>
      <c r="M911">
        <v>2400</v>
      </c>
      <c r="N911">
        <v>0</v>
      </c>
    </row>
    <row r="912" spans="1:14" x14ac:dyDescent="0.25">
      <c r="A912">
        <v>549.28985899999998</v>
      </c>
      <c r="B912" s="1">
        <f>DATE(2011,11,1) + TIME(6,57,23)</f>
        <v>40848.289849537039</v>
      </c>
      <c r="C912">
        <v>80</v>
      </c>
      <c r="D912">
        <v>79.858581543</v>
      </c>
      <c r="E912">
        <v>50</v>
      </c>
      <c r="F912">
        <v>35.435901641999997</v>
      </c>
      <c r="G912">
        <v>1300.0698242000001</v>
      </c>
      <c r="H912">
        <v>1287.7637939000001</v>
      </c>
      <c r="I912">
        <v>1414.8226318</v>
      </c>
      <c r="J912">
        <v>1389.4790039</v>
      </c>
      <c r="K912">
        <v>0</v>
      </c>
      <c r="L912">
        <v>2400</v>
      </c>
      <c r="M912">
        <v>2400</v>
      </c>
      <c r="N912">
        <v>0</v>
      </c>
    </row>
    <row r="913" spans="1:14" x14ac:dyDescent="0.25">
      <c r="A913">
        <v>549.34034599999995</v>
      </c>
      <c r="B913" s="1">
        <f>DATE(2011,11,1) + TIME(8,10,5)</f>
        <v>40848.34033564815</v>
      </c>
      <c r="C913">
        <v>80</v>
      </c>
      <c r="D913">
        <v>79.846473693999997</v>
      </c>
      <c r="E913">
        <v>50</v>
      </c>
      <c r="F913">
        <v>36.266075133999998</v>
      </c>
      <c r="G913">
        <v>1300.0574951000001</v>
      </c>
      <c r="H913">
        <v>1287.7507324000001</v>
      </c>
      <c r="I913">
        <v>1414.2430420000001</v>
      </c>
      <c r="J913">
        <v>1389.2703856999999</v>
      </c>
      <c r="K913">
        <v>0</v>
      </c>
      <c r="L913">
        <v>2400</v>
      </c>
      <c r="M913">
        <v>2400</v>
      </c>
      <c r="N913">
        <v>0</v>
      </c>
    </row>
    <row r="914" spans="1:14" x14ac:dyDescent="0.25">
      <c r="A914">
        <v>549.39341300000001</v>
      </c>
      <c r="B914" s="1">
        <f>DATE(2011,11,1) + TIME(9,26,30)</f>
        <v>40848.39340277778</v>
      </c>
      <c r="C914">
        <v>80</v>
      </c>
      <c r="D914">
        <v>79.833961486999996</v>
      </c>
      <c r="E914">
        <v>50</v>
      </c>
      <c r="F914">
        <v>37.088241576999998</v>
      </c>
      <c r="G914">
        <v>1300.0513916</v>
      </c>
      <c r="H914">
        <v>1287.7440185999999</v>
      </c>
      <c r="I914">
        <v>1413.6860352000001</v>
      </c>
      <c r="J914">
        <v>1389.0701904</v>
      </c>
      <c r="K914">
        <v>0</v>
      </c>
      <c r="L914">
        <v>2400</v>
      </c>
      <c r="M914">
        <v>2400</v>
      </c>
      <c r="N914">
        <v>0</v>
      </c>
    </row>
    <row r="915" spans="1:14" x14ac:dyDescent="0.25">
      <c r="A915">
        <v>549.44934799999999</v>
      </c>
      <c r="B915" s="1">
        <f>DATE(2011,11,1) + TIME(10,47,3)</f>
        <v>40848.449340277781</v>
      </c>
      <c r="C915">
        <v>80</v>
      </c>
      <c r="D915">
        <v>79.820999146000005</v>
      </c>
      <c r="E915">
        <v>50</v>
      </c>
      <c r="F915">
        <v>37.901969909999998</v>
      </c>
      <c r="G915">
        <v>1300.0478516000001</v>
      </c>
      <c r="H915">
        <v>1287.7397461</v>
      </c>
      <c r="I915">
        <v>1413.1488036999999</v>
      </c>
      <c r="J915">
        <v>1388.8762207</v>
      </c>
      <c r="K915">
        <v>0</v>
      </c>
      <c r="L915">
        <v>2400</v>
      </c>
      <c r="M915">
        <v>2400</v>
      </c>
      <c r="N915">
        <v>0</v>
      </c>
    </row>
    <row r="916" spans="1:14" x14ac:dyDescent="0.25">
      <c r="A916">
        <v>549.50849000000005</v>
      </c>
      <c r="B916" s="1">
        <f>DATE(2011,11,1) + TIME(12,12,13)</f>
        <v>40848.508483796293</v>
      </c>
      <c r="C916">
        <v>80</v>
      </c>
      <c r="D916">
        <v>79.807518005000006</v>
      </c>
      <c r="E916">
        <v>50</v>
      </c>
      <c r="F916">
        <v>38.706779480000002</v>
      </c>
      <c r="G916">
        <v>1300.0451660000001</v>
      </c>
      <c r="H916">
        <v>1287.7364502</v>
      </c>
      <c r="I916">
        <v>1412.6295166</v>
      </c>
      <c r="J916">
        <v>1388.6871338000001</v>
      </c>
      <c r="K916">
        <v>0</v>
      </c>
      <c r="L916">
        <v>2400</v>
      </c>
      <c r="M916">
        <v>2400</v>
      </c>
      <c r="N916">
        <v>0</v>
      </c>
    </row>
    <row r="917" spans="1:14" x14ac:dyDescent="0.25">
      <c r="A917">
        <v>549.571237</v>
      </c>
      <c r="B917" s="1">
        <f>DATE(2011,11,1) + TIME(13,42,34)</f>
        <v>40848.571226851855</v>
      </c>
      <c r="C917">
        <v>80</v>
      </c>
      <c r="D917">
        <v>79.793464661000002</v>
      </c>
      <c r="E917">
        <v>50</v>
      </c>
      <c r="F917">
        <v>39.502113342000001</v>
      </c>
      <c r="G917">
        <v>1300.0427245999999</v>
      </c>
      <c r="H917">
        <v>1287.7332764</v>
      </c>
      <c r="I917">
        <v>1412.1265868999999</v>
      </c>
      <c r="J917">
        <v>1388.5018310999999</v>
      </c>
      <c r="K917">
        <v>0</v>
      </c>
      <c r="L917">
        <v>2400</v>
      </c>
      <c r="M917">
        <v>2400</v>
      </c>
      <c r="N917">
        <v>0</v>
      </c>
    </row>
    <row r="918" spans="1:14" x14ac:dyDescent="0.25">
      <c r="A918">
        <v>549.63806599999998</v>
      </c>
      <c r="B918" s="1">
        <f>DATE(2011,11,1) + TIME(15,18,48)</f>
        <v>40848.638055555559</v>
      </c>
      <c r="C918">
        <v>80</v>
      </c>
      <c r="D918">
        <v>79.778770446999999</v>
      </c>
      <c r="E918">
        <v>50</v>
      </c>
      <c r="F918">
        <v>40.287395476999997</v>
      </c>
      <c r="G918">
        <v>1300.0404053</v>
      </c>
      <c r="H918">
        <v>1287.7302245999999</v>
      </c>
      <c r="I918">
        <v>1411.6389160000001</v>
      </c>
      <c r="J918">
        <v>1388.3194579999999</v>
      </c>
      <c r="K918">
        <v>0</v>
      </c>
      <c r="L918">
        <v>2400</v>
      </c>
      <c r="M918">
        <v>2400</v>
      </c>
      <c r="N918">
        <v>0</v>
      </c>
    </row>
    <row r="919" spans="1:14" x14ac:dyDescent="0.25">
      <c r="A919">
        <v>549.70955000000004</v>
      </c>
      <c r="B919" s="1">
        <f>DATE(2011,11,1) + TIME(17,1,45)</f>
        <v>40848.709548611114</v>
      </c>
      <c r="C919">
        <v>80</v>
      </c>
      <c r="D919">
        <v>79.763336182000003</v>
      </c>
      <c r="E919">
        <v>50</v>
      </c>
      <c r="F919">
        <v>41.061923981</v>
      </c>
      <c r="G919">
        <v>1300.0378418</v>
      </c>
      <c r="H919">
        <v>1287.7269286999999</v>
      </c>
      <c r="I919">
        <v>1411.1652832</v>
      </c>
      <c r="J919">
        <v>1388.1391602000001</v>
      </c>
      <c r="K919">
        <v>0</v>
      </c>
      <c r="L919">
        <v>2400</v>
      </c>
      <c r="M919">
        <v>2400</v>
      </c>
      <c r="N919">
        <v>0</v>
      </c>
    </row>
    <row r="920" spans="1:14" x14ac:dyDescent="0.25">
      <c r="A920">
        <v>549.78638699999999</v>
      </c>
      <c r="B920" s="1">
        <f>DATE(2011,11,1) + TIME(18,52,23)</f>
        <v>40848.786377314813</v>
      </c>
      <c r="C920">
        <v>80</v>
      </c>
      <c r="D920">
        <v>79.747062682999996</v>
      </c>
      <c r="E920">
        <v>50</v>
      </c>
      <c r="F920">
        <v>41.824710846000002</v>
      </c>
      <c r="G920">
        <v>1300.0351562000001</v>
      </c>
      <c r="H920">
        <v>1287.7233887</v>
      </c>
      <c r="I920">
        <v>1410.7048339999999</v>
      </c>
      <c r="J920">
        <v>1387.9604492000001</v>
      </c>
      <c r="K920">
        <v>0</v>
      </c>
      <c r="L920">
        <v>2400</v>
      </c>
      <c r="M920">
        <v>2400</v>
      </c>
      <c r="N920">
        <v>0</v>
      </c>
    </row>
    <row r="921" spans="1:14" x14ac:dyDescent="0.25">
      <c r="A921">
        <v>549.86943799999995</v>
      </c>
      <c r="B921" s="1">
        <f>DATE(2011,11,1) + TIME(20,51,59)</f>
        <v>40848.869432870371</v>
      </c>
      <c r="C921">
        <v>80</v>
      </c>
      <c r="D921">
        <v>79.729812621999997</v>
      </c>
      <c r="E921">
        <v>50</v>
      </c>
      <c r="F921">
        <v>42.574718474999997</v>
      </c>
      <c r="G921">
        <v>1300.0321045000001</v>
      </c>
      <c r="H921">
        <v>1287.7196045000001</v>
      </c>
      <c r="I921">
        <v>1410.2565918</v>
      </c>
      <c r="J921">
        <v>1387.7825928</v>
      </c>
      <c r="K921">
        <v>0</v>
      </c>
      <c r="L921">
        <v>2400</v>
      </c>
      <c r="M921">
        <v>2400</v>
      </c>
      <c r="N921">
        <v>0</v>
      </c>
    </row>
    <row r="922" spans="1:14" x14ac:dyDescent="0.25">
      <c r="A922">
        <v>549.95978300000002</v>
      </c>
      <c r="B922" s="1">
        <f>DATE(2011,11,1) + TIME(23,2,5)</f>
        <v>40848.959780092591</v>
      </c>
      <c r="C922">
        <v>80</v>
      </c>
      <c r="D922">
        <v>79.711441039999997</v>
      </c>
      <c r="E922">
        <v>50</v>
      </c>
      <c r="F922">
        <v>43.310733794999997</v>
      </c>
      <c r="G922">
        <v>1300.0289307</v>
      </c>
      <c r="H922">
        <v>1287.7155762</v>
      </c>
      <c r="I922">
        <v>1409.8194579999999</v>
      </c>
      <c r="J922">
        <v>1387.6044922000001</v>
      </c>
      <c r="K922">
        <v>0</v>
      </c>
      <c r="L922">
        <v>2400</v>
      </c>
      <c r="M922">
        <v>2400</v>
      </c>
      <c r="N922">
        <v>0</v>
      </c>
    </row>
    <row r="923" spans="1:14" x14ac:dyDescent="0.25">
      <c r="A923">
        <v>550.05877899999996</v>
      </c>
      <c r="B923" s="1">
        <f>DATE(2011,11,2) + TIME(1,24,38)</f>
        <v>40849.05877314815</v>
      </c>
      <c r="C923">
        <v>80</v>
      </c>
      <c r="D923">
        <v>79.691726685000006</v>
      </c>
      <c r="E923">
        <v>50</v>
      </c>
      <c r="F923">
        <v>44.031177520999996</v>
      </c>
      <c r="G923">
        <v>1300.0253906</v>
      </c>
      <c r="H923">
        <v>1287.7110596</v>
      </c>
      <c r="I923">
        <v>1409.3927002</v>
      </c>
      <c r="J923">
        <v>1387.4255370999999</v>
      </c>
      <c r="K923">
        <v>0</v>
      </c>
      <c r="L923">
        <v>2400</v>
      </c>
      <c r="M923">
        <v>2400</v>
      </c>
      <c r="N923">
        <v>0</v>
      </c>
    </row>
    <row r="924" spans="1:14" x14ac:dyDescent="0.25">
      <c r="A924">
        <v>550.16821800000002</v>
      </c>
      <c r="B924" s="1">
        <f>DATE(2011,11,2) + TIME(4,2,14)</f>
        <v>40849.168217592596</v>
      </c>
      <c r="C924">
        <v>80</v>
      </c>
      <c r="D924">
        <v>79.670433044000006</v>
      </c>
      <c r="E924">
        <v>50</v>
      </c>
      <c r="F924">
        <v>44.734352112000003</v>
      </c>
      <c r="G924">
        <v>1300.0214844</v>
      </c>
      <c r="H924">
        <v>1287.7061768000001</v>
      </c>
      <c r="I924">
        <v>1408.9752197</v>
      </c>
      <c r="J924">
        <v>1387.2445068</v>
      </c>
      <c r="K924">
        <v>0</v>
      </c>
      <c r="L924">
        <v>2400</v>
      </c>
      <c r="M924">
        <v>2400</v>
      </c>
      <c r="N924">
        <v>0</v>
      </c>
    </row>
    <row r="925" spans="1:14" x14ac:dyDescent="0.25">
      <c r="A925">
        <v>550.29047700000001</v>
      </c>
      <c r="B925" s="1">
        <f>DATE(2011,11,2) + TIME(6,58,17)</f>
        <v>40849.29047453704</v>
      </c>
      <c r="C925">
        <v>80</v>
      </c>
      <c r="D925">
        <v>79.647209167</v>
      </c>
      <c r="E925">
        <v>50</v>
      </c>
      <c r="F925">
        <v>45.418155669999997</v>
      </c>
      <c r="G925">
        <v>1300.0170897999999</v>
      </c>
      <c r="H925">
        <v>1287.7006836</v>
      </c>
      <c r="I925">
        <v>1408.5656738</v>
      </c>
      <c r="J925">
        <v>1387.0603027</v>
      </c>
      <c r="K925">
        <v>0</v>
      </c>
      <c r="L925">
        <v>2400</v>
      </c>
      <c r="M925">
        <v>2400</v>
      </c>
      <c r="N925">
        <v>0</v>
      </c>
    </row>
    <row r="926" spans="1:14" x14ac:dyDescent="0.25">
      <c r="A926">
        <v>550.42879700000003</v>
      </c>
      <c r="B926" s="1">
        <f>DATE(2011,11,2) + TIME(10,17,28)</f>
        <v>40849.428796296299</v>
      </c>
      <c r="C926">
        <v>80</v>
      </c>
      <c r="D926">
        <v>79.621612549000005</v>
      </c>
      <c r="E926">
        <v>50</v>
      </c>
      <c r="F926">
        <v>46.079925537000001</v>
      </c>
      <c r="G926">
        <v>1300.012207</v>
      </c>
      <c r="H926">
        <v>1287.6947021000001</v>
      </c>
      <c r="I926">
        <v>1408.1629639</v>
      </c>
      <c r="J926">
        <v>1386.8712158000001</v>
      </c>
      <c r="K926">
        <v>0</v>
      </c>
      <c r="L926">
        <v>2400</v>
      </c>
      <c r="M926">
        <v>2400</v>
      </c>
      <c r="N926">
        <v>0</v>
      </c>
    </row>
    <row r="927" spans="1:14" x14ac:dyDescent="0.25">
      <c r="A927">
        <v>550.58775100000003</v>
      </c>
      <c r="B927" s="1">
        <f>DATE(2011,11,2) + TIME(14,6,21)</f>
        <v>40849.587743055556</v>
      </c>
      <c r="C927">
        <v>80</v>
      </c>
      <c r="D927">
        <v>79.593040466000005</v>
      </c>
      <c r="E927">
        <v>50</v>
      </c>
      <c r="F927">
        <v>46.716316223</v>
      </c>
      <c r="G927">
        <v>1300.0067139</v>
      </c>
      <c r="H927">
        <v>1287.6878661999999</v>
      </c>
      <c r="I927">
        <v>1407.7653809000001</v>
      </c>
      <c r="J927">
        <v>1386.6754149999999</v>
      </c>
      <c r="K927">
        <v>0</v>
      </c>
      <c r="L927">
        <v>2400</v>
      </c>
      <c r="M927">
        <v>2400</v>
      </c>
      <c r="N927">
        <v>0</v>
      </c>
    </row>
    <row r="928" spans="1:14" x14ac:dyDescent="0.25">
      <c r="A928">
        <v>550.75962900000002</v>
      </c>
      <c r="B928" s="1">
        <f>DATE(2011,11,2) + TIME(18,13,51)</f>
        <v>40849.759618055556</v>
      </c>
      <c r="C928">
        <v>80</v>
      </c>
      <c r="D928">
        <v>79.562698363999999</v>
      </c>
      <c r="E928">
        <v>50</v>
      </c>
      <c r="F928">
        <v>47.284328461000001</v>
      </c>
      <c r="G928">
        <v>1300.0002440999999</v>
      </c>
      <c r="H928">
        <v>1287.6801757999999</v>
      </c>
      <c r="I928">
        <v>1407.3924560999999</v>
      </c>
      <c r="J928">
        <v>1386.4782714999999</v>
      </c>
      <c r="K928">
        <v>0</v>
      </c>
      <c r="L928">
        <v>2400</v>
      </c>
      <c r="M928">
        <v>2400</v>
      </c>
      <c r="N928">
        <v>0</v>
      </c>
    </row>
    <row r="929" spans="1:14" x14ac:dyDescent="0.25">
      <c r="A929">
        <v>550.93293100000005</v>
      </c>
      <c r="B929" s="1">
        <f>DATE(2011,11,2) + TIME(22,23,25)</f>
        <v>40849.932928240742</v>
      </c>
      <c r="C929">
        <v>80</v>
      </c>
      <c r="D929">
        <v>79.532264709000003</v>
      </c>
      <c r="E929">
        <v>50</v>
      </c>
      <c r="F929">
        <v>47.756156920999999</v>
      </c>
      <c r="G929">
        <v>1299.9931641000001</v>
      </c>
      <c r="H929">
        <v>1287.671875</v>
      </c>
      <c r="I929">
        <v>1407.0606689000001</v>
      </c>
      <c r="J929">
        <v>1386.2893065999999</v>
      </c>
      <c r="K929">
        <v>0</v>
      </c>
      <c r="L929">
        <v>2400</v>
      </c>
      <c r="M929">
        <v>2400</v>
      </c>
      <c r="N929">
        <v>0</v>
      </c>
    </row>
    <row r="930" spans="1:14" x14ac:dyDescent="0.25">
      <c r="A930">
        <v>551.110006</v>
      </c>
      <c r="B930" s="1">
        <f>DATE(2011,11,3) + TIME(2,38,24)</f>
        <v>40850.11</v>
      </c>
      <c r="C930">
        <v>80</v>
      </c>
      <c r="D930">
        <v>79.501403808999996</v>
      </c>
      <c r="E930">
        <v>50</v>
      </c>
      <c r="F930">
        <v>48.151638030999997</v>
      </c>
      <c r="G930">
        <v>1299.9859618999999</v>
      </c>
      <c r="H930">
        <v>1287.6634521000001</v>
      </c>
      <c r="I930">
        <v>1406.7645264</v>
      </c>
      <c r="J930">
        <v>1386.1119385</v>
      </c>
      <c r="K930">
        <v>0</v>
      </c>
      <c r="L930">
        <v>2400</v>
      </c>
      <c r="M930">
        <v>2400</v>
      </c>
      <c r="N930">
        <v>0</v>
      </c>
    </row>
    <row r="931" spans="1:14" x14ac:dyDescent="0.25">
      <c r="A931">
        <v>551.29214200000001</v>
      </c>
      <c r="B931" s="1">
        <f>DATE(2011,11,3) + TIME(7,0,41)</f>
        <v>40850.292141203703</v>
      </c>
      <c r="C931">
        <v>80</v>
      </c>
      <c r="D931">
        <v>79.469940186000002</v>
      </c>
      <c r="E931">
        <v>50</v>
      </c>
      <c r="F931">
        <v>48.483509064000003</v>
      </c>
      <c r="G931">
        <v>1299.9786377</v>
      </c>
      <c r="H931">
        <v>1287.6547852000001</v>
      </c>
      <c r="I931">
        <v>1406.4967041</v>
      </c>
      <c r="J931">
        <v>1385.9434814000001</v>
      </c>
      <c r="K931">
        <v>0</v>
      </c>
      <c r="L931">
        <v>2400</v>
      </c>
      <c r="M931">
        <v>2400</v>
      </c>
      <c r="N931">
        <v>0</v>
      </c>
    </row>
    <row r="932" spans="1:14" x14ac:dyDescent="0.25">
      <c r="A932">
        <v>551.48072999999999</v>
      </c>
      <c r="B932" s="1">
        <f>DATE(2011,11,3) + TIME(11,32,15)</f>
        <v>40850.480729166666</v>
      </c>
      <c r="C932">
        <v>80</v>
      </c>
      <c r="D932">
        <v>79.437683105000005</v>
      </c>
      <c r="E932">
        <v>50</v>
      </c>
      <c r="F932">
        <v>48.761970519999998</v>
      </c>
      <c r="G932">
        <v>1299.9709473</v>
      </c>
      <c r="H932">
        <v>1287.645874</v>
      </c>
      <c r="I932">
        <v>1406.2518310999999</v>
      </c>
      <c r="J932">
        <v>1385.7817382999999</v>
      </c>
      <c r="K932">
        <v>0</v>
      </c>
      <c r="L932">
        <v>2400</v>
      </c>
      <c r="M932">
        <v>2400</v>
      </c>
      <c r="N932">
        <v>0</v>
      </c>
    </row>
    <row r="933" spans="1:14" x14ac:dyDescent="0.25">
      <c r="A933">
        <v>551.67725399999995</v>
      </c>
      <c r="B933" s="1">
        <f>DATE(2011,11,3) + TIME(16,15,14)</f>
        <v>40850.677245370367</v>
      </c>
      <c r="C933">
        <v>80</v>
      </c>
      <c r="D933">
        <v>79.404434203999998</v>
      </c>
      <c r="E933">
        <v>50</v>
      </c>
      <c r="F933">
        <v>48.995220183999997</v>
      </c>
      <c r="G933">
        <v>1299.9631348</v>
      </c>
      <c r="H933">
        <v>1287.6367187999999</v>
      </c>
      <c r="I933">
        <v>1406.0257568</v>
      </c>
      <c r="J933">
        <v>1385.6253661999999</v>
      </c>
      <c r="K933">
        <v>0</v>
      </c>
      <c r="L933">
        <v>2400</v>
      </c>
      <c r="M933">
        <v>2400</v>
      </c>
      <c r="N933">
        <v>0</v>
      </c>
    </row>
    <row r="934" spans="1:14" x14ac:dyDescent="0.25">
      <c r="A934">
        <v>551.88336800000002</v>
      </c>
      <c r="B934" s="1">
        <f>DATE(2011,11,3) + TIME(21,12,2)</f>
        <v>40850.883356481485</v>
      </c>
      <c r="C934">
        <v>80</v>
      </c>
      <c r="D934">
        <v>79.369964600000003</v>
      </c>
      <c r="E934">
        <v>50</v>
      </c>
      <c r="F934">
        <v>49.189983368</v>
      </c>
      <c r="G934">
        <v>1299.9549560999999</v>
      </c>
      <c r="H934">
        <v>1287.6271973</v>
      </c>
      <c r="I934">
        <v>1405.8146973</v>
      </c>
      <c r="J934">
        <v>1385.4727783000001</v>
      </c>
      <c r="K934">
        <v>0</v>
      </c>
      <c r="L934">
        <v>2400</v>
      </c>
      <c r="M934">
        <v>2400</v>
      </c>
      <c r="N934">
        <v>0</v>
      </c>
    </row>
    <row r="935" spans="1:14" x14ac:dyDescent="0.25">
      <c r="A935">
        <v>552.10097399999995</v>
      </c>
      <c r="B935" s="1">
        <f>DATE(2011,11,4) + TIME(2,25,24)</f>
        <v>40851.100972222222</v>
      </c>
      <c r="C935">
        <v>80</v>
      </c>
      <c r="D935">
        <v>79.334022521999998</v>
      </c>
      <c r="E935">
        <v>50</v>
      </c>
      <c r="F935">
        <v>49.351860045999999</v>
      </c>
      <c r="G935">
        <v>1299.9462891000001</v>
      </c>
      <c r="H935">
        <v>1287.6170654</v>
      </c>
      <c r="I935">
        <v>1405.6157227000001</v>
      </c>
      <c r="J935">
        <v>1385.3229980000001</v>
      </c>
      <c r="K935">
        <v>0</v>
      </c>
      <c r="L935">
        <v>2400</v>
      </c>
      <c r="M935">
        <v>2400</v>
      </c>
      <c r="N935">
        <v>0</v>
      </c>
    </row>
    <row r="936" spans="1:14" x14ac:dyDescent="0.25">
      <c r="A936">
        <v>552.33232699999996</v>
      </c>
      <c r="B936" s="1">
        <f>DATE(2011,11,4) + TIME(7,58,33)</f>
        <v>40851.332326388889</v>
      </c>
      <c r="C936">
        <v>80</v>
      </c>
      <c r="D936">
        <v>79.296318053999997</v>
      </c>
      <c r="E936">
        <v>50</v>
      </c>
      <c r="F936">
        <v>49.485572814999998</v>
      </c>
      <c r="G936">
        <v>1299.9372559000001</v>
      </c>
      <c r="H936">
        <v>1287.6064452999999</v>
      </c>
      <c r="I936">
        <v>1405.4262695</v>
      </c>
      <c r="J936">
        <v>1385.1745605000001</v>
      </c>
      <c r="K936">
        <v>0</v>
      </c>
      <c r="L936">
        <v>2400</v>
      </c>
      <c r="M936">
        <v>2400</v>
      </c>
      <c r="N936">
        <v>0</v>
      </c>
    </row>
    <row r="937" spans="1:14" x14ac:dyDescent="0.25">
      <c r="A937">
        <v>552.58015999999998</v>
      </c>
      <c r="B937" s="1">
        <f>DATE(2011,11,4) + TIME(13,55,25)</f>
        <v>40851.580150462964</v>
      </c>
      <c r="C937">
        <v>80</v>
      </c>
      <c r="D937">
        <v>79.256500243999994</v>
      </c>
      <c r="E937">
        <v>50</v>
      </c>
      <c r="F937">
        <v>49.595161437999998</v>
      </c>
      <c r="G937">
        <v>1299.9274902</v>
      </c>
      <c r="H937">
        <v>1287.5950928</v>
      </c>
      <c r="I937">
        <v>1405.2440185999999</v>
      </c>
      <c r="J937">
        <v>1385.0267334</v>
      </c>
      <c r="K937">
        <v>0</v>
      </c>
      <c r="L937">
        <v>2400</v>
      </c>
      <c r="M937">
        <v>2400</v>
      </c>
      <c r="N937">
        <v>0</v>
      </c>
    </row>
    <row r="938" spans="1:14" x14ac:dyDescent="0.25">
      <c r="A938">
        <v>552.84782299999995</v>
      </c>
      <c r="B938" s="1">
        <f>DATE(2011,11,4) + TIME(20,20,51)</f>
        <v>40851.847812499997</v>
      </c>
      <c r="C938">
        <v>80</v>
      </c>
      <c r="D938">
        <v>79.214157103999995</v>
      </c>
      <c r="E938">
        <v>50</v>
      </c>
      <c r="F938">
        <v>49.684089661000002</v>
      </c>
      <c r="G938">
        <v>1299.9171143000001</v>
      </c>
      <c r="H938">
        <v>1287.5830077999999</v>
      </c>
      <c r="I938">
        <v>1405.0665283000001</v>
      </c>
      <c r="J938">
        <v>1384.8780518000001</v>
      </c>
      <c r="K938">
        <v>0</v>
      </c>
      <c r="L938">
        <v>2400</v>
      </c>
      <c r="M938">
        <v>2400</v>
      </c>
      <c r="N938">
        <v>0</v>
      </c>
    </row>
    <row r="939" spans="1:14" x14ac:dyDescent="0.25">
      <c r="A939">
        <v>553.13817200000005</v>
      </c>
      <c r="B939" s="1">
        <f>DATE(2011,11,5) + TIME(3,18,58)</f>
        <v>40852.138171296298</v>
      </c>
      <c r="C939">
        <v>80</v>
      </c>
      <c r="D939">
        <v>79.168930054</v>
      </c>
      <c r="E939">
        <v>50</v>
      </c>
      <c r="F939">
        <v>49.755138397000003</v>
      </c>
      <c r="G939">
        <v>1299.9057617000001</v>
      </c>
      <c r="H939">
        <v>1287.5699463000001</v>
      </c>
      <c r="I939">
        <v>1404.8920897999999</v>
      </c>
      <c r="J939">
        <v>1384.7275391000001</v>
      </c>
      <c r="K939">
        <v>0</v>
      </c>
      <c r="L939">
        <v>2400</v>
      </c>
      <c r="M939">
        <v>2400</v>
      </c>
      <c r="N939">
        <v>0</v>
      </c>
    </row>
    <row r="940" spans="1:14" x14ac:dyDescent="0.25">
      <c r="A940">
        <v>553.45172600000001</v>
      </c>
      <c r="B940" s="1">
        <f>DATE(2011,11,5) + TIME(10,50,29)</f>
        <v>40852.451724537037</v>
      </c>
      <c r="C940">
        <v>80</v>
      </c>
      <c r="D940">
        <v>79.120735167999996</v>
      </c>
      <c r="E940">
        <v>50</v>
      </c>
      <c r="F940">
        <v>49.810543060000001</v>
      </c>
      <c r="G940">
        <v>1299.8935547000001</v>
      </c>
      <c r="H940">
        <v>1287.5557861</v>
      </c>
      <c r="I940">
        <v>1404.7193603999999</v>
      </c>
      <c r="J940">
        <v>1384.5745850000001</v>
      </c>
      <c r="K940">
        <v>0</v>
      </c>
      <c r="L940">
        <v>2400</v>
      </c>
      <c r="M940">
        <v>2400</v>
      </c>
      <c r="N940">
        <v>0</v>
      </c>
    </row>
    <row r="941" spans="1:14" x14ac:dyDescent="0.25">
      <c r="A941">
        <v>553.79379200000005</v>
      </c>
      <c r="B941" s="1">
        <f>DATE(2011,11,5) + TIME(19,3,3)</f>
        <v>40852.79378472222</v>
      </c>
      <c r="C941">
        <v>80</v>
      </c>
      <c r="D941">
        <v>79.068962096999996</v>
      </c>
      <c r="E941">
        <v>50</v>
      </c>
      <c r="F941">
        <v>49.853195190000001</v>
      </c>
      <c r="G941">
        <v>1299.880249</v>
      </c>
      <c r="H941">
        <v>1287.5404053</v>
      </c>
      <c r="I941">
        <v>1404.5480957</v>
      </c>
      <c r="J941">
        <v>1384.4197998</v>
      </c>
      <c r="K941">
        <v>0</v>
      </c>
      <c r="L941">
        <v>2400</v>
      </c>
      <c r="M941">
        <v>2400</v>
      </c>
      <c r="N941">
        <v>0</v>
      </c>
    </row>
    <row r="942" spans="1:14" x14ac:dyDescent="0.25">
      <c r="A942">
        <v>554.15020300000003</v>
      </c>
      <c r="B942" s="1">
        <f>DATE(2011,11,6) + TIME(3,36,17)</f>
        <v>40853.150196759256</v>
      </c>
      <c r="C942">
        <v>80</v>
      </c>
      <c r="D942">
        <v>79.015052795000003</v>
      </c>
      <c r="E942">
        <v>50</v>
      </c>
      <c r="F942">
        <v>49.884235382</v>
      </c>
      <c r="G942">
        <v>1299.8656006000001</v>
      </c>
      <c r="H942">
        <v>1287.5236815999999</v>
      </c>
      <c r="I942">
        <v>1404.3767089999999</v>
      </c>
      <c r="J942">
        <v>1384.2618408000001</v>
      </c>
      <c r="K942">
        <v>0</v>
      </c>
      <c r="L942">
        <v>2400</v>
      </c>
      <c r="M942">
        <v>2400</v>
      </c>
      <c r="N942">
        <v>0</v>
      </c>
    </row>
    <row r="943" spans="1:14" x14ac:dyDescent="0.25">
      <c r="A943">
        <v>554.50953900000002</v>
      </c>
      <c r="B943" s="1">
        <f>DATE(2011,11,6) + TIME(12,13,44)</f>
        <v>40853.50953703704</v>
      </c>
      <c r="C943">
        <v>80</v>
      </c>
      <c r="D943">
        <v>78.960319518999995</v>
      </c>
      <c r="E943">
        <v>50</v>
      </c>
      <c r="F943">
        <v>49.906101227000001</v>
      </c>
      <c r="G943">
        <v>1299.8503418</v>
      </c>
      <c r="H943">
        <v>1287.5062256000001</v>
      </c>
      <c r="I943">
        <v>1404.2115478999999</v>
      </c>
      <c r="J943">
        <v>1384.1077881000001</v>
      </c>
      <c r="K943">
        <v>0</v>
      </c>
      <c r="L943">
        <v>2400</v>
      </c>
      <c r="M943">
        <v>2400</v>
      </c>
      <c r="N943">
        <v>0</v>
      </c>
    </row>
    <row r="944" spans="1:14" x14ac:dyDescent="0.25">
      <c r="A944">
        <v>554.87527699999998</v>
      </c>
      <c r="B944" s="1">
        <f>DATE(2011,11,6) + TIME(21,0,23)</f>
        <v>40853.8752662037</v>
      </c>
      <c r="C944">
        <v>80</v>
      </c>
      <c r="D944">
        <v>78.904663085999999</v>
      </c>
      <c r="E944">
        <v>50</v>
      </c>
      <c r="F944">
        <v>49.921619415000002</v>
      </c>
      <c r="G944">
        <v>1299.8348389</v>
      </c>
      <c r="H944">
        <v>1287.4886475000001</v>
      </c>
      <c r="I944">
        <v>1404.0561522999999</v>
      </c>
      <c r="J944">
        <v>1383.9619141000001</v>
      </c>
      <c r="K944">
        <v>0</v>
      </c>
      <c r="L944">
        <v>2400</v>
      </c>
      <c r="M944">
        <v>2400</v>
      </c>
      <c r="N944">
        <v>0</v>
      </c>
    </row>
    <row r="945" spans="1:14" x14ac:dyDescent="0.25">
      <c r="A945">
        <v>555.25068599999997</v>
      </c>
      <c r="B945" s="1">
        <f>DATE(2011,11,7) + TIME(6,0,59)</f>
        <v>40854.25068287037</v>
      </c>
      <c r="C945">
        <v>80</v>
      </c>
      <c r="D945">
        <v>78.847854613999999</v>
      </c>
      <c r="E945">
        <v>50</v>
      </c>
      <c r="F945">
        <v>49.932685851999999</v>
      </c>
      <c r="G945">
        <v>1299.8190918</v>
      </c>
      <c r="H945">
        <v>1287.4705810999999</v>
      </c>
      <c r="I945">
        <v>1403.9080810999999</v>
      </c>
      <c r="J945">
        <v>1383.8220214999999</v>
      </c>
      <c r="K945">
        <v>0</v>
      </c>
      <c r="L945">
        <v>2400</v>
      </c>
      <c r="M945">
        <v>2400</v>
      </c>
      <c r="N945">
        <v>0</v>
      </c>
    </row>
    <row r="946" spans="1:14" x14ac:dyDescent="0.25">
      <c r="A946">
        <v>555.63903400000004</v>
      </c>
      <c r="B946" s="1">
        <f>DATE(2011,11,7) + TIME(15,20,12)</f>
        <v>40854.639027777775</v>
      </c>
      <c r="C946">
        <v>80</v>
      </c>
      <c r="D946">
        <v>78.789619446000003</v>
      </c>
      <c r="E946">
        <v>50</v>
      </c>
      <c r="F946">
        <v>49.940597533999998</v>
      </c>
      <c r="G946">
        <v>1299.8029785000001</v>
      </c>
      <c r="H946">
        <v>1287.4520264</v>
      </c>
      <c r="I946">
        <v>1403.7651367000001</v>
      </c>
      <c r="J946">
        <v>1383.6866454999999</v>
      </c>
      <c r="K946">
        <v>0</v>
      </c>
      <c r="L946">
        <v>2400</v>
      </c>
      <c r="M946">
        <v>2400</v>
      </c>
      <c r="N946">
        <v>0</v>
      </c>
    </row>
    <row r="947" spans="1:14" x14ac:dyDescent="0.25">
      <c r="A947">
        <v>556.04382199999998</v>
      </c>
      <c r="B947" s="1">
        <f>DATE(2011,11,8) + TIME(1,3,6)</f>
        <v>40855.043819444443</v>
      </c>
      <c r="C947">
        <v>80</v>
      </c>
      <c r="D947">
        <v>78.729629517000006</v>
      </c>
      <c r="E947">
        <v>50</v>
      </c>
      <c r="F947">
        <v>49.946262359999999</v>
      </c>
      <c r="G947">
        <v>1299.7862548999999</v>
      </c>
      <c r="H947">
        <v>1287.4328613</v>
      </c>
      <c r="I947">
        <v>1403.6257324000001</v>
      </c>
      <c r="J947">
        <v>1383.5540771000001</v>
      </c>
      <c r="K947">
        <v>0</v>
      </c>
      <c r="L947">
        <v>2400</v>
      </c>
      <c r="M947">
        <v>2400</v>
      </c>
      <c r="N947">
        <v>0</v>
      </c>
    </row>
    <row r="948" spans="1:14" x14ac:dyDescent="0.25">
      <c r="A948">
        <v>556.46899099999996</v>
      </c>
      <c r="B948" s="1">
        <f>DATE(2011,11,8) + TIME(11,15,20)</f>
        <v>40855.468981481485</v>
      </c>
      <c r="C948">
        <v>80</v>
      </c>
      <c r="D948">
        <v>78.667449950999995</v>
      </c>
      <c r="E948">
        <v>50</v>
      </c>
      <c r="F948">
        <v>49.950321197999997</v>
      </c>
      <c r="G948">
        <v>1299.7687988</v>
      </c>
      <c r="H948">
        <v>1287.4128418</v>
      </c>
      <c r="I948">
        <v>1403.4884033000001</v>
      </c>
      <c r="J948">
        <v>1383.4234618999999</v>
      </c>
      <c r="K948">
        <v>0</v>
      </c>
      <c r="L948">
        <v>2400</v>
      </c>
      <c r="M948">
        <v>2400</v>
      </c>
      <c r="N948">
        <v>0</v>
      </c>
    </row>
    <row r="949" spans="1:14" x14ac:dyDescent="0.25">
      <c r="A949">
        <v>556.919173</v>
      </c>
      <c r="B949" s="1">
        <f>DATE(2011,11,8) + TIME(22,3,36)</f>
        <v>40855.919166666667</v>
      </c>
      <c r="C949">
        <v>80</v>
      </c>
      <c r="D949">
        <v>78.602592467999997</v>
      </c>
      <c r="E949">
        <v>50</v>
      </c>
      <c r="F949">
        <v>49.953231811999999</v>
      </c>
      <c r="G949">
        <v>1299.7503661999999</v>
      </c>
      <c r="H949">
        <v>1287.3917236</v>
      </c>
      <c r="I949">
        <v>1403.3518065999999</v>
      </c>
      <c r="J949">
        <v>1383.2935791</v>
      </c>
      <c r="K949">
        <v>0</v>
      </c>
      <c r="L949">
        <v>2400</v>
      </c>
      <c r="M949">
        <v>2400</v>
      </c>
      <c r="N949">
        <v>0</v>
      </c>
    </row>
    <row r="950" spans="1:14" x14ac:dyDescent="0.25">
      <c r="A950">
        <v>557.39581199999998</v>
      </c>
      <c r="B950" s="1">
        <f>DATE(2011,11,9) + TIME(9,29,58)</f>
        <v>40856.395810185182</v>
      </c>
      <c r="C950">
        <v>80</v>
      </c>
      <c r="D950">
        <v>78.534828185999999</v>
      </c>
      <c r="E950">
        <v>50</v>
      </c>
      <c r="F950">
        <v>49.955310822000001</v>
      </c>
      <c r="G950">
        <v>1299.7308350000001</v>
      </c>
      <c r="H950">
        <v>1287.3693848</v>
      </c>
      <c r="I950">
        <v>1403.2149658000001</v>
      </c>
      <c r="J950">
        <v>1383.1633300999999</v>
      </c>
      <c r="K950">
        <v>0</v>
      </c>
      <c r="L950">
        <v>2400</v>
      </c>
      <c r="M950">
        <v>2400</v>
      </c>
      <c r="N950">
        <v>0</v>
      </c>
    </row>
    <row r="951" spans="1:14" x14ac:dyDescent="0.25">
      <c r="A951">
        <v>557.90217600000005</v>
      </c>
      <c r="B951" s="1">
        <f>DATE(2011,11,9) + TIME(21,39,8)</f>
        <v>40856.902175925927</v>
      </c>
      <c r="C951">
        <v>80</v>
      </c>
      <c r="D951">
        <v>78.463806152000004</v>
      </c>
      <c r="E951">
        <v>50</v>
      </c>
      <c r="F951">
        <v>49.956790924000003</v>
      </c>
      <c r="G951">
        <v>1299.7100829999999</v>
      </c>
      <c r="H951">
        <v>1287.3455810999999</v>
      </c>
      <c r="I951">
        <v>1403.0776367000001</v>
      </c>
      <c r="J951">
        <v>1383.0327147999999</v>
      </c>
      <c r="K951">
        <v>0</v>
      </c>
      <c r="L951">
        <v>2400</v>
      </c>
      <c r="M951">
        <v>2400</v>
      </c>
      <c r="N951">
        <v>0</v>
      </c>
    </row>
    <row r="952" spans="1:14" x14ac:dyDescent="0.25">
      <c r="A952">
        <v>558.44484899999998</v>
      </c>
      <c r="B952" s="1">
        <f>DATE(2011,11,10) + TIME(10,40,34)</f>
        <v>40857.444837962961</v>
      </c>
      <c r="C952">
        <v>80</v>
      </c>
      <c r="D952">
        <v>78.388877868999998</v>
      </c>
      <c r="E952">
        <v>50</v>
      </c>
      <c r="F952">
        <v>49.957859038999999</v>
      </c>
      <c r="G952">
        <v>1299.6879882999999</v>
      </c>
      <c r="H952">
        <v>1287.3203125</v>
      </c>
      <c r="I952">
        <v>1402.9394531</v>
      </c>
      <c r="J952">
        <v>1382.9014893000001</v>
      </c>
      <c r="K952">
        <v>0</v>
      </c>
      <c r="L952">
        <v>2400</v>
      </c>
      <c r="M952">
        <v>2400</v>
      </c>
      <c r="N952">
        <v>0</v>
      </c>
    </row>
    <row r="953" spans="1:14" x14ac:dyDescent="0.25">
      <c r="A953">
        <v>559.01350500000001</v>
      </c>
      <c r="B953" s="1">
        <f>DATE(2011,11,11) + TIME(0,19,26)</f>
        <v>40858.013495370367</v>
      </c>
      <c r="C953">
        <v>80</v>
      </c>
      <c r="D953">
        <v>78.310745238999999</v>
      </c>
      <c r="E953">
        <v>50</v>
      </c>
      <c r="F953">
        <v>49.958614349000001</v>
      </c>
      <c r="G953">
        <v>1299.6641846</v>
      </c>
      <c r="H953">
        <v>1287.2932129000001</v>
      </c>
      <c r="I953">
        <v>1402.7990723</v>
      </c>
      <c r="J953">
        <v>1382.7684326000001</v>
      </c>
      <c r="K953">
        <v>0</v>
      </c>
      <c r="L953">
        <v>2400</v>
      </c>
      <c r="M953">
        <v>2400</v>
      </c>
      <c r="N953">
        <v>0</v>
      </c>
    </row>
    <row r="954" spans="1:14" x14ac:dyDescent="0.25">
      <c r="A954">
        <v>559.58671500000003</v>
      </c>
      <c r="B954" s="1">
        <f>DATE(2011,11,11) + TIME(14,4,52)</f>
        <v>40858.586712962962</v>
      </c>
      <c r="C954">
        <v>80</v>
      </c>
      <c r="D954">
        <v>78.231292725000003</v>
      </c>
      <c r="E954">
        <v>50</v>
      </c>
      <c r="F954">
        <v>49.959136962999999</v>
      </c>
      <c r="G954">
        <v>1299.6390381000001</v>
      </c>
      <c r="H954">
        <v>1287.2646483999999</v>
      </c>
      <c r="I954">
        <v>1402.6597899999999</v>
      </c>
      <c r="J954">
        <v>1382.6364745999999</v>
      </c>
      <c r="K954">
        <v>0</v>
      </c>
      <c r="L954">
        <v>2400</v>
      </c>
      <c r="M954">
        <v>2400</v>
      </c>
      <c r="N954">
        <v>0</v>
      </c>
    </row>
    <row r="955" spans="1:14" x14ac:dyDescent="0.25">
      <c r="A955">
        <v>560.17002500000001</v>
      </c>
      <c r="B955" s="1">
        <f>DATE(2011,11,12) + TIME(4,4,50)</f>
        <v>40859.170023148145</v>
      </c>
      <c r="C955">
        <v>80</v>
      </c>
      <c r="D955">
        <v>78.150657654</v>
      </c>
      <c r="E955">
        <v>50</v>
      </c>
      <c r="F955">
        <v>49.959510803000001</v>
      </c>
      <c r="G955">
        <v>1299.6136475000001</v>
      </c>
      <c r="H955">
        <v>1287.2357178</v>
      </c>
      <c r="I955">
        <v>1402.5267334</v>
      </c>
      <c r="J955">
        <v>1382.5107422000001</v>
      </c>
      <c r="K955">
        <v>0</v>
      </c>
      <c r="L955">
        <v>2400</v>
      </c>
      <c r="M955">
        <v>2400</v>
      </c>
      <c r="N955">
        <v>0</v>
      </c>
    </row>
    <row r="956" spans="1:14" x14ac:dyDescent="0.25">
      <c r="A956">
        <v>560.76883199999997</v>
      </c>
      <c r="B956" s="1">
        <f>DATE(2011,11,12) + TIME(18,27,7)</f>
        <v>40859.768831018519</v>
      </c>
      <c r="C956">
        <v>80</v>
      </c>
      <c r="D956">
        <v>78.068641662999994</v>
      </c>
      <c r="E956">
        <v>50</v>
      </c>
      <c r="F956">
        <v>49.959785461000003</v>
      </c>
      <c r="G956">
        <v>1299.5877685999999</v>
      </c>
      <c r="H956">
        <v>1287.2061768000001</v>
      </c>
      <c r="I956">
        <v>1402.3981934000001</v>
      </c>
      <c r="J956">
        <v>1382.3892822</v>
      </c>
      <c r="K956">
        <v>0</v>
      </c>
      <c r="L956">
        <v>2400</v>
      </c>
      <c r="M956">
        <v>2400</v>
      </c>
      <c r="N956">
        <v>0</v>
      </c>
    </row>
    <row r="957" spans="1:14" x14ac:dyDescent="0.25">
      <c r="A957">
        <v>561.38871099999994</v>
      </c>
      <c r="B957" s="1">
        <f>DATE(2011,11,13) + TIME(9,19,44)</f>
        <v>40860.388703703706</v>
      </c>
      <c r="C957">
        <v>80</v>
      </c>
      <c r="D957">
        <v>77.984840392999999</v>
      </c>
      <c r="E957">
        <v>50</v>
      </c>
      <c r="F957">
        <v>49.959991455000001</v>
      </c>
      <c r="G957">
        <v>1299.5610352000001</v>
      </c>
      <c r="H957">
        <v>1287.1756591999999</v>
      </c>
      <c r="I957">
        <v>1402.2724608999999</v>
      </c>
      <c r="J957">
        <v>1382.2707519999999</v>
      </c>
      <c r="K957">
        <v>0</v>
      </c>
      <c r="L957">
        <v>2400</v>
      </c>
      <c r="M957">
        <v>2400</v>
      </c>
      <c r="N957">
        <v>0</v>
      </c>
    </row>
    <row r="958" spans="1:14" x14ac:dyDescent="0.25">
      <c r="A958">
        <v>562.03576699999996</v>
      </c>
      <c r="B958" s="1">
        <f>DATE(2011,11,14) + TIME(0,51,30)</f>
        <v>40861.035763888889</v>
      </c>
      <c r="C958">
        <v>80</v>
      </c>
      <c r="D958">
        <v>77.898712157999995</v>
      </c>
      <c r="E958">
        <v>50</v>
      </c>
      <c r="F958">
        <v>49.960151672000002</v>
      </c>
      <c r="G958">
        <v>1299.5333252</v>
      </c>
      <c r="H958">
        <v>1287.1439209</v>
      </c>
      <c r="I958">
        <v>1402.1484375</v>
      </c>
      <c r="J958">
        <v>1382.1540527</v>
      </c>
      <c r="K958">
        <v>0</v>
      </c>
      <c r="L958">
        <v>2400</v>
      </c>
      <c r="M958">
        <v>2400</v>
      </c>
      <c r="N958">
        <v>0</v>
      </c>
    </row>
    <row r="959" spans="1:14" x14ac:dyDescent="0.25">
      <c r="A959">
        <v>562.71569199999999</v>
      </c>
      <c r="B959" s="1">
        <f>DATE(2011,11,14) + TIME(17,10,35)</f>
        <v>40861.715682870374</v>
      </c>
      <c r="C959">
        <v>80</v>
      </c>
      <c r="D959">
        <v>77.809692382999998</v>
      </c>
      <c r="E959">
        <v>50</v>
      </c>
      <c r="F959">
        <v>49.960277556999998</v>
      </c>
      <c r="G959">
        <v>1299.5042725000001</v>
      </c>
      <c r="H959">
        <v>1287.1107178</v>
      </c>
      <c r="I959">
        <v>1402.0250243999999</v>
      </c>
      <c r="J959">
        <v>1382.0380858999999</v>
      </c>
      <c r="K959">
        <v>0</v>
      </c>
      <c r="L959">
        <v>2400</v>
      </c>
      <c r="M959">
        <v>2400</v>
      </c>
      <c r="N959">
        <v>0</v>
      </c>
    </row>
    <row r="960" spans="1:14" x14ac:dyDescent="0.25">
      <c r="A960">
        <v>563.42606799999999</v>
      </c>
      <c r="B960" s="1">
        <f>DATE(2011,11,15) + TIME(10,13,32)</f>
        <v>40862.426064814812</v>
      </c>
      <c r="C960">
        <v>80</v>
      </c>
      <c r="D960">
        <v>77.717735290999997</v>
      </c>
      <c r="E960">
        <v>50</v>
      </c>
      <c r="F960">
        <v>49.960376740000001</v>
      </c>
      <c r="G960">
        <v>1299.4735106999999</v>
      </c>
      <c r="H960">
        <v>1287.0755615</v>
      </c>
      <c r="I960">
        <v>1401.9013672000001</v>
      </c>
      <c r="J960">
        <v>1381.9219971</v>
      </c>
      <c r="K960">
        <v>0</v>
      </c>
      <c r="L960">
        <v>2400</v>
      </c>
      <c r="M960">
        <v>2400</v>
      </c>
      <c r="N960">
        <v>0</v>
      </c>
    </row>
    <row r="961" spans="1:14" x14ac:dyDescent="0.25">
      <c r="A961">
        <v>564.16925700000002</v>
      </c>
      <c r="B961" s="1">
        <f>DATE(2011,11,16) + TIME(4,3,43)</f>
        <v>40863.169247685182</v>
      </c>
      <c r="C961">
        <v>80</v>
      </c>
      <c r="D961">
        <v>77.622673035000005</v>
      </c>
      <c r="E961">
        <v>50</v>
      </c>
      <c r="F961">
        <v>49.960456848</v>
      </c>
      <c r="G961">
        <v>1299.4412841999999</v>
      </c>
      <c r="H961">
        <v>1287.0386963000001</v>
      </c>
      <c r="I961">
        <v>1401.7780762</v>
      </c>
      <c r="J961">
        <v>1381.8065185999999</v>
      </c>
      <c r="K961">
        <v>0</v>
      </c>
      <c r="L961">
        <v>2400</v>
      </c>
      <c r="M961">
        <v>2400</v>
      </c>
      <c r="N961">
        <v>0</v>
      </c>
    </row>
    <row r="962" spans="1:14" x14ac:dyDescent="0.25">
      <c r="A962">
        <v>564.95136400000001</v>
      </c>
      <c r="B962" s="1">
        <f>DATE(2011,11,16) + TIME(22,49,57)</f>
        <v>40863.951354166667</v>
      </c>
      <c r="C962">
        <v>80</v>
      </c>
      <c r="D962">
        <v>77.52406311</v>
      </c>
      <c r="E962">
        <v>50</v>
      </c>
      <c r="F962">
        <v>49.960525513</v>
      </c>
      <c r="G962">
        <v>1299.4073486</v>
      </c>
      <c r="H962">
        <v>1286.9998779</v>
      </c>
      <c r="I962">
        <v>1401.6550293</v>
      </c>
      <c r="J962">
        <v>1381.6914062000001</v>
      </c>
      <c r="K962">
        <v>0</v>
      </c>
      <c r="L962">
        <v>2400</v>
      </c>
      <c r="M962">
        <v>2400</v>
      </c>
      <c r="N962">
        <v>0</v>
      </c>
    </row>
    <row r="963" spans="1:14" x14ac:dyDescent="0.25">
      <c r="A963">
        <v>565.73852299999999</v>
      </c>
      <c r="B963" s="1">
        <f>DATE(2011,11,17) + TIME(17,43,28)</f>
        <v>40864.738518518519</v>
      </c>
      <c r="C963">
        <v>80</v>
      </c>
      <c r="D963">
        <v>77.423980713000006</v>
      </c>
      <c r="E963">
        <v>50</v>
      </c>
      <c r="F963">
        <v>49.960578918000003</v>
      </c>
      <c r="G963">
        <v>1299.3712158000001</v>
      </c>
      <c r="H963">
        <v>1286.9587402</v>
      </c>
      <c r="I963">
        <v>1401.5313721</v>
      </c>
      <c r="J963">
        <v>1381.5758057</v>
      </c>
      <c r="K963">
        <v>0</v>
      </c>
      <c r="L963">
        <v>2400</v>
      </c>
      <c r="M963">
        <v>2400</v>
      </c>
      <c r="N963">
        <v>0</v>
      </c>
    </row>
    <row r="964" spans="1:14" x14ac:dyDescent="0.25">
      <c r="A964">
        <v>566.53800200000001</v>
      </c>
      <c r="B964" s="1">
        <f>DATE(2011,11,18) + TIME(12,54,43)</f>
        <v>40865.537997685184</v>
      </c>
      <c r="C964">
        <v>80</v>
      </c>
      <c r="D964">
        <v>77.322875976999995</v>
      </c>
      <c r="E964">
        <v>50</v>
      </c>
      <c r="F964">
        <v>49.960624695</v>
      </c>
      <c r="G964">
        <v>1299.3347168</v>
      </c>
      <c r="H964">
        <v>1286.9169922000001</v>
      </c>
      <c r="I964">
        <v>1401.4124756000001</v>
      </c>
      <c r="J964">
        <v>1381.4649658000001</v>
      </c>
      <c r="K964">
        <v>0</v>
      </c>
      <c r="L964">
        <v>2400</v>
      </c>
      <c r="M964">
        <v>2400</v>
      </c>
      <c r="N964">
        <v>0</v>
      </c>
    </row>
    <row r="965" spans="1:14" x14ac:dyDescent="0.25">
      <c r="A965">
        <v>567.35703599999999</v>
      </c>
      <c r="B965" s="1">
        <f>DATE(2011,11,19) + TIME(8,34,7)</f>
        <v>40866.357025462959</v>
      </c>
      <c r="C965">
        <v>80</v>
      </c>
      <c r="D965">
        <v>77.220581054999997</v>
      </c>
      <c r="E965">
        <v>50</v>
      </c>
      <c r="F965">
        <v>49.960666656000001</v>
      </c>
      <c r="G965">
        <v>1299.2973632999999</v>
      </c>
      <c r="H965">
        <v>1286.8741454999999</v>
      </c>
      <c r="I965">
        <v>1401.2971190999999</v>
      </c>
      <c r="J965">
        <v>1381.3574219</v>
      </c>
      <c r="K965">
        <v>0</v>
      </c>
      <c r="L965">
        <v>2400</v>
      </c>
      <c r="M965">
        <v>2400</v>
      </c>
      <c r="N965">
        <v>0</v>
      </c>
    </row>
    <row r="966" spans="1:14" x14ac:dyDescent="0.25">
      <c r="A966">
        <v>568.203125</v>
      </c>
      <c r="B966" s="1">
        <f>DATE(2011,11,20) + TIME(4,52,30)</f>
        <v>40867.203125</v>
      </c>
      <c r="C966">
        <v>80</v>
      </c>
      <c r="D966">
        <v>77.116584778000004</v>
      </c>
      <c r="E966">
        <v>50</v>
      </c>
      <c r="F966">
        <v>49.960704802999999</v>
      </c>
      <c r="G966">
        <v>1299.2589111</v>
      </c>
      <c r="H966">
        <v>1286.8299560999999</v>
      </c>
      <c r="I966">
        <v>1401.1838379000001</v>
      </c>
      <c r="J966">
        <v>1381.2520752</v>
      </c>
      <c r="K966">
        <v>0</v>
      </c>
      <c r="L966">
        <v>2400</v>
      </c>
      <c r="M966">
        <v>2400</v>
      </c>
      <c r="N966">
        <v>0</v>
      </c>
    </row>
    <row r="967" spans="1:14" x14ac:dyDescent="0.25">
      <c r="A967">
        <v>569.08450100000005</v>
      </c>
      <c r="B967" s="1">
        <f>DATE(2011,11,21) + TIME(2,1,40)</f>
        <v>40868.084490740737</v>
      </c>
      <c r="C967">
        <v>80</v>
      </c>
      <c r="D967">
        <v>77.010200499999996</v>
      </c>
      <c r="E967">
        <v>50</v>
      </c>
      <c r="F967">
        <v>49.960742949999997</v>
      </c>
      <c r="G967">
        <v>1299.2188721</v>
      </c>
      <c r="H967">
        <v>1286.7838135</v>
      </c>
      <c r="I967">
        <v>1401.0717772999999</v>
      </c>
      <c r="J967">
        <v>1381.1479492000001</v>
      </c>
      <c r="K967">
        <v>0</v>
      </c>
      <c r="L967">
        <v>2400</v>
      </c>
      <c r="M967">
        <v>2400</v>
      </c>
      <c r="N967">
        <v>0</v>
      </c>
    </row>
    <row r="968" spans="1:14" x14ac:dyDescent="0.25">
      <c r="A968">
        <v>570.01065300000005</v>
      </c>
      <c r="B968" s="1">
        <f>DATE(2011,11,22) + TIME(0,15,20)</f>
        <v>40869.010648148149</v>
      </c>
      <c r="C968">
        <v>80</v>
      </c>
      <c r="D968">
        <v>76.900573730000005</v>
      </c>
      <c r="E968">
        <v>50</v>
      </c>
      <c r="F968">
        <v>49.960781097000002</v>
      </c>
      <c r="G968">
        <v>1299.1767577999999</v>
      </c>
      <c r="H968">
        <v>1286.7353516000001</v>
      </c>
      <c r="I968">
        <v>1400.9598389</v>
      </c>
      <c r="J968">
        <v>1381.0440673999999</v>
      </c>
      <c r="K968">
        <v>0</v>
      </c>
      <c r="L968">
        <v>2400</v>
      </c>
      <c r="M968">
        <v>2400</v>
      </c>
      <c r="N968">
        <v>0</v>
      </c>
    </row>
    <row r="969" spans="1:14" x14ac:dyDescent="0.25">
      <c r="A969">
        <v>570.98350000000005</v>
      </c>
      <c r="B969" s="1">
        <f>DATE(2011,11,22) + TIME(23,36,14)</f>
        <v>40869.983495370368</v>
      </c>
      <c r="C969">
        <v>80</v>
      </c>
      <c r="D969">
        <v>76.787223815999994</v>
      </c>
      <c r="E969">
        <v>50</v>
      </c>
      <c r="F969">
        <v>49.960819244</v>
      </c>
      <c r="G969">
        <v>1299.1322021000001</v>
      </c>
      <c r="H969">
        <v>1286.6839600000001</v>
      </c>
      <c r="I969">
        <v>1400.8470459</v>
      </c>
      <c r="J969">
        <v>1380.9394531</v>
      </c>
      <c r="K969">
        <v>0</v>
      </c>
      <c r="L969">
        <v>2400</v>
      </c>
      <c r="M969">
        <v>2400</v>
      </c>
      <c r="N969">
        <v>0</v>
      </c>
    </row>
    <row r="970" spans="1:14" x14ac:dyDescent="0.25">
      <c r="A970">
        <v>571.99412299999995</v>
      </c>
      <c r="B970" s="1">
        <f>DATE(2011,11,23) + TIME(23,51,32)</f>
        <v>40870.994120370371</v>
      </c>
      <c r="C970">
        <v>80</v>
      </c>
      <c r="D970">
        <v>76.670425414999997</v>
      </c>
      <c r="E970">
        <v>50</v>
      </c>
      <c r="F970">
        <v>49.960853577000002</v>
      </c>
      <c r="G970">
        <v>1299.0848389</v>
      </c>
      <c r="H970">
        <v>1286.6293945</v>
      </c>
      <c r="I970">
        <v>1400.7335204999999</v>
      </c>
      <c r="J970">
        <v>1380.8342285000001</v>
      </c>
      <c r="K970">
        <v>0</v>
      </c>
      <c r="L970">
        <v>2400</v>
      </c>
      <c r="M970">
        <v>2400</v>
      </c>
      <c r="N970">
        <v>0</v>
      </c>
    </row>
    <row r="971" spans="1:14" x14ac:dyDescent="0.25">
      <c r="A971">
        <v>573.02308900000003</v>
      </c>
      <c r="B971" s="1">
        <f>DATE(2011,11,25) + TIME(0,33,14)</f>
        <v>40872.023078703707</v>
      </c>
      <c r="C971">
        <v>80</v>
      </c>
      <c r="D971">
        <v>76.551467896000005</v>
      </c>
      <c r="E971">
        <v>50</v>
      </c>
      <c r="F971">
        <v>49.960891724</v>
      </c>
      <c r="G971">
        <v>1299.0350341999999</v>
      </c>
      <c r="H971">
        <v>1286.5720214999999</v>
      </c>
      <c r="I971">
        <v>1400.6203613</v>
      </c>
      <c r="J971">
        <v>1380.7296143000001</v>
      </c>
      <c r="K971">
        <v>0</v>
      </c>
      <c r="L971">
        <v>2400</v>
      </c>
      <c r="M971">
        <v>2400</v>
      </c>
      <c r="N971">
        <v>0</v>
      </c>
    </row>
    <row r="972" spans="1:14" x14ac:dyDescent="0.25">
      <c r="A972">
        <v>574.06577400000003</v>
      </c>
      <c r="B972" s="1">
        <f>DATE(2011,11,26) + TIME(1,34,42)</f>
        <v>40873.065763888888</v>
      </c>
      <c r="C972">
        <v>80</v>
      </c>
      <c r="D972">
        <v>76.431434631000002</v>
      </c>
      <c r="E972">
        <v>50</v>
      </c>
      <c r="F972">
        <v>49.960929870999998</v>
      </c>
      <c r="G972">
        <v>1298.9837646000001</v>
      </c>
      <c r="H972">
        <v>1286.5126952999999</v>
      </c>
      <c r="I972">
        <v>1400.5098877</v>
      </c>
      <c r="J972">
        <v>1380.6275635</v>
      </c>
      <c r="K972">
        <v>0</v>
      </c>
      <c r="L972">
        <v>2400</v>
      </c>
      <c r="M972">
        <v>2400</v>
      </c>
      <c r="N972">
        <v>0</v>
      </c>
    </row>
    <row r="973" spans="1:14" x14ac:dyDescent="0.25">
      <c r="A973">
        <v>575.13189999999997</v>
      </c>
      <c r="B973" s="1">
        <f>DATE(2011,11,27) + TIME(3,9,56)</f>
        <v>40874.131898148145</v>
      </c>
      <c r="C973">
        <v>80</v>
      </c>
      <c r="D973">
        <v>76.310379028</v>
      </c>
      <c r="E973">
        <v>50</v>
      </c>
      <c r="F973">
        <v>49.960968018000003</v>
      </c>
      <c r="G973">
        <v>1298.9312743999999</v>
      </c>
      <c r="H973">
        <v>1286.4516602000001</v>
      </c>
      <c r="I973">
        <v>1400.4024658000001</v>
      </c>
      <c r="J973">
        <v>1380.5283202999999</v>
      </c>
      <c r="K973">
        <v>0</v>
      </c>
      <c r="L973">
        <v>2400</v>
      </c>
      <c r="M973">
        <v>2400</v>
      </c>
      <c r="N973">
        <v>0</v>
      </c>
    </row>
    <row r="974" spans="1:14" x14ac:dyDescent="0.25">
      <c r="A974">
        <v>576.23146799999995</v>
      </c>
      <c r="B974" s="1">
        <f>DATE(2011,11,28) + TIME(5,33,18)</f>
        <v>40875.231458333335</v>
      </c>
      <c r="C974">
        <v>80</v>
      </c>
      <c r="D974">
        <v>76.187767029</v>
      </c>
      <c r="E974">
        <v>50</v>
      </c>
      <c r="F974">
        <v>49.961006165000001</v>
      </c>
      <c r="G974">
        <v>1298.8770752</v>
      </c>
      <c r="H974">
        <v>1286.3884277</v>
      </c>
      <c r="I974">
        <v>1400.296875</v>
      </c>
      <c r="J974">
        <v>1380.4309082</v>
      </c>
      <c r="K974">
        <v>0</v>
      </c>
      <c r="L974">
        <v>2400</v>
      </c>
      <c r="M974">
        <v>2400</v>
      </c>
      <c r="N974">
        <v>0</v>
      </c>
    </row>
    <row r="975" spans="1:14" x14ac:dyDescent="0.25">
      <c r="A975">
        <v>577.37542499999995</v>
      </c>
      <c r="B975" s="1">
        <f>DATE(2011,11,29) + TIME(9,0,36)</f>
        <v>40876.375416666669</v>
      </c>
      <c r="C975">
        <v>80</v>
      </c>
      <c r="D975">
        <v>76.062759399000001</v>
      </c>
      <c r="E975">
        <v>50</v>
      </c>
      <c r="F975">
        <v>49.961048126000001</v>
      </c>
      <c r="G975">
        <v>1298.8203125</v>
      </c>
      <c r="H975">
        <v>1286.3222656</v>
      </c>
      <c r="I975">
        <v>1400.1922606999999</v>
      </c>
      <c r="J975">
        <v>1380.3344727000001</v>
      </c>
      <c r="K975">
        <v>0</v>
      </c>
      <c r="L975">
        <v>2400</v>
      </c>
      <c r="M975">
        <v>2400</v>
      </c>
      <c r="N975">
        <v>0</v>
      </c>
    </row>
    <row r="976" spans="1:14" x14ac:dyDescent="0.25">
      <c r="A976">
        <v>578.57557599999996</v>
      </c>
      <c r="B976" s="1">
        <f>DATE(2011,11,30) + TIME(13,48,49)</f>
        <v>40877.575567129628</v>
      </c>
      <c r="C976">
        <v>80</v>
      </c>
      <c r="D976">
        <v>75.934371948000006</v>
      </c>
      <c r="E976">
        <v>50</v>
      </c>
      <c r="F976">
        <v>49.961093902999998</v>
      </c>
      <c r="G976">
        <v>1298.7606201000001</v>
      </c>
      <c r="H976">
        <v>1286.2521973</v>
      </c>
      <c r="I976">
        <v>1400.0875243999999</v>
      </c>
      <c r="J976">
        <v>1380.2380370999999</v>
      </c>
      <c r="K976">
        <v>0</v>
      </c>
      <c r="L976">
        <v>2400</v>
      </c>
      <c r="M976">
        <v>2400</v>
      </c>
      <c r="N976">
        <v>0</v>
      </c>
    </row>
    <row r="977" spans="1:14" x14ac:dyDescent="0.25">
      <c r="A977">
        <v>579</v>
      </c>
      <c r="B977" s="1">
        <f>DATE(2011,12,1) + TIME(0,0,0)</f>
        <v>40878</v>
      </c>
      <c r="C977">
        <v>80</v>
      </c>
      <c r="D977">
        <v>75.860885620000005</v>
      </c>
      <c r="E977">
        <v>50</v>
      </c>
      <c r="F977">
        <v>49.961097717000001</v>
      </c>
      <c r="G977">
        <v>1298.6947021000001</v>
      </c>
      <c r="H977">
        <v>1286.1816406</v>
      </c>
      <c r="I977">
        <v>1399.9814452999999</v>
      </c>
      <c r="J977">
        <v>1380.1403809000001</v>
      </c>
      <c r="K977">
        <v>0</v>
      </c>
      <c r="L977">
        <v>2400</v>
      </c>
      <c r="M977">
        <v>2400</v>
      </c>
      <c r="N977">
        <v>0</v>
      </c>
    </row>
    <row r="978" spans="1:14" x14ac:dyDescent="0.25">
      <c r="A978">
        <v>580.25866399999995</v>
      </c>
      <c r="B978" s="1">
        <f>DATE(2011,12,2) + TIME(6,12,28)</f>
        <v>40879.258657407408</v>
      </c>
      <c r="C978">
        <v>80</v>
      </c>
      <c r="D978">
        <v>75.744888306000007</v>
      </c>
      <c r="E978">
        <v>50</v>
      </c>
      <c r="F978">
        <v>49.961151123</v>
      </c>
      <c r="G978">
        <v>1298.6738281</v>
      </c>
      <c r="H978">
        <v>1286.1488036999999</v>
      </c>
      <c r="I978">
        <v>1399.9455565999999</v>
      </c>
      <c r="J978">
        <v>1380.1074219</v>
      </c>
      <c r="K978">
        <v>0</v>
      </c>
      <c r="L978">
        <v>2400</v>
      </c>
      <c r="M978">
        <v>2400</v>
      </c>
      <c r="N978">
        <v>0</v>
      </c>
    </row>
    <row r="979" spans="1:14" x14ac:dyDescent="0.25">
      <c r="A979">
        <v>581.52919799999995</v>
      </c>
      <c r="B979" s="1">
        <f>DATE(2011,12,3) + TIME(12,42,2)</f>
        <v>40880.529189814813</v>
      </c>
      <c r="C979">
        <v>80</v>
      </c>
      <c r="D979">
        <v>75.617271423000005</v>
      </c>
      <c r="E979">
        <v>50</v>
      </c>
      <c r="F979">
        <v>49.961200714</v>
      </c>
      <c r="G979">
        <v>1298.6058350000001</v>
      </c>
      <c r="H979">
        <v>1286.0699463000001</v>
      </c>
      <c r="I979">
        <v>1399.8405762</v>
      </c>
      <c r="J979">
        <v>1380.0108643000001</v>
      </c>
      <c r="K979">
        <v>0</v>
      </c>
      <c r="L979">
        <v>2400</v>
      </c>
      <c r="M979">
        <v>2400</v>
      </c>
      <c r="N979">
        <v>0</v>
      </c>
    </row>
    <row r="980" spans="1:14" x14ac:dyDescent="0.25">
      <c r="A980">
        <v>582.82053699999994</v>
      </c>
      <c r="B980" s="1">
        <f>DATE(2011,12,4) + TIME(19,41,34)</f>
        <v>40881.820532407408</v>
      </c>
      <c r="C980">
        <v>80</v>
      </c>
      <c r="D980">
        <v>75.484893799000005</v>
      </c>
      <c r="E980">
        <v>50</v>
      </c>
      <c r="F980">
        <v>49.961246490000001</v>
      </c>
      <c r="G980">
        <v>1298.5358887</v>
      </c>
      <c r="H980">
        <v>1285.9876709</v>
      </c>
      <c r="I980">
        <v>1399.7384033000001</v>
      </c>
      <c r="J980">
        <v>1379.9171143000001</v>
      </c>
      <c r="K980">
        <v>0</v>
      </c>
      <c r="L980">
        <v>2400</v>
      </c>
      <c r="M980">
        <v>2400</v>
      </c>
      <c r="N980">
        <v>0</v>
      </c>
    </row>
    <row r="981" spans="1:14" x14ac:dyDescent="0.25">
      <c r="A981">
        <v>584.14450399999998</v>
      </c>
      <c r="B981" s="1">
        <f>DATE(2011,12,6) + TIME(3,28,5)</f>
        <v>40883.144502314812</v>
      </c>
      <c r="C981">
        <v>80</v>
      </c>
      <c r="D981">
        <v>75.349891662999994</v>
      </c>
      <c r="E981">
        <v>50</v>
      </c>
      <c r="F981">
        <v>49.961296081999997</v>
      </c>
      <c r="G981">
        <v>1298.4636230000001</v>
      </c>
      <c r="H981">
        <v>1285.9019774999999</v>
      </c>
      <c r="I981">
        <v>1399.6385498</v>
      </c>
      <c r="J981">
        <v>1379.8253173999999</v>
      </c>
      <c r="K981">
        <v>0</v>
      </c>
      <c r="L981">
        <v>2400</v>
      </c>
      <c r="M981">
        <v>2400</v>
      </c>
      <c r="N981">
        <v>0</v>
      </c>
    </row>
    <row r="982" spans="1:14" x14ac:dyDescent="0.25">
      <c r="A982">
        <v>585.51313800000003</v>
      </c>
      <c r="B982" s="1">
        <f>DATE(2011,12,7) + TIME(12,18,55)</f>
        <v>40884.513136574074</v>
      </c>
      <c r="C982">
        <v>80</v>
      </c>
      <c r="D982">
        <v>75.212471007999994</v>
      </c>
      <c r="E982">
        <v>50</v>
      </c>
      <c r="F982">
        <v>49.961345672999997</v>
      </c>
      <c r="G982">
        <v>1298.3883057</v>
      </c>
      <c r="H982">
        <v>1285.8121338000001</v>
      </c>
      <c r="I982">
        <v>1399.5397949000001</v>
      </c>
      <c r="J982">
        <v>1379.7347411999999</v>
      </c>
      <c r="K982">
        <v>0</v>
      </c>
      <c r="L982">
        <v>2400</v>
      </c>
      <c r="M982">
        <v>2400</v>
      </c>
      <c r="N982">
        <v>0</v>
      </c>
    </row>
    <row r="983" spans="1:14" x14ac:dyDescent="0.25">
      <c r="A983">
        <v>586.92996800000003</v>
      </c>
      <c r="B983" s="1">
        <f>DATE(2011,12,8) + TIME(22,19,9)</f>
        <v>40885.929965277777</v>
      </c>
      <c r="C983">
        <v>80</v>
      </c>
      <c r="D983">
        <v>75.072410583000007</v>
      </c>
      <c r="E983">
        <v>50</v>
      </c>
      <c r="F983">
        <v>49.961399077999999</v>
      </c>
      <c r="G983">
        <v>1298.3089600000001</v>
      </c>
      <c r="H983">
        <v>1285.7172852000001</v>
      </c>
      <c r="I983">
        <v>1399.4414062000001</v>
      </c>
      <c r="J983">
        <v>1379.6444091999999</v>
      </c>
      <c r="K983">
        <v>0</v>
      </c>
      <c r="L983">
        <v>2400</v>
      </c>
      <c r="M983">
        <v>2400</v>
      </c>
      <c r="N983">
        <v>0</v>
      </c>
    </row>
    <row r="984" spans="1:14" x14ac:dyDescent="0.25">
      <c r="A984">
        <v>588.40999099999999</v>
      </c>
      <c r="B984" s="1">
        <f>DATE(2011,12,10) + TIME(9,50,23)</f>
        <v>40887.409988425927</v>
      </c>
      <c r="C984">
        <v>80</v>
      </c>
      <c r="D984">
        <v>74.929031371999997</v>
      </c>
      <c r="E984">
        <v>50</v>
      </c>
      <c r="F984">
        <v>49.961452483999999</v>
      </c>
      <c r="G984">
        <v>1298.2252197</v>
      </c>
      <c r="H984">
        <v>1285.6169434000001</v>
      </c>
      <c r="I984">
        <v>1399.3431396000001</v>
      </c>
      <c r="J984">
        <v>1379.5544434000001</v>
      </c>
      <c r="K984">
        <v>0</v>
      </c>
      <c r="L984">
        <v>2400</v>
      </c>
      <c r="M984">
        <v>2400</v>
      </c>
      <c r="N984">
        <v>0</v>
      </c>
    </row>
    <row r="985" spans="1:14" x14ac:dyDescent="0.25">
      <c r="A985">
        <v>589.90635099999997</v>
      </c>
      <c r="B985" s="1">
        <f>DATE(2011,12,11) + TIME(21,45,8)</f>
        <v>40888.906342592592</v>
      </c>
      <c r="C985">
        <v>80</v>
      </c>
      <c r="D985">
        <v>74.783416747999993</v>
      </c>
      <c r="E985">
        <v>50</v>
      </c>
      <c r="F985">
        <v>49.961509704999997</v>
      </c>
      <c r="G985">
        <v>1298.1361084</v>
      </c>
      <c r="H985">
        <v>1285.5096435999999</v>
      </c>
      <c r="I985">
        <v>1399.2442627</v>
      </c>
      <c r="J985">
        <v>1379.4637451000001</v>
      </c>
      <c r="K985">
        <v>0</v>
      </c>
      <c r="L985">
        <v>2400</v>
      </c>
      <c r="M985">
        <v>2400</v>
      </c>
      <c r="N985">
        <v>0</v>
      </c>
    </row>
    <row r="986" spans="1:14" x14ac:dyDescent="0.25">
      <c r="A986">
        <v>591.41699800000004</v>
      </c>
      <c r="B986" s="1">
        <f>DATE(2011,12,13) + TIME(10,0,28)</f>
        <v>40890.416990740741</v>
      </c>
      <c r="C986">
        <v>80</v>
      </c>
      <c r="D986">
        <v>74.637336731000005</v>
      </c>
      <c r="E986">
        <v>50</v>
      </c>
      <c r="F986">
        <v>49.961566925</v>
      </c>
      <c r="G986">
        <v>1298.0439452999999</v>
      </c>
      <c r="H986">
        <v>1285.3983154</v>
      </c>
      <c r="I986">
        <v>1399.1477050999999</v>
      </c>
      <c r="J986">
        <v>1379.3753661999999</v>
      </c>
      <c r="K986">
        <v>0</v>
      </c>
      <c r="L986">
        <v>2400</v>
      </c>
      <c r="M986">
        <v>2400</v>
      </c>
      <c r="N986">
        <v>0</v>
      </c>
    </row>
    <row r="987" spans="1:14" x14ac:dyDescent="0.25">
      <c r="A987">
        <v>592.95558900000003</v>
      </c>
      <c r="B987" s="1">
        <f>DATE(2011,12,14) + TIME(22,56,2)</f>
        <v>40891.955578703702</v>
      </c>
      <c r="C987">
        <v>80</v>
      </c>
      <c r="D987">
        <v>74.490989685000002</v>
      </c>
      <c r="E987">
        <v>50</v>
      </c>
      <c r="F987">
        <v>49.961624145999998</v>
      </c>
      <c r="G987">
        <v>1297.9489745999999</v>
      </c>
      <c r="H987">
        <v>1285.2828368999999</v>
      </c>
      <c r="I987">
        <v>1399.0538329999999</v>
      </c>
      <c r="J987">
        <v>1379.2893065999999</v>
      </c>
      <c r="K987">
        <v>0</v>
      </c>
      <c r="L987">
        <v>2400</v>
      </c>
      <c r="M987">
        <v>2400</v>
      </c>
      <c r="N987">
        <v>0</v>
      </c>
    </row>
    <row r="988" spans="1:14" x14ac:dyDescent="0.25">
      <c r="A988">
        <v>594.53607599999998</v>
      </c>
      <c r="B988" s="1">
        <f>DATE(2011,12,16) + TIME(12,51,56)</f>
        <v>40893.536064814813</v>
      </c>
      <c r="C988">
        <v>80</v>
      </c>
      <c r="D988">
        <v>74.343635559000006</v>
      </c>
      <c r="E988">
        <v>50</v>
      </c>
      <c r="F988">
        <v>49.961685181</v>
      </c>
      <c r="G988">
        <v>1297.8502197</v>
      </c>
      <c r="H988">
        <v>1285.1622314000001</v>
      </c>
      <c r="I988">
        <v>1398.9613036999999</v>
      </c>
      <c r="J988">
        <v>1379.2047118999999</v>
      </c>
      <c r="K988">
        <v>0</v>
      </c>
      <c r="L988">
        <v>2400</v>
      </c>
      <c r="M988">
        <v>2400</v>
      </c>
      <c r="N988">
        <v>0</v>
      </c>
    </row>
    <row r="989" spans="1:14" x14ac:dyDescent="0.25">
      <c r="A989">
        <v>596.17355899999995</v>
      </c>
      <c r="B989" s="1">
        <f>DATE(2011,12,18) + TIME(4,9,55)</f>
        <v>40895.17355324074</v>
      </c>
      <c r="C989">
        <v>80</v>
      </c>
      <c r="D989">
        <v>74.194183350000003</v>
      </c>
      <c r="E989">
        <v>50</v>
      </c>
      <c r="F989">
        <v>49.961746216000002</v>
      </c>
      <c r="G989">
        <v>1297.746582</v>
      </c>
      <c r="H989">
        <v>1285.0350341999999</v>
      </c>
      <c r="I989">
        <v>1398.8696289</v>
      </c>
      <c r="J989">
        <v>1379.1207274999999</v>
      </c>
      <c r="K989">
        <v>0</v>
      </c>
      <c r="L989">
        <v>2400</v>
      </c>
      <c r="M989">
        <v>2400</v>
      </c>
      <c r="N989">
        <v>0</v>
      </c>
    </row>
    <row r="990" spans="1:14" x14ac:dyDescent="0.25">
      <c r="A990">
        <v>597.87645399999997</v>
      </c>
      <c r="B990" s="1">
        <f>DATE(2011,12,19) + TIME(21,2,5)</f>
        <v>40896.876446759263</v>
      </c>
      <c r="C990">
        <v>80</v>
      </c>
      <c r="D990">
        <v>74.041618346999996</v>
      </c>
      <c r="E990">
        <v>50</v>
      </c>
      <c r="F990">
        <v>49.961811066000003</v>
      </c>
      <c r="G990">
        <v>1297.6368408000001</v>
      </c>
      <c r="H990">
        <v>1284.8999022999999</v>
      </c>
      <c r="I990">
        <v>1398.7777100000001</v>
      </c>
      <c r="J990">
        <v>1379.0367432</v>
      </c>
      <c r="K990">
        <v>0</v>
      </c>
      <c r="L990">
        <v>2400</v>
      </c>
      <c r="M990">
        <v>2400</v>
      </c>
      <c r="N990">
        <v>0</v>
      </c>
    </row>
    <row r="991" spans="1:14" x14ac:dyDescent="0.25">
      <c r="A991">
        <v>599.62897299999997</v>
      </c>
      <c r="B991" s="1">
        <f>DATE(2011,12,21) + TIME(15,5,43)</f>
        <v>40898.628969907404</v>
      </c>
      <c r="C991">
        <v>80</v>
      </c>
      <c r="D991">
        <v>73.885871886999993</v>
      </c>
      <c r="E991">
        <v>50</v>
      </c>
      <c r="F991">
        <v>49.961875915999997</v>
      </c>
      <c r="G991">
        <v>1297.5200195</v>
      </c>
      <c r="H991">
        <v>1284.7554932</v>
      </c>
      <c r="I991">
        <v>1398.6854248</v>
      </c>
      <c r="J991">
        <v>1378.9522704999999</v>
      </c>
      <c r="K991">
        <v>0</v>
      </c>
      <c r="L991">
        <v>2400</v>
      </c>
      <c r="M991">
        <v>2400</v>
      </c>
      <c r="N991">
        <v>0</v>
      </c>
    </row>
    <row r="992" spans="1:14" x14ac:dyDescent="0.25">
      <c r="A992">
        <v>601.38977899999998</v>
      </c>
      <c r="B992" s="1">
        <f>DATE(2011,12,23) + TIME(9,21,16)</f>
        <v>40900.389768518522</v>
      </c>
      <c r="C992">
        <v>80</v>
      </c>
      <c r="D992">
        <v>73.728622436999999</v>
      </c>
      <c r="E992">
        <v>50</v>
      </c>
      <c r="F992">
        <v>49.961944580000001</v>
      </c>
      <c r="G992">
        <v>1297.3969727000001</v>
      </c>
      <c r="H992">
        <v>1284.6026611</v>
      </c>
      <c r="I992">
        <v>1398.5935059000001</v>
      </c>
      <c r="J992">
        <v>1378.8682861</v>
      </c>
      <c r="K992">
        <v>0</v>
      </c>
      <c r="L992">
        <v>2400</v>
      </c>
      <c r="M992">
        <v>2400</v>
      </c>
      <c r="N992">
        <v>0</v>
      </c>
    </row>
    <row r="993" spans="1:14" x14ac:dyDescent="0.25">
      <c r="A993">
        <v>603.17455900000004</v>
      </c>
      <c r="B993" s="1">
        <f>DATE(2011,12,25) + TIME(4,11,21)</f>
        <v>40902.17454861111</v>
      </c>
      <c r="C993">
        <v>80</v>
      </c>
      <c r="D993">
        <v>73.571189880000006</v>
      </c>
      <c r="E993">
        <v>50</v>
      </c>
      <c r="F993">
        <v>49.962013245000001</v>
      </c>
      <c r="G993">
        <v>1297.2700195</v>
      </c>
      <c r="H993">
        <v>1284.4442139</v>
      </c>
      <c r="I993">
        <v>1398.5042725000001</v>
      </c>
      <c r="J993">
        <v>1378.7866211</v>
      </c>
      <c r="K993">
        <v>0</v>
      </c>
      <c r="L993">
        <v>2400</v>
      </c>
      <c r="M993">
        <v>2400</v>
      </c>
      <c r="N993">
        <v>0</v>
      </c>
    </row>
    <row r="994" spans="1:14" x14ac:dyDescent="0.25">
      <c r="A994">
        <v>604.99145499999997</v>
      </c>
      <c r="B994" s="1">
        <f>DATE(2011,12,26) + TIME(23,47,41)</f>
        <v>40903.991446759261</v>
      </c>
      <c r="C994">
        <v>80</v>
      </c>
      <c r="D994">
        <v>73.413276671999995</v>
      </c>
      <c r="E994">
        <v>50</v>
      </c>
      <c r="F994">
        <v>49.962081908999998</v>
      </c>
      <c r="G994">
        <v>1297.1383057</v>
      </c>
      <c r="H994">
        <v>1284.2789307</v>
      </c>
      <c r="I994">
        <v>1398.4167480000001</v>
      </c>
      <c r="J994">
        <v>1378.7066649999999</v>
      </c>
      <c r="K994">
        <v>0</v>
      </c>
      <c r="L994">
        <v>2400</v>
      </c>
      <c r="M994">
        <v>2400</v>
      </c>
      <c r="N994">
        <v>0</v>
      </c>
    </row>
    <row r="995" spans="1:14" x14ac:dyDescent="0.25">
      <c r="A995">
        <v>606.85506699999996</v>
      </c>
      <c r="B995" s="1">
        <f>DATE(2011,12,28) + TIME(20,31,17)</f>
        <v>40905.855057870373</v>
      </c>
      <c r="C995">
        <v>80</v>
      </c>
      <c r="D995">
        <v>73.254074097</v>
      </c>
      <c r="E995">
        <v>50</v>
      </c>
      <c r="F995">
        <v>49.962150573999999</v>
      </c>
      <c r="G995">
        <v>1297.0008545000001</v>
      </c>
      <c r="H995">
        <v>1284.1055908000001</v>
      </c>
      <c r="I995">
        <v>1398.3305664</v>
      </c>
      <c r="J995">
        <v>1378.6278076000001</v>
      </c>
      <c r="K995">
        <v>0</v>
      </c>
      <c r="L995">
        <v>2400</v>
      </c>
      <c r="M995">
        <v>2400</v>
      </c>
      <c r="N995">
        <v>0</v>
      </c>
    </row>
    <row r="996" spans="1:14" x14ac:dyDescent="0.25">
      <c r="A996">
        <v>608.78229199999998</v>
      </c>
      <c r="B996" s="1">
        <f>DATE(2011,12,30) + TIME(18,46,30)</f>
        <v>40907.78229166667</v>
      </c>
      <c r="C996">
        <v>80</v>
      </c>
      <c r="D996">
        <v>73.092422485</v>
      </c>
      <c r="E996">
        <v>50</v>
      </c>
      <c r="F996">
        <v>49.962226868000002</v>
      </c>
      <c r="G996">
        <v>1296.8564452999999</v>
      </c>
      <c r="H996">
        <v>1283.9227295000001</v>
      </c>
      <c r="I996">
        <v>1398.2448730000001</v>
      </c>
      <c r="J996">
        <v>1378.5494385</v>
      </c>
      <c r="K996">
        <v>0</v>
      </c>
      <c r="L996">
        <v>2400</v>
      </c>
      <c r="M996">
        <v>2400</v>
      </c>
      <c r="N996">
        <v>0</v>
      </c>
    </row>
    <row r="997" spans="1:14" x14ac:dyDescent="0.25">
      <c r="A997">
        <v>610</v>
      </c>
      <c r="B997" s="1">
        <f>DATE(2012,1,1) + TIME(0,0,0)</f>
        <v>40909</v>
      </c>
      <c r="C997">
        <v>80</v>
      </c>
      <c r="D997">
        <v>72.954139709000003</v>
      </c>
      <c r="E997">
        <v>50</v>
      </c>
      <c r="F997">
        <v>49.962265015</v>
      </c>
      <c r="G997">
        <v>1296.7043457</v>
      </c>
      <c r="H997">
        <v>1283.7338867000001</v>
      </c>
      <c r="I997">
        <v>1398.1585693</v>
      </c>
      <c r="J997">
        <v>1378.4705810999999</v>
      </c>
      <c r="K997">
        <v>0</v>
      </c>
      <c r="L997">
        <v>2400</v>
      </c>
      <c r="M997">
        <v>2400</v>
      </c>
      <c r="N997">
        <v>0</v>
      </c>
    </row>
    <row r="998" spans="1:14" x14ac:dyDescent="0.25">
      <c r="A998">
        <v>612.00816199999997</v>
      </c>
      <c r="B998" s="1">
        <f>DATE(2012,1,3) + TIME(0,11,45)</f>
        <v>40911.008159722223</v>
      </c>
      <c r="C998">
        <v>80</v>
      </c>
      <c r="D998">
        <v>72.813201903999996</v>
      </c>
      <c r="E998">
        <v>50</v>
      </c>
      <c r="F998">
        <v>49.962348937999998</v>
      </c>
      <c r="G998">
        <v>1296.6011963000001</v>
      </c>
      <c r="H998">
        <v>1283.5948486</v>
      </c>
      <c r="I998">
        <v>1398.1063231999999</v>
      </c>
      <c r="J998">
        <v>1378.4227295000001</v>
      </c>
      <c r="K998">
        <v>0</v>
      </c>
      <c r="L998">
        <v>2400</v>
      </c>
      <c r="M998">
        <v>2400</v>
      </c>
      <c r="N998">
        <v>0</v>
      </c>
    </row>
    <row r="999" spans="1:14" x14ac:dyDescent="0.25">
      <c r="A999">
        <v>614.02745800000002</v>
      </c>
      <c r="B999" s="1">
        <f>DATE(2012,1,5) + TIME(0,39,32)</f>
        <v>40913.027453703704</v>
      </c>
      <c r="C999">
        <v>80</v>
      </c>
      <c r="D999">
        <v>72.652549743999998</v>
      </c>
      <c r="E999">
        <v>50</v>
      </c>
      <c r="F999">
        <v>49.962425232000001</v>
      </c>
      <c r="G999">
        <v>1296.4375</v>
      </c>
      <c r="H999">
        <v>1283.3873291</v>
      </c>
      <c r="I999">
        <v>1398.0213623</v>
      </c>
      <c r="J999">
        <v>1378.3450928</v>
      </c>
      <c r="K999">
        <v>0</v>
      </c>
      <c r="L999">
        <v>2400</v>
      </c>
      <c r="M999">
        <v>2400</v>
      </c>
      <c r="N999">
        <v>0</v>
      </c>
    </row>
    <row r="1000" spans="1:14" x14ac:dyDescent="0.25">
      <c r="A1000">
        <v>616.07431199999996</v>
      </c>
      <c r="B1000" s="1">
        <f>DATE(2012,1,7) + TIME(1,47,0)</f>
        <v>40915.074305555558</v>
      </c>
      <c r="C1000">
        <v>80</v>
      </c>
      <c r="D1000">
        <v>72.485725403000004</v>
      </c>
      <c r="E1000">
        <v>50</v>
      </c>
      <c r="F1000">
        <v>49.962501525999997</v>
      </c>
      <c r="G1000">
        <v>1296.2667236</v>
      </c>
      <c r="H1000">
        <v>1283.1679687999999</v>
      </c>
      <c r="I1000">
        <v>1397.9384766000001</v>
      </c>
      <c r="J1000">
        <v>1378.2692870999999</v>
      </c>
      <c r="K1000">
        <v>0</v>
      </c>
      <c r="L1000">
        <v>2400</v>
      </c>
      <c r="M1000">
        <v>2400</v>
      </c>
      <c r="N1000">
        <v>0</v>
      </c>
    </row>
    <row r="1001" spans="1:14" x14ac:dyDescent="0.25">
      <c r="A1001">
        <v>618.16587800000002</v>
      </c>
      <c r="B1001" s="1">
        <f>DATE(2012,1,9) + TIME(3,58,51)</f>
        <v>40917.165868055556</v>
      </c>
      <c r="C1001">
        <v>80</v>
      </c>
      <c r="D1001">
        <v>72.315719603999995</v>
      </c>
      <c r="E1001">
        <v>50</v>
      </c>
      <c r="F1001">
        <v>49.962581634999999</v>
      </c>
      <c r="G1001">
        <v>1296.0886230000001</v>
      </c>
      <c r="H1001">
        <v>1282.9378661999999</v>
      </c>
      <c r="I1001">
        <v>1397.8571777</v>
      </c>
      <c r="J1001">
        <v>1378.1949463000001</v>
      </c>
      <c r="K1001">
        <v>0</v>
      </c>
      <c r="L1001">
        <v>2400</v>
      </c>
      <c r="M1001">
        <v>2400</v>
      </c>
      <c r="N1001">
        <v>0</v>
      </c>
    </row>
    <row r="1002" spans="1:14" x14ac:dyDescent="0.25">
      <c r="A1002">
        <v>620.32034099999998</v>
      </c>
      <c r="B1002" s="1">
        <f>DATE(2012,1,11) + TIME(7,41,17)</f>
        <v>40919.320335648146</v>
      </c>
      <c r="C1002">
        <v>80</v>
      </c>
      <c r="D1002">
        <v>72.142311096</v>
      </c>
      <c r="E1002">
        <v>50</v>
      </c>
      <c r="F1002">
        <v>49.962661742999998</v>
      </c>
      <c r="G1002">
        <v>1295.9019774999999</v>
      </c>
      <c r="H1002">
        <v>1282.6954346</v>
      </c>
      <c r="I1002">
        <v>1397.7763672000001</v>
      </c>
      <c r="J1002">
        <v>1378.1210937999999</v>
      </c>
      <c r="K1002">
        <v>0</v>
      </c>
      <c r="L1002">
        <v>2400</v>
      </c>
      <c r="M1002">
        <v>2400</v>
      </c>
      <c r="N1002">
        <v>0</v>
      </c>
    </row>
    <row r="1003" spans="1:14" x14ac:dyDescent="0.25">
      <c r="A1003">
        <v>622.52431000000001</v>
      </c>
      <c r="B1003" s="1">
        <f>DATE(2012,1,13) + TIME(12,35,0)</f>
        <v>40921.524305555555</v>
      </c>
      <c r="C1003">
        <v>80</v>
      </c>
      <c r="D1003">
        <v>71.964965820000003</v>
      </c>
      <c r="E1003">
        <v>50</v>
      </c>
      <c r="F1003">
        <v>49.962745667</v>
      </c>
      <c r="G1003">
        <v>1295.7050781</v>
      </c>
      <c r="H1003">
        <v>1282.4388428</v>
      </c>
      <c r="I1003">
        <v>1397.6956786999999</v>
      </c>
      <c r="J1003">
        <v>1378.0472411999999</v>
      </c>
      <c r="K1003">
        <v>0</v>
      </c>
      <c r="L1003">
        <v>2400</v>
      </c>
      <c r="M1003">
        <v>2400</v>
      </c>
      <c r="N1003">
        <v>0</v>
      </c>
    </row>
    <row r="1004" spans="1:14" x14ac:dyDescent="0.25">
      <c r="A1004">
        <v>624.74670500000002</v>
      </c>
      <c r="B1004" s="1">
        <f>DATE(2012,1,15) + TIME(17,55,15)</f>
        <v>40923.746701388889</v>
      </c>
      <c r="C1004">
        <v>80</v>
      </c>
      <c r="D1004">
        <v>71.78453064</v>
      </c>
      <c r="E1004">
        <v>50</v>
      </c>
      <c r="F1004">
        <v>49.962829589999998</v>
      </c>
      <c r="G1004">
        <v>1295.4985352000001</v>
      </c>
      <c r="H1004">
        <v>1282.168457</v>
      </c>
      <c r="I1004">
        <v>1397.6156006000001</v>
      </c>
      <c r="J1004">
        <v>1377.9738769999999</v>
      </c>
      <c r="K1004">
        <v>0</v>
      </c>
      <c r="L1004">
        <v>2400</v>
      </c>
      <c r="M1004">
        <v>2400</v>
      </c>
      <c r="N1004">
        <v>0</v>
      </c>
    </row>
    <row r="1005" spans="1:14" x14ac:dyDescent="0.25">
      <c r="A1005">
        <v>626.99199599999997</v>
      </c>
      <c r="B1005" s="1">
        <f>DATE(2012,1,17) + TIME(23,48,28)</f>
        <v>40925.991990740738</v>
      </c>
      <c r="C1005">
        <v>80</v>
      </c>
      <c r="D1005">
        <v>71.602043151999993</v>
      </c>
      <c r="E1005">
        <v>50</v>
      </c>
      <c r="F1005">
        <v>49.962913512999997</v>
      </c>
      <c r="G1005">
        <v>1295.2847899999999</v>
      </c>
      <c r="H1005">
        <v>1281.8873291</v>
      </c>
      <c r="I1005">
        <v>1397.5369873</v>
      </c>
      <c r="J1005">
        <v>1377.9020995999999</v>
      </c>
      <c r="K1005">
        <v>0</v>
      </c>
      <c r="L1005">
        <v>2400</v>
      </c>
      <c r="M1005">
        <v>2400</v>
      </c>
      <c r="N1005">
        <v>0</v>
      </c>
    </row>
    <row r="1006" spans="1:14" x14ac:dyDescent="0.25">
      <c r="A1006">
        <v>629.26438099999996</v>
      </c>
      <c r="B1006" s="1">
        <f>DATE(2012,1,20) + TIME(6,20,42)</f>
        <v>40928.264374999999</v>
      </c>
      <c r="C1006">
        <v>80</v>
      </c>
      <c r="D1006">
        <v>71.417312621999997</v>
      </c>
      <c r="E1006">
        <v>50</v>
      </c>
      <c r="F1006">
        <v>49.963001251000001</v>
      </c>
      <c r="G1006">
        <v>1295.0634766000001</v>
      </c>
      <c r="H1006">
        <v>1281.5949707</v>
      </c>
      <c r="I1006">
        <v>1397.4599608999999</v>
      </c>
      <c r="J1006">
        <v>1377.831543</v>
      </c>
      <c r="K1006">
        <v>0</v>
      </c>
      <c r="L1006">
        <v>2400</v>
      </c>
      <c r="M1006">
        <v>2400</v>
      </c>
      <c r="N1006">
        <v>0</v>
      </c>
    </row>
    <row r="1007" spans="1:14" x14ac:dyDescent="0.25">
      <c r="A1007">
        <v>631.56581500000004</v>
      </c>
      <c r="B1007" s="1">
        <f>DATE(2012,1,22) + TIME(13,34,46)</f>
        <v>40930.565810185188</v>
      </c>
      <c r="C1007">
        <v>80</v>
      </c>
      <c r="D1007">
        <v>71.22984314</v>
      </c>
      <c r="E1007">
        <v>50</v>
      </c>
      <c r="F1007">
        <v>49.963085175000003</v>
      </c>
      <c r="G1007">
        <v>1294.8341064000001</v>
      </c>
      <c r="H1007">
        <v>1281.2907714999999</v>
      </c>
      <c r="I1007">
        <v>1397.3841553</v>
      </c>
      <c r="J1007">
        <v>1377.7620850000001</v>
      </c>
      <c r="K1007">
        <v>0</v>
      </c>
      <c r="L1007">
        <v>2400</v>
      </c>
      <c r="M1007">
        <v>2400</v>
      </c>
      <c r="N1007">
        <v>0</v>
      </c>
    </row>
    <row r="1008" spans="1:14" x14ac:dyDescent="0.25">
      <c r="A1008">
        <v>633.88596600000005</v>
      </c>
      <c r="B1008" s="1">
        <f>DATE(2012,1,24) + TIME(21,15,47)</f>
        <v>40932.885960648149</v>
      </c>
      <c r="C1008">
        <v>80</v>
      </c>
      <c r="D1008">
        <v>71.039375304999993</v>
      </c>
      <c r="E1008">
        <v>50</v>
      </c>
      <c r="F1008">
        <v>49.963172913000001</v>
      </c>
      <c r="G1008">
        <v>1294.5963135</v>
      </c>
      <c r="H1008">
        <v>1280.9742432</v>
      </c>
      <c r="I1008">
        <v>1397.3094481999999</v>
      </c>
      <c r="J1008">
        <v>1377.6936035000001</v>
      </c>
      <c r="K1008">
        <v>0</v>
      </c>
      <c r="L1008">
        <v>2400</v>
      </c>
      <c r="M1008">
        <v>2400</v>
      </c>
      <c r="N1008">
        <v>0</v>
      </c>
    </row>
    <row r="1009" spans="1:14" x14ac:dyDescent="0.25">
      <c r="A1009">
        <v>636.22930799999995</v>
      </c>
      <c r="B1009" s="1">
        <f>DATE(2012,1,27) + TIME(5,30,12)</f>
        <v>40935.229305555556</v>
      </c>
      <c r="C1009">
        <v>80</v>
      </c>
      <c r="D1009">
        <v>70.845832825000002</v>
      </c>
      <c r="E1009">
        <v>50</v>
      </c>
      <c r="F1009">
        <v>49.963260650999999</v>
      </c>
      <c r="G1009">
        <v>1294.3509521000001</v>
      </c>
      <c r="H1009">
        <v>1280.6462402</v>
      </c>
      <c r="I1009">
        <v>1397.2360839999999</v>
      </c>
      <c r="J1009">
        <v>1377.6263428</v>
      </c>
      <c r="K1009">
        <v>0</v>
      </c>
      <c r="L1009">
        <v>2400</v>
      </c>
      <c r="M1009">
        <v>2400</v>
      </c>
      <c r="N1009">
        <v>0</v>
      </c>
    </row>
    <row r="1010" spans="1:14" x14ac:dyDescent="0.25">
      <c r="A1010">
        <v>638.59578699999997</v>
      </c>
      <c r="B1010" s="1">
        <f>DATE(2012,1,29) + TIME(14,17,55)</f>
        <v>40937.595775462964</v>
      </c>
      <c r="C1010">
        <v>80</v>
      </c>
      <c r="D1010">
        <v>70.648727417000003</v>
      </c>
      <c r="E1010">
        <v>50</v>
      </c>
      <c r="F1010">
        <v>49.963348388999997</v>
      </c>
      <c r="G1010">
        <v>1294.0975341999999</v>
      </c>
      <c r="H1010">
        <v>1280.3062743999999</v>
      </c>
      <c r="I1010">
        <v>1397.1639404</v>
      </c>
      <c r="J1010">
        <v>1377.5603027</v>
      </c>
      <c r="K1010">
        <v>0</v>
      </c>
      <c r="L1010">
        <v>2400</v>
      </c>
      <c r="M1010">
        <v>2400</v>
      </c>
      <c r="N1010">
        <v>0</v>
      </c>
    </row>
    <row r="1011" spans="1:14" x14ac:dyDescent="0.25">
      <c r="A1011">
        <v>641</v>
      </c>
      <c r="B1011" s="1">
        <f>DATE(2012,2,1) + TIME(0,0,0)</f>
        <v>40940</v>
      </c>
      <c r="C1011">
        <v>80</v>
      </c>
      <c r="D1011">
        <v>70.447280883999994</v>
      </c>
      <c r="E1011">
        <v>50</v>
      </c>
      <c r="F1011">
        <v>49.963436127000001</v>
      </c>
      <c r="G1011">
        <v>1293.8360596</v>
      </c>
      <c r="H1011">
        <v>1279.9539795000001</v>
      </c>
      <c r="I1011">
        <v>1397.0928954999999</v>
      </c>
      <c r="J1011">
        <v>1377.4951172000001</v>
      </c>
      <c r="K1011">
        <v>0</v>
      </c>
      <c r="L1011">
        <v>2400</v>
      </c>
      <c r="M1011">
        <v>2400</v>
      </c>
      <c r="N1011">
        <v>0</v>
      </c>
    </row>
    <row r="1012" spans="1:14" x14ac:dyDescent="0.25">
      <c r="A1012">
        <v>643.38564599999995</v>
      </c>
      <c r="B1012" s="1">
        <f>DATE(2012,2,3) + TIME(9,15,19)</f>
        <v>40942.385636574072</v>
      </c>
      <c r="C1012">
        <v>80</v>
      </c>
      <c r="D1012">
        <v>70.241584778000004</v>
      </c>
      <c r="E1012">
        <v>50</v>
      </c>
      <c r="F1012">
        <v>49.963523864999999</v>
      </c>
      <c r="G1012">
        <v>1293.5650635</v>
      </c>
      <c r="H1012">
        <v>1279.5878906</v>
      </c>
      <c r="I1012">
        <v>1397.0225829999999</v>
      </c>
      <c r="J1012">
        <v>1377.4305420000001</v>
      </c>
      <c r="K1012">
        <v>0</v>
      </c>
      <c r="L1012">
        <v>2400</v>
      </c>
      <c r="M1012">
        <v>2400</v>
      </c>
      <c r="N1012">
        <v>0</v>
      </c>
    </row>
    <row r="1013" spans="1:14" x14ac:dyDescent="0.25">
      <c r="A1013">
        <v>645.82306900000003</v>
      </c>
      <c r="B1013" s="1">
        <f>DATE(2012,2,5) + TIME(19,45,13)</f>
        <v>40944.823067129626</v>
      </c>
      <c r="C1013">
        <v>80</v>
      </c>
      <c r="D1013">
        <v>70.032211304</v>
      </c>
      <c r="E1013">
        <v>50</v>
      </c>
      <c r="F1013">
        <v>49.963611602999997</v>
      </c>
      <c r="G1013">
        <v>1293.2896728999999</v>
      </c>
      <c r="H1013">
        <v>1279.2138672000001</v>
      </c>
      <c r="I1013">
        <v>1396.9544678</v>
      </c>
      <c r="J1013">
        <v>1377.3680420000001</v>
      </c>
      <c r="K1013">
        <v>0</v>
      </c>
      <c r="L1013">
        <v>2400</v>
      </c>
      <c r="M1013">
        <v>2400</v>
      </c>
      <c r="N1013">
        <v>0</v>
      </c>
    </row>
    <row r="1014" spans="1:14" x14ac:dyDescent="0.25">
      <c r="A1014">
        <v>648.29131600000005</v>
      </c>
      <c r="B1014" s="1">
        <f>DATE(2012,2,8) + TIME(6,59,29)</f>
        <v>40947.291307870371</v>
      </c>
      <c r="C1014">
        <v>80</v>
      </c>
      <c r="D1014">
        <v>69.816146850999999</v>
      </c>
      <c r="E1014">
        <v>50</v>
      </c>
      <c r="F1014">
        <v>49.963703156000001</v>
      </c>
      <c r="G1014">
        <v>1293.0035399999999</v>
      </c>
      <c r="H1014">
        <v>1278.8243408000001</v>
      </c>
      <c r="I1014">
        <v>1396.8864745999999</v>
      </c>
      <c r="J1014">
        <v>1377.3056641000001</v>
      </c>
      <c r="K1014">
        <v>0</v>
      </c>
      <c r="L1014">
        <v>2400</v>
      </c>
      <c r="M1014">
        <v>2400</v>
      </c>
      <c r="N1014">
        <v>0</v>
      </c>
    </row>
    <row r="1015" spans="1:14" x14ac:dyDescent="0.25">
      <c r="A1015">
        <v>650.78471100000002</v>
      </c>
      <c r="B1015" s="1">
        <f>DATE(2012,2,10) + TIME(18,49,59)</f>
        <v>40949.784710648149</v>
      </c>
      <c r="C1015">
        <v>80</v>
      </c>
      <c r="D1015">
        <v>69.593360900999997</v>
      </c>
      <c r="E1015">
        <v>50</v>
      </c>
      <c r="F1015">
        <v>49.963790893999999</v>
      </c>
      <c r="G1015">
        <v>1292.7080077999999</v>
      </c>
      <c r="H1015">
        <v>1278.4206543</v>
      </c>
      <c r="I1015">
        <v>1396.8192139</v>
      </c>
      <c r="J1015">
        <v>1377.2440185999999</v>
      </c>
      <c r="K1015">
        <v>0</v>
      </c>
      <c r="L1015">
        <v>2400</v>
      </c>
      <c r="M1015">
        <v>2400</v>
      </c>
      <c r="N1015">
        <v>0</v>
      </c>
    </row>
    <row r="1016" spans="1:14" x14ac:dyDescent="0.25">
      <c r="A1016">
        <v>653.30060700000001</v>
      </c>
      <c r="B1016" s="1">
        <f>DATE(2012,2,13) + TIME(7,12,52)</f>
        <v>40952.30060185185</v>
      </c>
      <c r="C1016">
        <v>80</v>
      </c>
      <c r="D1016">
        <v>69.363655089999995</v>
      </c>
      <c r="E1016">
        <v>50</v>
      </c>
      <c r="F1016">
        <v>49.963882446</v>
      </c>
      <c r="G1016">
        <v>1292.4036865</v>
      </c>
      <c r="H1016">
        <v>1278.0035399999999</v>
      </c>
      <c r="I1016">
        <v>1396.7529297000001</v>
      </c>
      <c r="J1016">
        <v>1377.1829834</v>
      </c>
      <c r="K1016">
        <v>0</v>
      </c>
      <c r="L1016">
        <v>2400</v>
      </c>
      <c r="M1016">
        <v>2400</v>
      </c>
      <c r="N1016">
        <v>0</v>
      </c>
    </row>
    <row r="1017" spans="1:14" x14ac:dyDescent="0.25">
      <c r="A1017">
        <v>655.83550300000002</v>
      </c>
      <c r="B1017" s="1">
        <f>DATE(2012,2,15) + TIME(20,3,7)</f>
        <v>40954.835497685184</v>
      </c>
      <c r="C1017">
        <v>80</v>
      </c>
      <c r="D1017">
        <v>69.126731872999997</v>
      </c>
      <c r="E1017">
        <v>50</v>
      </c>
      <c r="F1017">
        <v>49.963973998999997</v>
      </c>
      <c r="G1017">
        <v>1292.0910644999999</v>
      </c>
      <c r="H1017">
        <v>1277.5734863</v>
      </c>
      <c r="I1017">
        <v>1396.6873779</v>
      </c>
      <c r="J1017">
        <v>1377.1228027</v>
      </c>
      <c r="K1017">
        <v>0</v>
      </c>
      <c r="L1017">
        <v>2400</v>
      </c>
      <c r="M1017">
        <v>2400</v>
      </c>
      <c r="N1017">
        <v>0</v>
      </c>
    </row>
    <row r="1018" spans="1:14" x14ac:dyDescent="0.25">
      <c r="A1018">
        <v>658.39335700000004</v>
      </c>
      <c r="B1018" s="1">
        <f>DATE(2012,2,18) + TIME(9,26,26)</f>
        <v>40957.39335648148</v>
      </c>
      <c r="C1018">
        <v>80</v>
      </c>
      <c r="D1018">
        <v>68.882156371999997</v>
      </c>
      <c r="E1018">
        <v>50</v>
      </c>
      <c r="F1018">
        <v>49.964065552000001</v>
      </c>
      <c r="G1018">
        <v>1291.7705077999999</v>
      </c>
      <c r="H1018">
        <v>1277.1308594</v>
      </c>
      <c r="I1018">
        <v>1396.6228027</v>
      </c>
      <c r="J1018">
        <v>1377.0634766000001</v>
      </c>
      <c r="K1018">
        <v>0</v>
      </c>
      <c r="L1018">
        <v>2400</v>
      </c>
      <c r="M1018">
        <v>2400</v>
      </c>
      <c r="N1018">
        <v>0</v>
      </c>
    </row>
    <row r="1019" spans="1:14" x14ac:dyDescent="0.25">
      <c r="A1019">
        <v>660.97873800000002</v>
      </c>
      <c r="B1019" s="1">
        <f>DATE(2012,2,20) + TIME(23,29,22)</f>
        <v>40959.978726851848</v>
      </c>
      <c r="C1019">
        <v>80</v>
      </c>
      <c r="D1019">
        <v>68.629066467000001</v>
      </c>
      <c r="E1019">
        <v>50</v>
      </c>
      <c r="F1019">
        <v>49.964157104000002</v>
      </c>
      <c r="G1019">
        <v>1291.4416504000001</v>
      </c>
      <c r="H1019">
        <v>1276.675293</v>
      </c>
      <c r="I1019">
        <v>1396.559082</v>
      </c>
      <c r="J1019">
        <v>1377.0047606999999</v>
      </c>
      <c r="K1019">
        <v>0</v>
      </c>
      <c r="L1019">
        <v>2400</v>
      </c>
      <c r="M1019">
        <v>2400</v>
      </c>
      <c r="N1019">
        <v>0</v>
      </c>
    </row>
    <row r="1020" spans="1:14" x14ac:dyDescent="0.25">
      <c r="A1020">
        <v>663.59613000000002</v>
      </c>
      <c r="B1020" s="1">
        <f>DATE(2012,2,23) + TIME(14,18,25)</f>
        <v>40962.596122685187</v>
      </c>
      <c r="C1020">
        <v>80</v>
      </c>
      <c r="D1020">
        <v>68.366401671999995</v>
      </c>
      <c r="E1020">
        <v>50</v>
      </c>
      <c r="F1020">
        <v>49.964248656999999</v>
      </c>
      <c r="G1020">
        <v>1291.1038818</v>
      </c>
      <c r="H1020">
        <v>1276.2058105000001</v>
      </c>
      <c r="I1020">
        <v>1396.4959716999999</v>
      </c>
      <c r="J1020">
        <v>1376.9467772999999</v>
      </c>
      <c r="K1020">
        <v>0</v>
      </c>
      <c r="L1020">
        <v>2400</v>
      </c>
      <c r="M1020">
        <v>2400</v>
      </c>
      <c r="N1020">
        <v>0</v>
      </c>
    </row>
    <row r="1021" spans="1:14" x14ac:dyDescent="0.25">
      <c r="A1021">
        <v>666.24852899999996</v>
      </c>
      <c r="B1021" s="1">
        <f>DATE(2012,2,26) + TIME(5,57,52)</f>
        <v>40965.248518518521</v>
      </c>
      <c r="C1021">
        <v>80</v>
      </c>
      <c r="D1021">
        <v>68.093078613000003</v>
      </c>
      <c r="E1021">
        <v>50</v>
      </c>
      <c r="F1021">
        <v>49.964344025000003</v>
      </c>
      <c r="G1021">
        <v>1290.7567139</v>
      </c>
      <c r="H1021">
        <v>1275.7218018000001</v>
      </c>
      <c r="I1021">
        <v>1396.4333495999999</v>
      </c>
      <c r="J1021">
        <v>1376.8890381000001</v>
      </c>
      <c r="K1021">
        <v>0</v>
      </c>
      <c r="L1021">
        <v>2400</v>
      </c>
      <c r="M1021">
        <v>2400</v>
      </c>
      <c r="N1021">
        <v>0</v>
      </c>
    </row>
    <row r="1022" spans="1:14" x14ac:dyDescent="0.25">
      <c r="A1022">
        <v>668.919085</v>
      </c>
      <c r="B1022" s="1">
        <f>DATE(2012,2,28) + TIME(22,3,28)</f>
        <v>40967.919074074074</v>
      </c>
      <c r="C1022">
        <v>80</v>
      </c>
      <c r="D1022">
        <v>67.808494568</v>
      </c>
      <c r="E1022">
        <v>50</v>
      </c>
      <c r="F1022">
        <v>49.964435577000003</v>
      </c>
      <c r="G1022">
        <v>1290.3997803</v>
      </c>
      <c r="H1022">
        <v>1275.2225341999999</v>
      </c>
      <c r="I1022">
        <v>1396.3710937999999</v>
      </c>
      <c r="J1022">
        <v>1376.8317870999999</v>
      </c>
      <c r="K1022">
        <v>0</v>
      </c>
      <c r="L1022">
        <v>2400</v>
      </c>
      <c r="M1022">
        <v>2400</v>
      </c>
      <c r="N1022">
        <v>0</v>
      </c>
    </row>
    <row r="1023" spans="1:14" x14ac:dyDescent="0.25">
      <c r="A1023">
        <v>670</v>
      </c>
      <c r="B1023" s="1">
        <f>DATE(2012,3,1) + TIME(0,0,0)</f>
        <v>40969</v>
      </c>
      <c r="C1023">
        <v>80</v>
      </c>
      <c r="D1023">
        <v>67.587959290000001</v>
      </c>
      <c r="E1023">
        <v>50</v>
      </c>
      <c r="F1023">
        <v>49.964469909999998</v>
      </c>
      <c r="G1023">
        <v>1290.0472411999999</v>
      </c>
      <c r="H1023">
        <v>1274.7474365</v>
      </c>
      <c r="I1023">
        <v>1396.3088379000001</v>
      </c>
      <c r="J1023">
        <v>1376.7742920000001</v>
      </c>
      <c r="K1023">
        <v>0</v>
      </c>
      <c r="L1023">
        <v>2400</v>
      </c>
      <c r="M1023">
        <v>2400</v>
      </c>
      <c r="N1023">
        <v>0</v>
      </c>
    </row>
    <row r="1024" spans="1:14" x14ac:dyDescent="0.25">
      <c r="A1024">
        <v>672.69374000000005</v>
      </c>
      <c r="B1024" s="1">
        <f>DATE(2012,3,3) + TIME(16,38,59)</f>
        <v>40971.693738425929</v>
      </c>
      <c r="C1024">
        <v>80</v>
      </c>
      <c r="D1024">
        <v>67.366325377999999</v>
      </c>
      <c r="E1024">
        <v>50</v>
      </c>
      <c r="F1024">
        <v>49.964565276999998</v>
      </c>
      <c r="G1024">
        <v>1289.8682861</v>
      </c>
      <c r="H1024">
        <v>1274.4659423999999</v>
      </c>
      <c r="I1024">
        <v>1396.2850341999999</v>
      </c>
      <c r="J1024">
        <v>1376.7524414</v>
      </c>
      <c r="K1024">
        <v>0</v>
      </c>
      <c r="L1024">
        <v>2400</v>
      </c>
      <c r="M1024">
        <v>2400</v>
      </c>
      <c r="N1024">
        <v>0</v>
      </c>
    </row>
    <row r="1025" spans="1:14" x14ac:dyDescent="0.25">
      <c r="A1025">
        <v>675.42866900000001</v>
      </c>
      <c r="B1025" s="1">
        <f>DATE(2012,3,6) + TIME(10,17,17)</f>
        <v>40974.428668981483</v>
      </c>
      <c r="C1025">
        <v>80</v>
      </c>
      <c r="D1025">
        <v>67.072364807</v>
      </c>
      <c r="E1025">
        <v>50</v>
      </c>
      <c r="F1025">
        <v>49.964660645000002</v>
      </c>
      <c r="G1025">
        <v>1289.5073242000001</v>
      </c>
      <c r="H1025">
        <v>1273.9639893000001</v>
      </c>
      <c r="I1025">
        <v>1396.2247314000001</v>
      </c>
      <c r="J1025">
        <v>1376.6967772999999</v>
      </c>
      <c r="K1025">
        <v>0</v>
      </c>
      <c r="L1025">
        <v>2400</v>
      </c>
      <c r="M1025">
        <v>2400</v>
      </c>
      <c r="N1025">
        <v>0</v>
      </c>
    </row>
    <row r="1026" spans="1:14" x14ac:dyDescent="0.25">
      <c r="A1026">
        <v>678.196369</v>
      </c>
      <c r="B1026" s="1">
        <f>DATE(2012,3,9) + TIME(4,42,46)</f>
        <v>40977.19636574074</v>
      </c>
      <c r="C1026">
        <v>80</v>
      </c>
      <c r="D1026">
        <v>66.750305175999998</v>
      </c>
      <c r="E1026">
        <v>50</v>
      </c>
      <c r="F1026">
        <v>49.964756012000002</v>
      </c>
      <c r="G1026">
        <v>1289.1256103999999</v>
      </c>
      <c r="H1026">
        <v>1273.4255370999999</v>
      </c>
      <c r="I1026">
        <v>1396.1644286999999</v>
      </c>
      <c r="J1026">
        <v>1376.6411132999999</v>
      </c>
      <c r="K1026">
        <v>0</v>
      </c>
      <c r="L1026">
        <v>2400</v>
      </c>
      <c r="M1026">
        <v>2400</v>
      </c>
      <c r="N1026">
        <v>0</v>
      </c>
    </row>
    <row r="1027" spans="1:14" x14ac:dyDescent="0.25">
      <c r="A1027">
        <v>680.98373600000002</v>
      </c>
      <c r="B1027" s="1">
        <f>DATE(2012,3,11) + TIME(23,36,34)</f>
        <v>40979.983726851853</v>
      </c>
      <c r="C1027">
        <v>80</v>
      </c>
      <c r="D1027">
        <v>66.410835266000007</v>
      </c>
      <c r="E1027">
        <v>50</v>
      </c>
      <c r="F1027">
        <v>49.964851379000002</v>
      </c>
      <c r="G1027">
        <v>1288.7324219</v>
      </c>
      <c r="H1027">
        <v>1272.8675536999999</v>
      </c>
      <c r="I1027">
        <v>1396.1046143000001</v>
      </c>
      <c r="J1027">
        <v>1376.5858154</v>
      </c>
      <c r="K1027">
        <v>0</v>
      </c>
      <c r="L1027">
        <v>2400</v>
      </c>
      <c r="M1027">
        <v>2400</v>
      </c>
      <c r="N1027">
        <v>0</v>
      </c>
    </row>
    <row r="1028" spans="1:14" x14ac:dyDescent="0.25">
      <c r="A1028">
        <v>683.79602499999999</v>
      </c>
      <c r="B1028" s="1">
        <f>DATE(2012,3,14) + TIME(19,6,16)</f>
        <v>40982.796018518522</v>
      </c>
      <c r="C1028">
        <v>80</v>
      </c>
      <c r="D1028">
        <v>66.056663513000004</v>
      </c>
      <c r="E1028">
        <v>50</v>
      </c>
      <c r="F1028">
        <v>49.964946746999999</v>
      </c>
      <c r="G1028">
        <v>1288.3311768000001</v>
      </c>
      <c r="H1028">
        <v>1272.2960204999999</v>
      </c>
      <c r="I1028">
        <v>1396.0452881000001</v>
      </c>
      <c r="J1028">
        <v>1376.5310059000001</v>
      </c>
      <c r="K1028">
        <v>0</v>
      </c>
      <c r="L1028">
        <v>2400</v>
      </c>
      <c r="M1028">
        <v>2400</v>
      </c>
      <c r="N1028">
        <v>0</v>
      </c>
    </row>
    <row r="1029" spans="1:14" x14ac:dyDescent="0.25">
      <c r="A1029">
        <v>686.63825599999996</v>
      </c>
      <c r="B1029" s="1">
        <f>DATE(2012,3,17) + TIME(15,19,5)</f>
        <v>40985.638252314813</v>
      </c>
      <c r="C1029">
        <v>80</v>
      </c>
      <c r="D1029">
        <v>65.687454224000007</v>
      </c>
      <c r="E1029">
        <v>50</v>
      </c>
      <c r="F1029">
        <v>49.965042113999999</v>
      </c>
      <c r="G1029">
        <v>1287.9222411999999</v>
      </c>
      <c r="H1029">
        <v>1271.7111815999999</v>
      </c>
      <c r="I1029">
        <v>1395.9863281</v>
      </c>
      <c r="J1029">
        <v>1376.4765625</v>
      </c>
      <c r="K1029">
        <v>0</v>
      </c>
      <c r="L1029">
        <v>2400</v>
      </c>
      <c r="M1029">
        <v>2400</v>
      </c>
      <c r="N1029">
        <v>0</v>
      </c>
    </row>
    <row r="1030" spans="1:14" x14ac:dyDescent="0.25">
      <c r="A1030">
        <v>689.51537099999996</v>
      </c>
      <c r="B1030" s="1">
        <f>DATE(2012,3,20) + TIME(12,22,8)</f>
        <v>40988.515370370369</v>
      </c>
      <c r="C1030">
        <v>80</v>
      </c>
      <c r="D1030">
        <v>65.302108765</v>
      </c>
      <c r="E1030">
        <v>50</v>
      </c>
      <c r="F1030">
        <v>49.965137482000003</v>
      </c>
      <c r="G1030">
        <v>1287.5051269999999</v>
      </c>
      <c r="H1030">
        <v>1271.1125488</v>
      </c>
      <c r="I1030">
        <v>1395.9277344</v>
      </c>
      <c r="J1030">
        <v>1376.4223632999999</v>
      </c>
      <c r="K1030">
        <v>0</v>
      </c>
      <c r="L1030">
        <v>2400</v>
      </c>
      <c r="M1030">
        <v>2400</v>
      </c>
      <c r="N1030">
        <v>0</v>
      </c>
    </row>
    <row r="1031" spans="1:14" x14ac:dyDescent="0.25">
      <c r="A1031">
        <v>692.42299800000001</v>
      </c>
      <c r="B1031" s="1">
        <f>DATE(2012,3,23) + TIME(10,9,7)</f>
        <v>40991.422997685186</v>
      </c>
      <c r="C1031">
        <v>80</v>
      </c>
      <c r="D1031">
        <v>64.899795531999999</v>
      </c>
      <c r="E1031">
        <v>50</v>
      </c>
      <c r="F1031">
        <v>49.965236664000003</v>
      </c>
      <c r="G1031">
        <v>1287.0792236</v>
      </c>
      <c r="H1031">
        <v>1270.4992675999999</v>
      </c>
      <c r="I1031">
        <v>1395.8693848</v>
      </c>
      <c r="J1031">
        <v>1376.3682861</v>
      </c>
      <c r="K1031">
        <v>0</v>
      </c>
      <c r="L1031">
        <v>2400</v>
      </c>
      <c r="M1031">
        <v>2400</v>
      </c>
      <c r="N1031">
        <v>0</v>
      </c>
    </row>
    <row r="1032" spans="1:14" x14ac:dyDescent="0.25">
      <c r="A1032">
        <v>695.35544700000003</v>
      </c>
      <c r="B1032" s="1">
        <f>DATE(2012,3,26) + TIME(8,31,50)</f>
        <v>40994.355439814812</v>
      </c>
      <c r="C1032">
        <v>80</v>
      </c>
      <c r="D1032">
        <v>64.480583190999994</v>
      </c>
      <c r="E1032">
        <v>50</v>
      </c>
      <c r="F1032">
        <v>49.965332031000003</v>
      </c>
      <c r="G1032">
        <v>1286.6455077999999</v>
      </c>
      <c r="H1032">
        <v>1269.8724365</v>
      </c>
      <c r="I1032">
        <v>1395.8112793</v>
      </c>
      <c r="J1032">
        <v>1376.3144531</v>
      </c>
      <c r="K1032">
        <v>0</v>
      </c>
      <c r="L1032">
        <v>2400</v>
      </c>
      <c r="M1032">
        <v>2400</v>
      </c>
      <c r="N1032">
        <v>0</v>
      </c>
    </row>
    <row r="1033" spans="1:14" x14ac:dyDescent="0.25">
      <c r="A1033">
        <v>698.31820300000004</v>
      </c>
      <c r="B1033" s="1">
        <f>DATE(2012,3,29) + TIME(7,38,12)</f>
        <v>40997.318194444444</v>
      </c>
      <c r="C1033">
        <v>80</v>
      </c>
      <c r="D1033">
        <v>64.044334411999998</v>
      </c>
      <c r="E1033">
        <v>50</v>
      </c>
      <c r="F1033">
        <v>49.965427398999999</v>
      </c>
      <c r="G1033">
        <v>1286.2047118999999</v>
      </c>
      <c r="H1033">
        <v>1269.2330322</v>
      </c>
      <c r="I1033">
        <v>1395.753418</v>
      </c>
      <c r="J1033">
        <v>1376.2608643000001</v>
      </c>
      <c r="K1033">
        <v>0</v>
      </c>
      <c r="L1033">
        <v>2400</v>
      </c>
      <c r="M1033">
        <v>2400</v>
      </c>
      <c r="N1033">
        <v>0</v>
      </c>
    </row>
    <row r="1034" spans="1:14" x14ac:dyDescent="0.25">
      <c r="A1034">
        <v>701</v>
      </c>
      <c r="B1034" s="1">
        <f>DATE(2012,4,1) + TIME(0,0,0)</f>
        <v>41000</v>
      </c>
      <c r="C1034">
        <v>80</v>
      </c>
      <c r="D1034">
        <v>63.600734711000001</v>
      </c>
      <c r="E1034">
        <v>50</v>
      </c>
      <c r="F1034">
        <v>49.965515136999997</v>
      </c>
      <c r="G1034">
        <v>1285.7579346</v>
      </c>
      <c r="H1034">
        <v>1268.5855713000001</v>
      </c>
      <c r="I1034">
        <v>1395.6956786999999</v>
      </c>
      <c r="J1034">
        <v>1376.2072754000001</v>
      </c>
      <c r="K1034">
        <v>0</v>
      </c>
      <c r="L1034">
        <v>2400</v>
      </c>
      <c r="M1034">
        <v>2400</v>
      </c>
      <c r="N1034">
        <v>0</v>
      </c>
    </row>
    <row r="1035" spans="1:14" x14ac:dyDescent="0.25">
      <c r="A1035">
        <v>703.998423</v>
      </c>
      <c r="B1035" s="1">
        <f>DATE(2012,4,3) + TIME(23,57,43)</f>
        <v>41002.998414351852</v>
      </c>
      <c r="C1035">
        <v>80</v>
      </c>
      <c r="D1035">
        <v>63.160602570000002</v>
      </c>
      <c r="E1035">
        <v>50</v>
      </c>
      <c r="F1035">
        <v>49.965614318999997</v>
      </c>
      <c r="G1035">
        <v>1285.3446045000001</v>
      </c>
      <c r="H1035">
        <v>1267.9755858999999</v>
      </c>
      <c r="I1035">
        <v>1395.6442870999999</v>
      </c>
      <c r="J1035">
        <v>1376.1595459</v>
      </c>
      <c r="K1035">
        <v>0</v>
      </c>
      <c r="L1035">
        <v>2400</v>
      </c>
      <c r="M1035">
        <v>2400</v>
      </c>
      <c r="N1035">
        <v>0</v>
      </c>
    </row>
    <row r="1036" spans="1:14" x14ac:dyDescent="0.25">
      <c r="A1036">
        <v>707.06354599999997</v>
      </c>
      <c r="B1036" s="1">
        <f>DATE(2012,4,7) + TIME(1,31,30)</f>
        <v>41006.06354166667</v>
      </c>
      <c r="C1036">
        <v>80</v>
      </c>
      <c r="D1036">
        <v>62.680057525999999</v>
      </c>
      <c r="E1036">
        <v>50</v>
      </c>
      <c r="F1036">
        <v>49.965713501000003</v>
      </c>
      <c r="G1036">
        <v>1284.8900146000001</v>
      </c>
      <c r="H1036">
        <v>1267.3109131000001</v>
      </c>
      <c r="I1036">
        <v>1395.5874022999999</v>
      </c>
      <c r="J1036">
        <v>1376.1068115</v>
      </c>
      <c r="K1036">
        <v>0</v>
      </c>
      <c r="L1036">
        <v>2400</v>
      </c>
      <c r="M1036">
        <v>2400</v>
      </c>
      <c r="N1036">
        <v>0</v>
      </c>
    </row>
    <row r="1037" spans="1:14" x14ac:dyDescent="0.25">
      <c r="A1037">
        <v>710.15983100000005</v>
      </c>
      <c r="B1037" s="1">
        <f>DATE(2012,4,10) + TIME(3,50,9)</f>
        <v>41009.159826388888</v>
      </c>
      <c r="C1037">
        <v>80</v>
      </c>
      <c r="D1037">
        <v>62.172992706000002</v>
      </c>
      <c r="E1037">
        <v>50</v>
      </c>
      <c r="F1037">
        <v>49.965808868000003</v>
      </c>
      <c r="G1037">
        <v>1284.4215088000001</v>
      </c>
      <c r="H1037">
        <v>1266.6220702999999</v>
      </c>
      <c r="I1037">
        <v>1395.5299072</v>
      </c>
      <c r="J1037">
        <v>1376.0533447</v>
      </c>
      <c r="K1037">
        <v>0</v>
      </c>
      <c r="L1037">
        <v>2400</v>
      </c>
      <c r="M1037">
        <v>2400</v>
      </c>
      <c r="N1037">
        <v>0</v>
      </c>
    </row>
    <row r="1038" spans="1:14" x14ac:dyDescent="0.25">
      <c r="A1038">
        <v>713.29346999999996</v>
      </c>
      <c r="B1038" s="1">
        <f>DATE(2012,4,13) + TIME(7,2,35)</f>
        <v>41012.29346064815</v>
      </c>
      <c r="C1038">
        <v>80</v>
      </c>
      <c r="D1038">
        <v>61.645679473999998</v>
      </c>
      <c r="E1038">
        <v>50</v>
      </c>
      <c r="F1038">
        <v>49.965908051</v>
      </c>
      <c r="G1038">
        <v>1283.9458007999999</v>
      </c>
      <c r="H1038">
        <v>1265.9190673999999</v>
      </c>
      <c r="I1038">
        <v>1395.4725341999999</v>
      </c>
      <c r="J1038">
        <v>1375.9998779</v>
      </c>
      <c r="K1038">
        <v>0</v>
      </c>
      <c r="L1038">
        <v>2400</v>
      </c>
      <c r="M1038">
        <v>2400</v>
      </c>
      <c r="N1038">
        <v>0</v>
      </c>
    </row>
    <row r="1039" spans="1:14" x14ac:dyDescent="0.25">
      <c r="A1039">
        <v>716.463301</v>
      </c>
      <c r="B1039" s="1">
        <f>DATE(2012,4,16) + TIME(11,7,9)</f>
        <v>41015.46329861111</v>
      </c>
      <c r="C1039">
        <v>80</v>
      </c>
      <c r="D1039">
        <v>61.098911285</v>
      </c>
      <c r="E1039">
        <v>50</v>
      </c>
      <c r="F1039">
        <v>49.966011047000002</v>
      </c>
      <c r="G1039">
        <v>1283.4631348</v>
      </c>
      <c r="H1039">
        <v>1265.2030029</v>
      </c>
      <c r="I1039">
        <v>1395.4150391000001</v>
      </c>
      <c r="J1039">
        <v>1375.9464111</v>
      </c>
      <c r="K1039">
        <v>0</v>
      </c>
      <c r="L1039">
        <v>2400</v>
      </c>
      <c r="M1039">
        <v>2400</v>
      </c>
      <c r="N1039">
        <v>0</v>
      </c>
    </row>
    <row r="1040" spans="1:14" x14ac:dyDescent="0.25">
      <c r="A1040">
        <v>719.66968499999996</v>
      </c>
      <c r="B1040" s="1">
        <f>DATE(2012,4,19) + TIME(16,4,20)</f>
        <v>41018.669675925928</v>
      </c>
      <c r="C1040">
        <v>80</v>
      </c>
      <c r="D1040">
        <v>60.533416748</v>
      </c>
      <c r="E1040">
        <v>50</v>
      </c>
      <c r="F1040">
        <v>49.966110229000002</v>
      </c>
      <c r="G1040">
        <v>1282.9743652</v>
      </c>
      <c r="H1040">
        <v>1264.4748535000001</v>
      </c>
      <c r="I1040">
        <v>1395.3575439000001</v>
      </c>
      <c r="J1040">
        <v>1375.8929443</v>
      </c>
      <c r="K1040">
        <v>0</v>
      </c>
      <c r="L1040">
        <v>2400</v>
      </c>
      <c r="M1040">
        <v>2400</v>
      </c>
      <c r="N1040">
        <v>0</v>
      </c>
    </row>
    <row r="1041" spans="1:14" x14ac:dyDescent="0.25">
      <c r="A1041">
        <v>722.90952600000003</v>
      </c>
      <c r="B1041" s="1">
        <f>DATE(2012,4,22) + TIME(21,49,43)</f>
        <v>41021.909525462965</v>
      </c>
      <c r="C1041">
        <v>80</v>
      </c>
      <c r="D1041">
        <v>59.948783874999997</v>
      </c>
      <c r="E1041">
        <v>50</v>
      </c>
      <c r="F1041">
        <v>49.966209411999998</v>
      </c>
      <c r="G1041">
        <v>1282.4798584</v>
      </c>
      <c r="H1041">
        <v>1263.7352295000001</v>
      </c>
      <c r="I1041">
        <v>1395.3000488</v>
      </c>
      <c r="J1041">
        <v>1375.8392334</v>
      </c>
      <c r="K1041">
        <v>0</v>
      </c>
      <c r="L1041">
        <v>2400</v>
      </c>
      <c r="M1041">
        <v>2400</v>
      </c>
      <c r="N1041">
        <v>0</v>
      </c>
    </row>
    <row r="1042" spans="1:14" x14ac:dyDescent="0.25">
      <c r="A1042">
        <v>726.18725500000005</v>
      </c>
      <c r="B1042" s="1">
        <f>DATE(2012,4,26) + TIME(4,29,38)</f>
        <v>41025.187245370369</v>
      </c>
      <c r="C1042">
        <v>80</v>
      </c>
      <c r="D1042">
        <v>59.345371245999999</v>
      </c>
      <c r="E1042">
        <v>50</v>
      </c>
      <c r="F1042">
        <v>49.966308593999997</v>
      </c>
      <c r="G1042">
        <v>1281.9805908000001</v>
      </c>
      <c r="H1042">
        <v>1262.9851074000001</v>
      </c>
      <c r="I1042">
        <v>1395.2424315999999</v>
      </c>
      <c r="J1042">
        <v>1375.7854004000001</v>
      </c>
      <c r="K1042">
        <v>0</v>
      </c>
      <c r="L1042">
        <v>2400</v>
      </c>
      <c r="M1042">
        <v>2400</v>
      </c>
      <c r="N1042">
        <v>0</v>
      </c>
    </row>
    <row r="1043" spans="1:14" x14ac:dyDescent="0.25">
      <c r="A1043">
        <v>729.49362299999996</v>
      </c>
      <c r="B1043" s="1">
        <f>DATE(2012,4,29) + TIME(11,50,49)</f>
        <v>41028.493622685186</v>
      </c>
      <c r="C1043">
        <v>80</v>
      </c>
      <c r="D1043">
        <v>58.724086761000002</v>
      </c>
      <c r="E1043">
        <v>50</v>
      </c>
      <c r="F1043">
        <v>49.966411591000004</v>
      </c>
      <c r="G1043">
        <v>1281.4765625</v>
      </c>
      <c r="H1043">
        <v>1262.2247314000001</v>
      </c>
      <c r="I1043">
        <v>1395.1846923999999</v>
      </c>
      <c r="J1043">
        <v>1375.7314452999999</v>
      </c>
      <c r="K1043">
        <v>0</v>
      </c>
      <c r="L1043">
        <v>2400</v>
      </c>
      <c r="M1043">
        <v>2400</v>
      </c>
      <c r="N1043">
        <v>0</v>
      </c>
    </row>
    <row r="1044" spans="1:14" x14ac:dyDescent="0.25">
      <c r="A1044">
        <v>731</v>
      </c>
      <c r="B1044" s="1">
        <f>DATE(2012,5,1) + TIME(0,0,0)</f>
        <v>41030</v>
      </c>
      <c r="C1044">
        <v>80</v>
      </c>
      <c r="D1044">
        <v>58.200065613</v>
      </c>
      <c r="E1044">
        <v>50</v>
      </c>
      <c r="F1044">
        <v>49.966453551999997</v>
      </c>
      <c r="G1044">
        <v>1280.9780272999999</v>
      </c>
      <c r="H1044">
        <v>1261.5059814000001</v>
      </c>
      <c r="I1044">
        <v>1395.1264647999999</v>
      </c>
      <c r="J1044">
        <v>1375.6770019999999</v>
      </c>
      <c r="K1044">
        <v>0</v>
      </c>
      <c r="L1044">
        <v>2400</v>
      </c>
      <c r="M1044">
        <v>2400</v>
      </c>
      <c r="N1044">
        <v>0</v>
      </c>
    </row>
    <row r="1045" spans="1:14" x14ac:dyDescent="0.25">
      <c r="A1045">
        <v>731.000001</v>
      </c>
      <c r="B1045" s="1">
        <f>DATE(2012,5,1) + TIME(0,0,0)</f>
        <v>41030</v>
      </c>
      <c r="C1045">
        <v>80</v>
      </c>
      <c r="D1045">
        <v>58.200229645</v>
      </c>
      <c r="E1045">
        <v>50</v>
      </c>
      <c r="F1045">
        <v>49.966342926000003</v>
      </c>
      <c r="G1045">
        <v>1302.1000977000001</v>
      </c>
      <c r="H1045">
        <v>1282.003418</v>
      </c>
      <c r="I1045">
        <v>1374.8026123</v>
      </c>
      <c r="J1045">
        <v>1355.9101562000001</v>
      </c>
      <c r="K1045">
        <v>2400</v>
      </c>
      <c r="L1045">
        <v>0</v>
      </c>
      <c r="M1045">
        <v>0</v>
      </c>
      <c r="N1045">
        <v>2400</v>
      </c>
    </row>
    <row r="1046" spans="1:14" x14ac:dyDescent="0.25">
      <c r="A1046">
        <v>731.00000399999999</v>
      </c>
      <c r="B1046" s="1">
        <f>DATE(2012,5,1) + TIME(0,0,0)</f>
        <v>41030</v>
      </c>
      <c r="C1046">
        <v>80</v>
      </c>
      <c r="D1046">
        <v>58.200668335000003</v>
      </c>
      <c r="E1046">
        <v>50</v>
      </c>
      <c r="F1046">
        <v>49.966049194</v>
      </c>
      <c r="G1046">
        <v>1304.4937743999999</v>
      </c>
      <c r="H1046">
        <v>1284.6818848</v>
      </c>
      <c r="I1046">
        <v>1372.4703368999999</v>
      </c>
      <c r="J1046">
        <v>1353.5770264</v>
      </c>
      <c r="K1046">
        <v>2400</v>
      </c>
      <c r="L1046">
        <v>0</v>
      </c>
      <c r="M1046">
        <v>0</v>
      </c>
      <c r="N1046">
        <v>2400</v>
      </c>
    </row>
    <row r="1047" spans="1:14" x14ac:dyDescent="0.25">
      <c r="A1047">
        <v>731.00001299999997</v>
      </c>
      <c r="B1047" s="1">
        <f>DATE(2012,5,1) + TIME(0,0,1)</f>
        <v>41030.000011574077</v>
      </c>
      <c r="C1047">
        <v>80</v>
      </c>
      <c r="D1047">
        <v>58.201694488999998</v>
      </c>
      <c r="E1047">
        <v>50</v>
      </c>
      <c r="F1047">
        <v>49.965389252000001</v>
      </c>
      <c r="G1047">
        <v>1309.8636475000001</v>
      </c>
      <c r="H1047">
        <v>1290.4562988</v>
      </c>
      <c r="I1047">
        <v>1367.2382812000001</v>
      </c>
      <c r="J1047">
        <v>1348.34375</v>
      </c>
      <c r="K1047">
        <v>2400</v>
      </c>
      <c r="L1047">
        <v>0</v>
      </c>
      <c r="M1047">
        <v>0</v>
      </c>
      <c r="N1047">
        <v>2400</v>
      </c>
    </row>
    <row r="1048" spans="1:14" x14ac:dyDescent="0.25">
      <c r="A1048">
        <v>731.00004000000001</v>
      </c>
      <c r="B1048" s="1">
        <f>DATE(2012,5,1) + TIME(0,0,3)</f>
        <v>41030.000034722223</v>
      </c>
      <c r="C1048">
        <v>80</v>
      </c>
      <c r="D1048">
        <v>58.203708648999999</v>
      </c>
      <c r="E1048">
        <v>50</v>
      </c>
      <c r="F1048">
        <v>49.964286803999997</v>
      </c>
      <c r="G1048">
        <v>1318.8808594</v>
      </c>
      <c r="H1048">
        <v>1299.6704102000001</v>
      </c>
      <c r="I1048">
        <v>1358.4937743999999</v>
      </c>
      <c r="J1048">
        <v>1339.6003418</v>
      </c>
      <c r="K1048">
        <v>2400</v>
      </c>
      <c r="L1048">
        <v>0</v>
      </c>
      <c r="M1048">
        <v>0</v>
      </c>
      <c r="N1048">
        <v>2400</v>
      </c>
    </row>
    <row r="1049" spans="1:14" x14ac:dyDescent="0.25">
      <c r="A1049">
        <v>731.00012100000004</v>
      </c>
      <c r="B1049" s="1">
        <f>DATE(2012,5,1) + TIME(0,0,10)</f>
        <v>41030.000115740739</v>
      </c>
      <c r="C1049">
        <v>80</v>
      </c>
      <c r="D1049">
        <v>58.207588196000003</v>
      </c>
      <c r="E1049">
        <v>50</v>
      </c>
      <c r="F1049">
        <v>49.962928771999998</v>
      </c>
      <c r="G1049">
        <v>1330.0074463000001</v>
      </c>
      <c r="H1049">
        <v>1310.6896973</v>
      </c>
      <c r="I1049">
        <v>1347.8173827999999</v>
      </c>
      <c r="J1049">
        <v>1328.9304199000001</v>
      </c>
      <c r="K1049">
        <v>2400</v>
      </c>
      <c r="L1049">
        <v>0</v>
      </c>
      <c r="M1049">
        <v>0</v>
      </c>
      <c r="N1049">
        <v>2400</v>
      </c>
    </row>
    <row r="1050" spans="1:14" x14ac:dyDescent="0.25">
      <c r="A1050">
        <v>731.00036399999999</v>
      </c>
      <c r="B1050" s="1">
        <f>DATE(2012,5,1) + TIME(0,0,31)</f>
        <v>41030.000358796293</v>
      </c>
      <c r="C1050">
        <v>80</v>
      </c>
      <c r="D1050">
        <v>58.216468810999999</v>
      </c>
      <c r="E1050">
        <v>50</v>
      </c>
      <c r="F1050">
        <v>49.961509704999997</v>
      </c>
      <c r="G1050">
        <v>1341.6523437999999</v>
      </c>
      <c r="H1050">
        <v>1322.1682129000001</v>
      </c>
      <c r="I1050">
        <v>1336.8236084</v>
      </c>
      <c r="J1050">
        <v>1317.9490966999999</v>
      </c>
      <c r="K1050">
        <v>2400</v>
      </c>
      <c r="L1050">
        <v>0</v>
      </c>
      <c r="M1050">
        <v>0</v>
      </c>
      <c r="N1050">
        <v>2400</v>
      </c>
    </row>
    <row r="1051" spans="1:14" x14ac:dyDescent="0.25">
      <c r="A1051">
        <v>731.00109299999997</v>
      </c>
      <c r="B1051" s="1">
        <f>DATE(2012,5,1) + TIME(0,1,34)</f>
        <v>41030.001087962963</v>
      </c>
      <c r="C1051">
        <v>80</v>
      </c>
      <c r="D1051">
        <v>58.240337371999999</v>
      </c>
      <c r="E1051">
        <v>50</v>
      </c>
      <c r="F1051">
        <v>49.960014342999997</v>
      </c>
      <c r="G1051">
        <v>1353.6798096</v>
      </c>
      <c r="H1051">
        <v>1334.0281981999999</v>
      </c>
      <c r="I1051">
        <v>1325.8233643000001</v>
      </c>
      <c r="J1051">
        <v>1306.9645995999999</v>
      </c>
      <c r="K1051">
        <v>2400</v>
      </c>
      <c r="L1051">
        <v>0</v>
      </c>
      <c r="M1051">
        <v>0</v>
      </c>
      <c r="N1051">
        <v>2400</v>
      </c>
    </row>
    <row r="1052" spans="1:14" x14ac:dyDescent="0.25">
      <c r="A1052">
        <v>731.00328000000002</v>
      </c>
      <c r="B1052" s="1">
        <f>DATE(2012,5,1) + TIME(0,4,43)</f>
        <v>41030.003275462965</v>
      </c>
      <c r="C1052">
        <v>80</v>
      </c>
      <c r="D1052">
        <v>58.309413910000004</v>
      </c>
      <c r="E1052">
        <v>50</v>
      </c>
      <c r="F1052">
        <v>49.958267212000003</v>
      </c>
      <c r="G1052">
        <v>1366.6075439000001</v>
      </c>
      <c r="H1052">
        <v>1346.7816161999999</v>
      </c>
      <c r="I1052">
        <v>1314.5715332</v>
      </c>
      <c r="J1052">
        <v>1295.7082519999999</v>
      </c>
      <c r="K1052">
        <v>2400</v>
      </c>
      <c r="L1052">
        <v>0</v>
      </c>
      <c r="M1052">
        <v>0</v>
      </c>
      <c r="N1052">
        <v>2400</v>
      </c>
    </row>
    <row r="1053" spans="1:14" x14ac:dyDescent="0.25">
      <c r="A1053">
        <v>731.00984100000005</v>
      </c>
      <c r="B1053" s="1">
        <f>DATE(2012,5,1) + TIME(0,14,10)</f>
        <v>41030.009837962964</v>
      </c>
      <c r="C1053">
        <v>80</v>
      </c>
      <c r="D1053">
        <v>58.513412475999999</v>
      </c>
      <c r="E1053">
        <v>50</v>
      </c>
      <c r="F1053">
        <v>49.955787659000002</v>
      </c>
      <c r="G1053">
        <v>1380.3208007999999</v>
      </c>
      <c r="H1053">
        <v>1360.3684082</v>
      </c>
      <c r="I1053">
        <v>1302.7988281</v>
      </c>
      <c r="J1053">
        <v>1283.8919678</v>
      </c>
      <c r="K1053">
        <v>2400</v>
      </c>
      <c r="L1053">
        <v>0</v>
      </c>
      <c r="M1053">
        <v>0</v>
      </c>
      <c r="N1053">
        <v>2400</v>
      </c>
    </row>
    <row r="1054" spans="1:14" x14ac:dyDescent="0.25">
      <c r="A1054">
        <v>731.02952400000004</v>
      </c>
      <c r="B1054" s="1">
        <f>DATE(2012,5,1) + TIME(0,42,30)</f>
        <v>41030.029513888891</v>
      </c>
      <c r="C1054">
        <v>80</v>
      </c>
      <c r="D1054">
        <v>59.108592987000002</v>
      </c>
      <c r="E1054">
        <v>50</v>
      </c>
      <c r="F1054">
        <v>49.951538085999999</v>
      </c>
      <c r="G1054">
        <v>1392.2001952999999</v>
      </c>
      <c r="H1054">
        <v>1372.3007812000001</v>
      </c>
      <c r="I1054">
        <v>1292.5242920000001</v>
      </c>
      <c r="J1054">
        <v>1273.5742187999999</v>
      </c>
      <c r="K1054">
        <v>2400</v>
      </c>
      <c r="L1054">
        <v>0</v>
      </c>
      <c r="M1054">
        <v>0</v>
      </c>
      <c r="N1054">
        <v>2400</v>
      </c>
    </row>
    <row r="1055" spans="1:14" x14ac:dyDescent="0.25">
      <c r="A1055">
        <v>731.05407400000001</v>
      </c>
      <c r="B1055" s="1">
        <f>DATE(2012,5,1) + TIME(1,17,52)</f>
        <v>41030.054074074076</v>
      </c>
      <c r="C1055">
        <v>80</v>
      </c>
      <c r="D1055">
        <v>59.826141356999997</v>
      </c>
      <c r="E1055">
        <v>50</v>
      </c>
      <c r="F1055">
        <v>49.947368621999999</v>
      </c>
      <c r="G1055">
        <v>1397.1390381000001</v>
      </c>
      <c r="H1055">
        <v>1377.4046631000001</v>
      </c>
      <c r="I1055">
        <v>1288.5070800999999</v>
      </c>
      <c r="J1055">
        <v>1269.5417480000001</v>
      </c>
      <c r="K1055">
        <v>2400</v>
      </c>
      <c r="L1055">
        <v>0</v>
      </c>
      <c r="M1055">
        <v>0</v>
      </c>
      <c r="N1055">
        <v>2400</v>
      </c>
    </row>
    <row r="1056" spans="1:14" x14ac:dyDescent="0.25">
      <c r="A1056">
        <v>731.07918900000004</v>
      </c>
      <c r="B1056" s="1">
        <f>DATE(2012,5,1) + TIME(1,54,1)</f>
        <v>41030.07917824074</v>
      </c>
      <c r="C1056">
        <v>80</v>
      </c>
      <c r="D1056">
        <v>60.534626007</v>
      </c>
      <c r="E1056">
        <v>50</v>
      </c>
      <c r="F1056">
        <v>49.943477631</v>
      </c>
      <c r="G1056">
        <v>1398.9948730000001</v>
      </c>
      <c r="H1056">
        <v>1379.4448242000001</v>
      </c>
      <c r="I1056">
        <v>1287.1864014</v>
      </c>
      <c r="J1056">
        <v>1268.2158202999999</v>
      </c>
      <c r="K1056">
        <v>2400</v>
      </c>
      <c r="L1056">
        <v>0</v>
      </c>
      <c r="M1056">
        <v>0</v>
      </c>
      <c r="N1056">
        <v>2400</v>
      </c>
    </row>
    <row r="1057" spans="1:14" x14ac:dyDescent="0.25">
      <c r="A1057">
        <v>731.10481300000004</v>
      </c>
      <c r="B1057" s="1">
        <f>DATE(2012,5,1) + TIME(2,30,55)</f>
        <v>41030.104803240742</v>
      </c>
      <c r="C1057">
        <v>80</v>
      </c>
      <c r="D1057">
        <v>61.231986999999997</v>
      </c>
      <c r="E1057">
        <v>50</v>
      </c>
      <c r="F1057">
        <v>49.939655303999999</v>
      </c>
      <c r="G1057">
        <v>1399.6568603999999</v>
      </c>
      <c r="H1057">
        <v>1380.2939452999999</v>
      </c>
      <c r="I1057">
        <v>1286.7932129000001</v>
      </c>
      <c r="J1057">
        <v>1267.8206786999999</v>
      </c>
      <c r="K1057">
        <v>2400</v>
      </c>
      <c r="L1057">
        <v>0</v>
      </c>
      <c r="M1057">
        <v>0</v>
      </c>
      <c r="N1057">
        <v>2400</v>
      </c>
    </row>
    <row r="1058" spans="1:14" x14ac:dyDescent="0.25">
      <c r="A1058">
        <v>731.13094699999999</v>
      </c>
      <c r="B1058" s="1">
        <f>DATE(2012,5,1) + TIME(3,8,33)</f>
        <v>41030.130937499998</v>
      </c>
      <c r="C1058">
        <v>80</v>
      </c>
      <c r="D1058">
        <v>61.917636870999999</v>
      </c>
      <c r="E1058">
        <v>50</v>
      </c>
      <c r="F1058">
        <v>49.935836792000003</v>
      </c>
      <c r="G1058">
        <v>1399.8165283000001</v>
      </c>
      <c r="H1058">
        <v>1380.6370850000001</v>
      </c>
      <c r="I1058">
        <v>1286.7116699000001</v>
      </c>
      <c r="J1058">
        <v>1267.7381591999999</v>
      </c>
      <c r="K1058">
        <v>2400</v>
      </c>
      <c r="L1058">
        <v>0</v>
      </c>
      <c r="M1058">
        <v>0</v>
      </c>
      <c r="N1058">
        <v>2400</v>
      </c>
    </row>
    <row r="1059" spans="1:14" x14ac:dyDescent="0.25">
      <c r="A1059">
        <v>731.15760399999999</v>
      </c>
      <c r="B1059" s="1">
        <f>DATE(2012,5,1) + TIME(3,46,56)</f>
        <v>41030.157592592594</v>
      </c>
      <c r="C1059">
        <v>80</v>
      </c>
      <c r="D1059">
        <v>62.591396332000002</v>
      </c>
      <c r="E1059">
        <v>50</v>
      </c>
      <c r="F1059">
        <v>49.931983948000003</v>
      </c>
      <c r="G1059">
        <v>1399.7540283000001</v>
      </c>
      <c r="H1059">
        <v>1380.7528076000001</v>
      </c>
      <c r="I1059">
        <v>1286.7229004000001</v>
      </c>
      <c r="J1059">
        <v>1267.7489014</v>
      </c>
      <c r="K1059">
        <v>2400</v>
      </c>
      <c r="L1059">
        <v>0</v>
      </c>
      <c r="M1059">
        <v>0</v>
      </c>
      <c r="N1059">
        <v>2400</v>
      </c>
    </row>
    <row r="1060" spans="1:14" x14ac:dyDescent="0.25">
      <c r="A1060">
        <v>731.18480699999998</v>
      </c>
      <c r="B1060" s="1">
        <f>DATE(2012,5,1) + TIME(4,26,7)</f>
        <v>41030.184803240743</v>
      </c>
      <c r="C1060">
        <v>80</v>
      </c>
      <c r="D1060">
        <v>63.253234863000003</v>
      </c>
      <c r="E1060">
        <v>50</v>
      </c>
      <c r="F1060">
        <v>49.928092956999997</v>
      </c>
      <c r="G1060">
        <v>1399.5910644999999</v>
      </c>
      <c r="H1060">
        <v>1380.7618408000001</v>
      </c>
      <c r="I1060">
        <v>1286.7529297000001</v>
      </c>
      <c r="J1060">
        <v>1267.7784423999999</v>
      </c>
      <c r="K1060">
        <v>2400</v>
      </c>
      <c r="L1060">
        <v>0</v>
      </c>
      <c r="M1060">
        <v>0</v>
      </c>
      <c r="N1060">
        <v>2400</v>
      </c>
    </row>
    <row r="1061" spans="1:14" x14ac:dyDescent="0.25">
      <c r="A1061">
        <v>731.21258399999999</v>
      </c>
      <c r="B1061" s="1">
        <f>DATE(2012,5,1) + TIME(5,6,7)</f>
        <v>41030.212581018517</v>
      </c>
      <c r="C1061">
        <v>80</v>
      </c>
      <c r="D1061">
        <v>63.903194427000003</v>
      </c>
      <c r="E1061">
        <v>50</v>
      </c>
      <c r="F1061">
        <v>49.924156189000001</v>
      </c>
      <c r="G1061">
        <v>1399.3826904</v>
      </c>
      <c r="H1061">
        <v>1380.7194824000001</v>
      </c>
      <c r="I1061">
        <v>1286.7795410000001</v>
      </c>
      <c r="J1061">
        <v>1267.8046875</v>
      </c>
      <c r="K1061">
        <v>2400</v>
      </c>
      <c r="L1061">
        <v>0</v>
      </c>
      <c r="M1061">
        <v>0</v>
      </c>
      <c r="N1061">
        <v>2400</v>
      </c>
    </row>
    <row r="1062" spans="1:14" x14ac:dyDescent="0.25">
      <c r="A1062">
        <v>731.24096299999997</v>
      </c>
      <c r="B1062" s="1">
        <f>DATE(2012,5,1) + TIME(5,46,59)</f>
        <v>41030.240960648145</v>
      </c>
      <c r="C1062">
        <v>80</v>
      </c>
      <c r="D1062">
        <v>64.541320800999998</v>
      </c>
      <c r="E1062">
        <v>50</v>
      </c>
      <c r="F1062">
        <v>49.920169829999999</v>
      </c>
      <c r="G1062">
        <v>1399.1551514</v>
      </c>
      <c r="H1062">
        <v>1380.6519774999999</v>
      </c>
      <c r="I1062">
        <v>1286.7984618999999</v>
      </c>
      <c r="J1062">
        <v>1267.8232422000001</v>
      </c>
      <c r="K1062">
        <v>2400</v>
      </c>
      <c r="L1062">
        <v>0</v>
      </c>
      <c r="M1062">
        <v>0</v>
      </c>
      <c r="N1062">
        <v>2400</v>
      </c>
    </row>
    <row r="1063" spans="1:14" x14ac:dyDescent="0.25">
      <c r="A1063">
        <v>731.26997300000005</v>
      </c>
      <c r="B1063" s="1">
        <f>DATE(2012,5,1) + TIME(6,28,45)</f>
        <v>41030.269965277781</v>
      </c>
      <c r="C1063">
        <v>80</v>
      </c>
      <c r="D1063">
        <v>65.167648314999994</v>
      </c>
      <c r="E1063">
        <v>50</v>
      </c>
      <c r="F1063">
        <v>49.916130066000001</v>
      </c>
      <c r="G1063">
        <v>1398.9215088000001</v>
      </c>
      <c r="H1063">
        <v>1380.5725098</v>
      </c>
      <c r="I1063">
        <v>1286.8106689000001</v>
      </c>
      <c r="J1063">
        <v>1267.8350829999999</v>
      </c>
      <c r="K1063">
        <v>2400</v>
      </c>
      <c r="L1063">
        <v>0</v>
      </c>
      <c r="M1063">
        <v>0</v>
      </c>
      <c r="N1063">
        <v>2400</v>
      </c>
    </row>
    <row r="1064" spans="1:14" x14ac:dyDescent="0.25">
      <c r="A1064">
        <v>731.29964900000004</v>
      </c>
      <c r="B1064" s="1">
        <f>DATE(2012,5,1) + TIME(7,11,29)</f>
        <v>41030.299641203703</v>
      </c>
      <c r="C1064">
        <v>80</v>
      </c>
      <c r="D1064">
        <v>65.782272339000002</v>
      </c>
      <c r="E1064">
        <v>50</v>
      </c>
      <c r="F1064">
        <v>49.912036895999996</v>
      </c>
      <c r="G1064">
        <v>1398.6879882999999</v>
      </c>
      <c r="H1064">
        <v>1380.4876709</v>
      </c>
      <c r="I1064">
        <v>1286.8179932</v>
      </c>
      <c r="J1064">
        <v>1267.8420410000001</v>
      </c>
      <c r="K1064">
        <v>2400</v>
      </c>
      <c r="L1064">
        <v>0</v>
      </c>
      <c r="M1064">
        <v>0</v>
      </c>
      <c r="N1064">
        <v>2400</v>
      </c>
    </row>
    <row r="1065" spans="1:14" x14ac:dyDescent="0.25">
      <c r="A1065">
        <v>731.33002999999997</v>
      </c>
      <c r="B1065" s="1">
        <f>DATE(2012,5,1) + TIME(7,55,14)</f>
        <v>41030.330023148148</v>
      </c>
      <c r="C1065">
        <v>80</v>
      </c>
      <c r="D1065">
        <v>66.385200499999996</v>
      </c>
      <c r="E1065">
        <v>50</v>
      </c>
      <c r="F1065">
        <v>49.907882690000001</v>
      </c>
      <c r="G1065">
        <v>1398.4578856999999</v>
      </c>
      <c r="H1065">
        <v>1380.401001</v>
      </c>
      <c r="I1065">
        <v>1286.8222656</v>
      </c>
      <c r="J1065">
        <v>1267.8459473</v>
      </c>
      <c r="K1065">
        <v>2400</v>
      </c>
      <c r="L1065">
        <v>0</v>
      </c>
      <c r="M1065">
        <v>0</v>
      </c>
      <c r="N1065">
        <v>2400</v>
      </c>
    </row>
    <row r="1066" spans="1:14" x14ac:dyDescent="0.25">
      <c r="A1066">
        <v>731.36115700000005</v>
      </c>
      <c r="B1066" s="1">
        <f>DATE(2012,5,1) + TIME(8,40,3)</f>
        <v>41030.361145833333</v>
      </c>
      <c r="C1066">
        <v>80</v>
      </c>
      <c r="D1066">
        <v>66.976470946999996</v>
      </c>
      <c r="E1066">
        <v>50</v>
      </c>
      <c r="F1066">
        <v>49.90366745</v>
      </c>
      <c r="G1066">
        <v>1398.2330322</v>
      </c>
      <c r="H1066">
        <v>1380.3143310999999</v>
      </c>
      <c r="I1066">
        <v>1286.8245850000001</v>
      </c>
      <c r="J1066">
        <v>1267.8477783000001</v>
      </c>
      <c r="K1066">
        <v>2400</v>
      </c>
      <c r="L1066">
        <v>0</v>
      </c>
      <c r="M1066">
        <v>0</v>
      </c>
      <c r="N1066">
        <v>2400</v>
      </c>
    </row>
    <row r="1067" spans="1:14" x14ac:dyDescent="0.25">
      <c r="A1067">
        <v>731.39307299999996</v>
      </c>
      <c r="B1067" s="1">
        <f>DATE(2012,5,1) + TIME(9,26,1)</f>
        <v>41030.393067129633</v>
      </c>
      <c r="C1067">
        <v>80</v>
      </c>
      <c r="D1067">
        <v>67.556091308999996</v>
      </c>
      <c r="E1067">
        <v>50</v>
      </c>
      <c r="F1067">
        <v>49.899387359999999</v>
      </c>
      <c r="G1067">
        <v>1398.0140381000001</v>
      </c>
      <c r="H1067">
        <v>1380.2285156</v>
      </c>
      <c r="I1067">
        <v>1286.8256836</v>
      </c>
      <c r="J1067">
        <v>1267.8486327999999</v>
      </c>
      <c r="K1067">
        <v>2400</v>
      </c>
      <c r="L1067">
        <v>0</v>
      </c>
      <c r="M1067">
        <v>0</v>
      </c>
      <c r="N1067">
        <v>2400</v>
      </c>
    </row>
    <row r="1068" spans="1:14" x14ac:dyDescent="0.25">
      <c r="A1068">
        <v>731.42582500000003</v>
      </c>
      <c r="B1068" s="1">
        <f>DATE(2012,5,1) + TIME(10,13,11)</f>
        <v>41030.425821759258</v>
      </c>
      <c r="C1068">
        <v>80</v>
      </c>
      <c r="D1068">
        <v>68.124061584000003</v>
      </c>
      <c r="E1068">
        <v>50</v>
      </c>
      <c r="F1068">
        <v>49.895034789999997</v>
      </c>
      <c r="G1068">
        <v>1397.8010254000001</v>
      </c>
      <c r="H1068">
        <v>1380.1441649999999</v>
      </c>
      <c r="I1068">
        <v>1286.8261719</v>
      </c>
      <c r="J1068">
        <v>1267.8486327999999</v>
      </c>
      <c r="K1068">
        <v>2400</v>
      </c>
      <c r="L1068">
        <v>0</v>
      </c>
      <c r="M1068">
        <v>0</v>
      </c>
      <c r="N1068">
        <v>2400</v>
      </c>
    </row>
    <row r="1069" spans="1:14" x14ac:dyDescent="0.25">
      <c r="A1069">
        <v>731.45946200000003</v>
      </c>
      <c r="B1069" s="1">
        <f>DATE(2012,5,1) + TIME(11,1,37)</f>
        <v>41030.459456018521</v>
      </c>
      <c r="C1069">
        <v>80</v>
      </c>
      <c r="D1069">
        <v>68.680397033999995</v>
      </c>
      <c r="E1069">
        <v>50</v>
      </c>
      <c r="F1069">
        <v>49.890605927000003</v>
      </c>
      <c r="G1069">
        <v>1397.5943603999999</v>
      </c>
      <c r="H1069">
        <v>1380.0612793</v>
      </c>
      <c r="I1069">
        <v>1286.8261719</v>
      </c>
      <c r="J1069">
        <v>1267.8482666</v>
      </c>
      <c r="K1069">
        <v>2400</v>
      </c>
      <c r="L1069">
        <v>0</v>
      </c>
      <c r="M1069">
        <v>0</v>
      </c>
      <c r="N1069">
        <v>2400</v>
      </c>
    </row>
    <row r="1070" spans="1:14" x14ac:dyDescent="0.25">
      <c r="A1070">
        <v>731.49404100000004</v>
      </c>
      <c r="B1070" s="1">
        <f>DATE(2012,5,1) + TIME(11,51,25)</f>
        <v>41030.494039351855</v>
      </c>
      <c r="C1070">
        <v>80</v>
      </c>
      <c r="D1070">
        <v>69.225059509000005</v>
      </c>
      <c r="E1070">
        <v>50</v>
      </c>
      <c r="F1070">
        <v>49.886096954000003</v>
      </c>
      <c r="G1070">
        <v>1397.3935547000001</v>
      </c>
      <c r="H1070">
        <v>1379.9802245999999</v>
      </c>
      <c r="I1070">
        <v>1286.8259277</v>
      </c>
      <c r="J1070">
        <v>1267.8475341999999</v>
      </c>
      <c r="K1070">
        <v>2400</v>
      </c>
      <c r="L1070">
        <v>0</v>
      </c>
      <c r="M1070">
        <v>0</v>
      </c>
      <c r="N1070">
        <v>2400</v>
      </c>
    </row>
    <row r="1071" spans="1:14" x14ac:dyDescent="0.25">
      <c r="A1071">
        <v>731.52961900000003</v>
      </c>
      <c r="B1071" s="1">
        <f>DATE(2012,5,1) + TIME(12,42,39)</f>
        <v>41030.529618055552</v>
      </c>
      <c r="C1071">
        <v>80</v>
      </c>
      <c r="D1071">
        <v>69.758041382000002</v>
      </c>
      <c r="E1071">
        <v>50</v>
      </c>
      <c r="F1071">
        <v>49.881500244000001</v>
      </c>
      <c r="G1071">
        <v>1397.1987305</v>
      </c>
      <c r="H1071">
        <v>1379.9006348</v>
      </c>
      <c r="I1071">
        <v>1286.8255615</v>
      </c>
      <c r="J1071">
        <v>1267.8466797000001</v>
      </c>
      <c r="K1071">
        <v>2400</v>
      </c>
      <c r="L1071">
        <v>0</v>
      </c>
      <c r="M1071">
        <v>0</v>
      </c>
      <c r="N1071">
        <v>2400</v>
      </c>
    </row>
    <row r="1072" spans="1:14" x14ac:dyDescent="0.25">
      <c r="A1072">
        <v>731.56626300000005</v>
      </c>
      <c r="B1072" s="1">
        <f>DATE(2012,5,1) + TIME(13,35,25)</f>
        <v>41030.566261574073</v>
      </c>
      <c r="C1072">
        <v>80</v>
      </c>
      <c r="D1072">
        <v>70.279083252000007</v>
      </c>
      <c r="E1072">
        <v>50</v>
      </c>
      <c r="F1072">
        <v>49.876811981000003</v>
      </c>
      <c r="G1072">
        <v>1397.0093993999999</v>
      </c>
      <c r="H1072">
        <v>1379.8226318</v>
      </c>
      <c r="I1072">
        <v>1286.8249512</v>
      </c>
      <c r="J1072">
        <v>1267.8458252</v>
      </c>
      <c r="K1072">
        <v>2400</v>
      </c>
      <c r="L1072">
        <v>0</v>
      </c>
      <c r="M1072">
        <v>0</v>
      </c>
      <c r="N1072">
        <v>2400</v>
      </c>
    </row>
    <row r="1073" spans="1:14" x14ac:dyDescent="0.25">
      <c r="A1073">
        <v>731.60404700000004</v>
      </c>
      <c r="B1073" s="1">
        <f>DATE(2012,5,1) + TIME(14,29,49)</f>
        <v>41030.604039351849</v>
      </c>
      <c r="C1073">
        <v>80</v>
      </c>
      <c r="D1073">
        <v>70.788208007999998</v>
      </c>
      <c r="E1073">
        <v>50</v>
      </c>
      <c r="F1073">
        <v>49.872020720999998</v>
      </c>
      <c r="G1073">
        <v>1396.8254394999999</v>
      </c>
      <c r="H1073">
        <v>1379.7459716999999</v>
      </c>
      <c r="I1073">
        <v>1286.8243408000001</v>
      </c>
      <c r="J1073">
        <v>1267.8447266000001</v>
      </c>
      <c r="K1073">
        <v>2400</v>
      </c>
      <c r="L1073">
        <v>0</v>
      </c>
      <c r="M1073">
        <v>0</v>
      </c>
      <c r="N1073">
        <v>2400</v>
      </c>
    </row>
    <row r="1074" spans="1:14" x14ac:dyDescent="0.25">
      <c r="A1074">
        <v>731.64305999999999</v>
      </c>
      <c r="B1074" s="1">
        <f>DATE(2012,5,1) + TIME(15,26,0)</f>
        <v>41030.643055555556</v>
      </c>
      <c r="C1074">
        <v>80</v>
      </c>
      <c r="D1074">
        <v>71.285667419000006</v>
      </c>
      <c r="E1074">
        <v>50</v>
      </c>
      <c r="F1074">
        <v>49.867126464999998</v>
      </c>
      <c r="G1074">
        <v>1396.6463623</v>
      </c>
      <c r="H1074">
        <v>1379.6705322</v>
      </c>
      <c r="I1074">
        <v>1286.8237305</v>
      </c>
      <c r="J1074">
        <v>1267.8436279</v>
      </c>
      <c r="K1074">
        <v>2400</v>
      </c>
      <c r="L1074">
        <v>0</v>
      </c>
      <c r="M1074">
        <v>0</v>
      </c>
      <c r="N1074">
        <v>2400</v>
      </c>
    </row>
    <row r="1075" spans="1:14" x14ac:dyDescent="0.25">
      <c r="A1075">
        <v>731.68337399999996</v>
      </c>
      <c r="B1075" s="1">
        <f>DATE(2012,5,1) + TIME(16,24,3)</f>
        <v>41030.683368055557</v>
      </c>
      <c r="C1075">
        <v>80</v>
      </c>
      <c r="D1075">
        <v>71.771217346</v>
      </c>
      <c r="E1075">
        <v>50</v>
      </c>
      <c r="F1075">
        <v>49.862113952999998</v>
      </c>
      <c r="G1075">
        <v>1396.472168</v>
      </c>
      <c r="H1075">
        <v>1379.5963135</v>
      </c>
      <c r="I1075">
        <v>1286.822876</v>
      </c>
      <c r="J1075">
        <v>1267.8424072</v>
      </c>
      <c r="K1075">
        <v>2400</v>
      </c>
      <c r="L1075">
        <v>0</v>
      </c>
      <c r="M1075">
        <v>0</v>
      </c>
      <c r="N1075">
        <v>2400</v>
      </c>
    </row>
    <row r="1076" spans="1:14" x14ac:dyDescent="0.25">
      <c r="A1076">
        <v>731.72508500000004</v>
      </c>
      <c r="B1076" s="1">
        <f>DATE(2012,5,1) + TIME(17,24,7)</f>
        <v>41030.725081018521</v>
      </c>
      <c r="C1076">
        <v>80</v>
      </c>
      <c r="D1076">
        <v>72.244758606000005</v>
      </c>
      <c r="E1076">
        <v>50</v>
      </c>
      <c r="F1076">
        <v>49.856979369999998</v>
      </c>
      <c r="G1076">
        <v>1396.3026123</v>
      </c>
      <c r="H1076">
        <v>1379.5231934000001</v>
      </c>
      <c r="I1076">
        <v>1286.8221435999999</v>
      </c>
      <c r="J1076">
        <v>1267.8411865</v>
      </c>
      <c r="K1076">
        <v>2400</v>
      </c>
      <c r="L1076">
        <v>0</v>
      </c>
      <c r="M1076">
        <v>0</v>
      </c>
      <c r="N1076">
        <v>2400</v>
      </c>
    </row>
    <row r="1077" spans="1:14" x14ac:dyDescent="0.25">
      <c r="A1077">
        <v>731.76829699999996</v>
      </c>
      <c r="B1077" s="1">
        <f>DATE(2012,5,1) + TIME(18,26,20)</f>
        <v>41030.768287037034</v>
      </c>
      <c r="C1077">
        <v>80</v>
      </c>
      <c r="D1077">
        <v>72.706222534000005</v>
      </c>
      <c r="E1077">
        <v>50</v>
      </c>
      <c r="F1077">
        <v>49.851715087999999</v>
      </c>
      <c r="G1077">
        <v>1396.1373291</v>
      </c>
      <c r="H1077">
        <v>1379.4509277</v>
      </c>
      <c r="I1077">
        <v>1286.8212891000001</v>
      </c>
      <c r="J1077">
        <v>1267.8398437999999</v>
      </c>
      <c r="K1077">
        <v>2400</v>
      </c>
      <c r="L1077">
        <v>0</v>
      </c>
      <c r="M1077">
        <v>0</v>
      </c>
      <c r="N1077">
        <v>2400</v>
      </c>
    </row>
    <row r="1078" spans="1:14" x14ac:dyDescent="0.25">
      <c r="A1078">
        <v>731.81312700000001</v>
      </c>
      <c r="B1078" s="1">
        <f>DATE(2012,5,1) + TIME(19,30,54)</f>
        <v>41030.813125000001</v>
      </c>
      <c r="C1078">
        <v>80</v>
      </c>
      <c r="D1078">
        <v>73.155487061000002</v>
      </c>
      <c r="E1078">
        <v>50</v>
      </c>
      <c r="F1078">
        <v>49.846305846999996</v>
      </c>
      <c r="G1078">
        <v>1395.9760742000001</v>
      </c>
      <c r="H1078">
        <v>1379.3792725000001</v>
      </c>
      <c r="I1078">
        <v>1286.8203125</v>
      </c>
      <c r="J1078">
        <v>1267.8383789</v>
      </c>
      <c r="K1078">
        <v>2400</v>
      </c>
      <c r="L1078">
        <v>0</v>
      </c>
      <c r="M1078">
        <v>0</v>
      </c>
      <c r="N1078">
        <v>2400</v>
      </c>
    </row>
    <row r="1079" spans="1:14" x14ac:dyDescent="0.25">
      <c r="A1079">
        <v>731.85970299999997</v>
      </c>
      <c r="B1079" s="1">
        <f>DATE(2012,5,1) + TIME(20,37,58)</f>
        <v>41030.859699074077</v>
      </c>
      <c r="C1079">
        <v>80</v>
      </c>
      <c r="D1079">
        <v>73.592453003000003</v>
      </c>
      <c r="E1079">
        <v>50</v>
      </c>
      <c r="F1079">
        <v>49.840740203999999</v>
      </c>
      <c r="G1079">
        <v>1395.8186035000001</v>
      </c>
      <c r="H1079">
        <v>1379.3083495999999</v>
      </c>
      <c r="I1079">
        <v>1286.8193358999999</v>
      </c>
      <c r="J1079">
        <v>1267.8369141000001</v>
      </c>
      <c r="K1079">
        <v>2400</v>
      </c>
      <c r="L1079">
        <v>0</v>
      </c>
      <c r="M1079">
        <v>0</v>
      </c>
      <c r="N1079">
        <v>2400</v>
      </c>
    </row>
    <row r="1080" spans="1:14" x14ac:dyDescent="0.25">
      <c r="A1080">
        <v>731.90817200000004</v>
      </c>
      <c r="B1080" s="1">
        <f>DATE(2012,5,1) + TIME(21,47,46)</f>
        <v>41030.908171296294</v>
      </c>
      <c r="C1080">
        <v>80</v>
      </c>
      <c r="D1080">
        <v>74.016983031999999</v>
      </c>
      <c r="E1080">
        <v>50</v>
      </c>
      <c r="F1080">
        <v>49.835006714000002</v>
      </c>
      <c r="G1080">
        <v>1395.6646728999999</v>
      </c>
      <c r="H1080">
        <v>1379.2379149999999</v>
      </c>
      <c r="I1080">
        <v>1286.8183594</v>
      </c>
      <c r="J1080">
        <v>1267.8354492000001</v>
      </c>
      <c r="K1080">
        <v>2400</v>
      </c>
      <c r="L1080">
        <v>0</v>
      </c>
      <c r="M1080">
        <v>0</v>
      </c>
      <c r="N1080">
        <v>2400</v>
      </c>
    </row>
    <row r="1081" spans="1:14" x14ac:dyDescent="0.25">
      <c r="A1081">
        <v>731.95869700000003</v>
      </c>
      <c r="B1081" s="1">
        <f>DATE(2012,5,1) + TIME(23,0,31)</f>
        <v>41030.958692129629</v>
      </c>
      <c r="C1081">
        <v>80</v>
      </c>
      <c r="D1081">
        <v>74.428955078000001</v>
      </c>
      <c r="E1081">
        <v>50</v>
      </c>
      <c r="F1081">
        <v>49.829093933000003</v>
      </c>
      <c r="G1081">
        <v>1395.5140381000001</v>
      </c>
      <c r="H1081">
        <v>1379.1678466999999</v>
      </c>
      <c r="I1081">
        <v>1286.8172606999999</v>
      </c>
      <c r="J1081">
        <v>1267.8337402</v>
      </c>
      <c r="K1081">
        <v>2400</v>
      </c>
      <c r="L1081">
        <v>0</v>
      </c>
      <c r="M1081">
        <v>0</v>
      </c>
      <c r="N1081">
        <v>2400</v>
      </c>
    </row>
    <row r="1082" spans="1:14" x14ac:dyDescent="0.25">
      <c r="A1082">
        <v>732.01146200000005</v>
      </c>
      <c r="B1082" s="1">
        <f>DATE(2012,5,2) + TIME(0,16,30)</f>
        <v>41031.011458333334</v>
      </c>
      <c r="C1082">
        <v>80</v>
      </c>
      <c r="D1082">
        <v>74.828216553000004</v>
      </c>
      <c r="E1082">
        <v>50</v>
      </c>
      <c r="F1082">
        <v>49.822978972999998</v>
      </c>
      <c r="G1082">
        <v>1395.3665771000001</v>
      </c>
      <c r="H1082">
        <v>1379.0979004000001</v>
      </c>
      <c r="I1082">
        <v>1286.8160399999999</v>
      </c>
      <c r="J1082">
        <v>1267.8321533000001</v>
      </c>
      <c r="K1082">
        <v>2400</v>
      </c>
      <c r="L1082">
        <v>0</v>
      </c>
      <c r="M1082">
        <v>0</v>
      </c>
      <c r="N1082">
        <v>2400</v>
      </c>
    </row>
    <row r="1083" spans="1:14" x14ac:dyDescent="0.25">
      <c r="A1083">
        <v>732.06667700000003</v>
      </c>
      <c r="B1083" s="1">
        <f>DATE(2012,5,2) + TIME(1,36,0)</f>
        <v>41031.066666666666</v>
      </c>
      <c r="C1083">
        <v>80</v>
      </c>
      <c r="D1083">
        <v>75.214447020999998</v>
      </c>
      <c r="E1083">
        <v>50</v>
      </c>
      <c r="F1083">
        <v>49.816650391000003</v>
      </c>
      <c r="G1083">
        <v>1395.2220459</v>
      </c>
      <c r="H1083">
        <v>1379.0279541</v>
      </c>
      <c r="I1083">
        <v>1286.8148193</v>
      </c>
      <c r="J1083">
        <v>1267.8303223</v>
      </c>
      <c r="K1083">
        <v>2400</v>
      </c>
      <c r="L1083">
        <v>0</v>
      </c>
      <c r="M1083">
        <v>0</v>
      </c>
      <c r="N1083">
        <v>2400</v>
      </c>
    </row>
    <row r="1084" spans="1:14" x14ac:dyDescent="0.25">
      <c r="A1084">
        <v>732.12461499999995</v>
      </c>
      <c r="B1084" s="1">
        <f>DATE(2012,5,2) + TIME(2,59,26)</f>
        <v>41031.124606481484</v>
      </c>
      <c r="C1084">
        <v>80</v>
      </c>
      <c r="D1084">
        <v>75.587699889999996</v>
      </c>
      <c r="E1084">
        <v>50</v>
      </c>
      <c r="F1084">
        <v>49.810077667000002</v>
      </c>
      <c r="G1084">
        <v>1395.0798339999999</v>
      </c>
      <c r="H1084">
        <v>1378.9577637</v>
      </c>
      <c r="I1084">
        <v>1286.8135986</v>
      </c>
      <c r="J1084">
        <v>1267.8284911999999</v>
      </c>
      <c r="K1084">
        <v>2400</v>
      </c>
      <c r="L1084">
        <v>0</v>
      </c>
      <c r="M1084">
        <v>0</v>
      </c>
      <c r="N1084">
        <v>2400</v>
      </c>
    </row>
    <row r="1085" spans="1:14" x14ac:dyDescent="0.25">
      <c r="A1085">
        <v>732.18553399999996</v>
      </c>
      <c r="B1085" s="1">
        <f>DATE(2012,5,2) + TIME(4,27,10)</f>
        <v>41031.185532407406</v>
      </c>
      <c r="C1085">
        <v>80</v>
      </c>
      <c r="D1085">
        <v>75.947761536000002</v>
      </c>
      <c r="E1085">
        <v>50</v>
      </c>
      <c r="F1085">
        <v>49.803241730000003</v>
      </c>
      <c r="G1085">
        <v>1394.9400635</v>
      </c>
      <c r="H1085">
        <v>1378.8873291</v>
      </c>
      <c r="I1085">
        <v>1286.8122559000001</v>
      </c>
      <c r="J1085">
        <v>1267.8265381000001</v>
      </c>
      <c r="K1085">
        <v>2400</v>
      </c>
      <c r="L1085">
        <v>0</v>
      </c>
      <c r="M1085">
        <v>0</v>
      </c>
      <c r="N1085">
        <v>2400</v>
      </c>
    </row>
    <row r="1086" spans="1:14" x14ac:dyDescent="0.25">
      <c r="A1086">
        <v>732.24974499999996</v>
      </c>
      <c r="B1086" s="1">
        <f>DATE(2012,5,2) + TIME(5,59,37)</f>
        <v>41031.2497337963</v>
      </c>
      <c r="C1086">
        <v>80</v>
      </c>
      <c r="D1086">
        <v>76.294380188000005</v>
      </c>
      <c r="E1086">
        <v>50</v>
      </c>
      <c r="F1086">
        <v>49.796112061000002</v>
      </c>
      <c r="G1086">
        <v>1394.8023682</v>
      </c>
      <c r="H1086">
        <v>1378.8164062000001</v>
      </c>
      <c r="I1086">
        <v>1286.8107910000001</v>
      </c>
      <c r="J1086">
        <v>1267.8244629000001</v>
      </c>
      <c r="K1086">
        <v>2400</v>
      </c>
      <c r="L1086">
        <v>0</v>
      </c>
      <c r="M1086">
        <v>0</v>
      </c>
      <c r="N1086">
        <v>2400</v>
      </c>
    </row>
    <row r="1087" spans="1:14" x14ac:dyDescent="0.25">
      <c r="A1087">
        <v>732.31762000000003</v>
      </c>
      <c r="B1087" s="1">
        <f>DATE(2012,5,2) + TIME(7,37,22)</f>
        <v>41031.317615740743</v>
      </c>
      <c r="C1087">
        <v>80</v>
      </c>
      <c r="D1087">
        <v>76.627357482999997</v>
      </c>
      <c r="E1087">
        <v>50</v>
      </c>
      <c r="F1087">
        <v>49.788661957000002</v>
      </c>
      <c r="G1087">
        <v>1394.6665039</v>
      </c>
      <c r="H1087">
        <v>1378.744751</v>
      </c>
      <c r="I1087">
        <v>1286.8092041</v>
      </c>
      <c r="J1087">
        <v>1267.8222656</v>
      </c>
      <c r="K1087">
        <v>2400</v>
      </c>
      <c r="L1087">
        <v>0</v>
      </c>
      <c r="M1087">
        <v>0</v>
      </c>
      <c r="N1087">
        <v>2400</v>
      </c>
    </row>
    <row r="1088" spans="1:14" x14ac:dyDescent="0.25">
      <c r="A1088">
        <v>732.38959899999998</v>
      </c>
      <c r="B1088" s="1">
        <f>DATE(2012,5,2) + TIME(9,21,1)</f>
        <v>41031.389594907407</v>
      </c>
      <c r="C1088">
        <v>80</v>
      </c>
      <c r="D1088">
        <v>76.946449279999996</v>
      </c>
      <c r="E1088">
        <v>50</v>
      </c>
      <c r="F1088">
        <v>49.780849457000002</v>
      </c>
      <c r="G1088">
        <v>1394.5321045000001</v>
      </c>
      <c r="H1088">
        <v>1378.6722411999999</v>
      </c>
      <c r="I1088">
        <v>1286.8076172000001</v>
      </c>
      <c r="J1088">
        <v>1267.8200684000001</v>
      </c>
      <c r="K1088">
        <v>2400</v>
      </c>
      <c r="L1088">
        <v>0</v>
      </c>
      <c r="M1088">
        <v>0</v>
      </c>
      <c r="N1088">
        <v>2400</v>
      </c>
    </row>
    <row r="1089" spans="1:14" x14ac:dyDescent="0.25">
      <c r="A1089">
        <v>732.46618999999998</v>
      </c>
      <c r="B1089" s="1">
        <f>DATE(2012,5,2) + TIME(11,11,18)</f>
        <v>41031.466180555559</v>
      </c>
      <c r="C1089">
        <v>80</v>
      </c>
      <c r="D1089">
        <v>77.251388550000001</v>
      </c>
      <c r="E1089">
        <v>50</v>
      </c>
      <c r="F1089">
        <v>49.772632598999998</v>
      </c>
      <c r="G1089">
        <v>1394.3989257999999</v>
      </c>
      <c r="H1089">
        <v>1378.5985106999999</v>
      </c>
      <c r="I1089">
        <v>1286.8059082</v>
      </c>
      <c r="J1089">
        <v>1267.8176269999999</v>
      </c>
      <c r="K1089">
        <v>2400</v>
      </c>
      <c r="L1089">
        <v>0</v>
      </c>
      <c r="M1089">
        <v>0</v>
      </c>
      <c r="N1089">
        <v>2400</v>
      </c>
    </row>
    <row r="1090" spans="1:14" x14ac:dyDescent="0.25">
      <c r="A1090">
        <v>732.54801299999997</v>
      </c>
      <c r="B1090" s="1">
        <f>DATE(2012,5,2) + TIME(13,9,8)</f>
        <v>41031.548009259262</v>
      </c>
      <c r="C1090">
        <v>80</v>
      </c>
      <c r="D1090">
        <v>77.541915893999999</v>
      </c>
      <c r="E1090">
        <v>50</v>
      </c>
      <c r="F1090">
        <v>49.763961792000003</v>
      </c>
      <c r="G1090">
        <v>1394.2667236</v>
      </c>
      <c r="H1090">
        <v>1378.5235596</v>
      </c>
      <c r="I1090">
        <v>1286.8040771000001</v>
      </c>
      <c r="J1090">
        <v>1267.8150635</v>
      </c>
      <c r="K1090">
        <v>2400</v>
      </c>
      <c r="L1090">
        <v>0</v>
      </c>
      <c r="M1090">
        <v>0</v>
      </c>
      <c r="N1090">
        <v>2400</v>
      </c>
    </row>
    <row r="1091" spans="1:14" x14ac:dyDescent="0.25">
      <c r="A1091">
        <v>732.63582599999995</v>
      </c>
      <c r="B1091" s="1">
        <f>DATE(2012,5,2) + TIME(15,15,35)</f>
        <v>41031.635821759257</v>
      </c>
      <c r="C1091">
        <v>80</v>
      </c>
      <c r="D1091">
        <v>77.817794800000001</v>
      </c>
      <c r="E1091">
        <v>50</v>
      </c>
      <c r="F1091">
        <v>49.754768372000001</v>
      </c>
      <c r="G1091">
        <v>1394.1350098</v>
      </c>
      <c r="H1091">
        <v>1378.4467772999999</v>
      </c>
      <c r="I1091">
        <v>1286.802124</v>
      </c>
      <c r="J1091">
        <v>1267.8123779</v>
      </c>
      <c r="K1091">
        <v>2400</v>
      </c>
      <c r="L1091">
        <v>0</v>
      </c>
      <c r="M1091">
        <v>0</v>
      </c>
      <c r="N1091">
        <v>2400</v>
      </c>
    </row>
    <row r="1092" spans="1:14" x14ac:dyDescent="0.25">
      <c r="A1092">
        <v>732.73054999999999</v>
      </c>
      <c r="B1092" s="1">
        <f>DATE(2012,5,2) + TIME(17,31,59)</f>
        <v>41031.730543981481</v>
      </c>
      <c r="C1092">
        <v>80</v>
      </c>
      <c r="D1092">
        <v>78.078712463000002</v>
      </c>
      <c r="E1092">
        <v>50</v>
      </c>
      <c r="F1092">
        <v>49.744979858000001</v>
      </c>
      <c r="G1092">
        <v>1394.003418</v>
      </c>
      <c r="H1092">
        <v>1378.3679199000001</v>
      </c>
      <c r="I1092">
        <v>1286.7999268000001</v>
      </c>
      <c r="J1092">
        <v>1267.8094481999999</v>
      </c>
      <c r="K1092">
        <v>2400</v>
      </c>
      <c r="L1092">
        <v>0</v>
      </c>
      <c r="M1092">
        <v>0</v>
      </c>
      <c r="N1092">
        <v>2400</v>
      </c>
    </row>
    <row r="1093" spans="1:14" x14ac:dyDescent="0.25">
      <c r="A1093">
        <v>732.83332600000006</v>
      </c>
      <c r="B1093" s="1">
        <f>DATE(2012,5,2) + TIME(19,59,59)</f>
        <v>41031.833321759259</v>
      </c>
      <c r="C1093">
        <v>80</v>
      </c>
      <c r="D1093">
        <v>78.324363708000007</v>
      </c>
      <c r="E1093">
        <v>50</v>
      </c>
      <c r="F1093">
        <v>49.734504700000002</v>
      </c>
      <c r="G1093">
        <v>1393.8714600000001</v>
      </c>
      <c r="H1093">
        <v>1378.2867432</v>
      </c>
      <c r="I1093">
        <v>1286.7977295000001</v>
      </c>
      <c r="J1093">
        <v>1267.8062743999999</v>
      </c>
      <c r="K1093">
        <v>2400</v>
      </c>
      <c r="L1093">
        <v>0</v>
      </c>
      <c r="M1093">
        <v>0</v>
      </c>
      <c r="N1093">
        <v>2400</v>
      </c>
    </row>
    <row r="1094" spans="1:14" x14ac:dyDescent="0.25">
      <c r="A1094">
        <v>732.94034899999997</v>
      </c>
      <c r="B1094" s="1">
        <f>DATE(2012,5,2) + TIME(22,34,6)</f>
        <v>41031.940347222226</v>
      </c>
      <c r="C1094">
        <v>80</v>
      </c>
      <c r="D1094">
        <v>78.545127868999998</v>
      </c>
      <c r="E1094">
        <v>50</v>
      </c>
      <c r="F1094">
        <v>49.723686217999997</v>
      </c>
      <c r="G1094">
        <v>1393.7431641000001</v>
      </c>
      <c r="H1094">
        <v>1378.2049560999999</v>
      </c>
      <c r="I1094">
        <v>1286.7951660000001</v>
      </c>
      <c r="J1094">
        <v>1267.8028564000001</v>
      </c>
      <c r="K1094">
        <v>2400</v>
      </c>
      <c r="L1094">
        <v>0</v>
      </c>
      <c r="M1094">
        <v>0</v>
      </c>
      <c r="N1094">
        <v>2400</v>
      </c>
    </row>
    <row r="1095" spans="1:14" x14ac:dyDescent="0.25">
      <c r="A1095">
        <v>733.04792399999997</v>
      </c>
      <c r="B1095" s="1">
        <f>DATE(2012,5,3) + TIME(1,9,0)</f>
        <v>41032.04791666667</v>
      </c>
      <c r="C1095">
        <v>80</v>
      </c>
      <c r="D1095">
        <v>78.736503600999995</v>
      </c>
      <c r="E1095">
        <v>50</v>
      </c>
      <c r="F1095">
        <v>49.712863921999997</v>
      </c>
      <c r="G1095">
        <v>1393.6220702999999</v>
      </c>
      <c r="H1095">
        <v>1378.125</v>
      </c>
      <c r="I1095">
        <v>1286.7924805</v>
      </c>
      <c r="J1095">
        <v>1267.7994385</v>
      </c>
      <c r="K1095">
        <v>2400</v>
      </c>
      <c r="L1095">
        <v>0</v>
      </c>
      <c r="M1095">
        <v>0</v>
      </c>
      <c r="N1095">
        <v>2400</v>
      </c>
    </row>
    <row r="1096" spans="1:14" x14ac:dyDescent="0.25">
      <c r="A1096">
        <v>733.15647200000001</v>
      </c>
      <c r="B1096" s="1">
        <f>DATE(2012,5,3) + TIME(3,45,19)</f>
        <v>41032.156469907408</v>
      </c>
      <c r="C1096">
        <v>80</v>
      </c>
      <c r="D1096">
        <v>78.902862549000005</v>
      </c>
      <c r="E1096">
        <v>50</v>
      </c>
      <c r="F1096">
        <v>49.701995850000003</v>
      </c>
      <c r="G1096">
        <v>1393.5075684000001</v>
      </c>
      <c r="H1096">
        <v>1378.0477295000001</v>
      </c>
      <c r="I1096">
        <v>1286.7896728999999</v>
      </c>
      <c r="J1096">
        <v>1267.7958983999999</v>
      </c>
      <c r="K1096">
        <v>2400</v>
      </c>
      <c r="L1096">
        <v>0</v>
      </c>
      <c r="M1096">
        <v>0</v>
      </c>
      <c r="N1096">
        <v>2400</v>
      </c>
    </row>
    <row r="1097" spans="1:14" x14ac:dyDescent="0.25">
      <c r="A1097">
        <v>733.265896</v>
      </c>
      <c r="B1097" s="1">
        <f>DATE(2012,5,3) + TIME(6,22,53)</f>
        <v>41032.2658912037</v>
      </c>
      <c r="C1097">
        <v>80</v>
      </c>
      <c r="D1097">
        <v>79.047164917000003</v>
      </c>
      <c r="E1097">
        <v>50</v>
      </c>
      <c r="F1097">
        <v>49.69108963</v>
      </c>
      <c r="G1097">
        <v>1393.3990478999999</v>
      </c>
      <c r="H1097">
        <v>1377.9727783000001</v>
      </c>
      <c r="I1097">
        <v>1286.7869873</v>
      </c>
      <c r="J1097">
        <v>1267.7923584</v>
      </c>
      <c r="K1097">
        <v>2400</v>
      </c>
      <c r="L1097">
        <v>0</v>
      </c>
      <c r="M1097">
        <v>0</v>
      </c>
      <c r="N1097">
        <v>2400</v>
      </c>
    </row>
    <row r="1098" spans="1:14" x14ac:dyDescent="0.25">
      <c r="A1098">
        <v>733.37646400000006</v>
      </c>
      <c r="B1098" s="1">
        <f>DATE(2012,5,3) + TIME(9,2,6)</f>
        <v>41032.376458333332</v>
      </c>
      <c r="C1098">
        <v>80</v>
      </c>
      <c r="D1098">
        <v>79.172477721999996</v>
      </c>
      <c r="E1098">
        <v>50</v>
      </c>
      <c r="F1098">
        <v>49.680122375000003</v>
      </c>
      <c r="G1098">
        <v>1393.2956543</v>
      </c>
      <c r="H1098">
        <v>1377.9000243999999</v>
      </c>
      <c r="I1098">
        <v>1286.7841797000001</v>
      </c>
      <c r="J1098">
        <v>1267.7886963000001</v>
      </c>
      <c r="K1098">
        <v>2400</v>
      </c>
      <c r="L1098">
        <v>0</v>
      </c>
      <c r="M1098">
        <v>0</v>
      </c>
      <c r="N1098">
        <v>2400</v>
      </c>
    </row>
    <row r="1099" spans="1:14" x14ac:dyDescent="0.25">
      <c r="A1099">
        <v>733.48842200000001</v>
      </c>
      <c r="B1099" s="1">
        <f>DATE(2012,5,3) + TIME(11,43,19)</f>
        <v>41032.48841435185</v>
      </c>
      <c r="C1099">
        <v>80</v>
      </c>
      <c r="D1099">
        <v>79.281341553000004</v>
      </c>
      <c r="E1099">
        <v>50</v>
      </c>
      <c r="F1099">
        <v>49.669067382999998</v>
      </c>
      <c r="G1099">
        <v>1393.1968993999999</v>
      </c>
      <c r="H1099">
        <v>1377.8291016000001</v>
      </c>
      <c r="I1099">
        <v>1286.7813721</v>
      </c>
      <c r="J1099">
        <v>1267.7851562000001</v>
      </c>
      <c r="K1099">
        <v>2400</v>
      </c>
      <c r="L1099">
        <v>0</v>
      </c>
      <c r="M1099">
        <v>0</v>
      </c>
      <c r="N1099">
        <v>2400</v>
      </c>
    </row>
    <row r="1100" spans="1:14" x14ac:dyDescent="0.25">
      <c r="A1100">
        <v>733.60201700000005</v>
      </c>
      <c r="B1100" s="1">
        <f>DATE(2012,5,3) + TIME(14,26,54)</f>
        <v>41032.602013888885</v>
      </c>
      <c r="C1100">
        <v>80</v>
      </c>
      <c r="D1100">
        <v>79.375930785999998</v>
      </c>
      <c r="E1100">
        <v>50</v>
      </c>
      <c r="F1100">
        <v>49.657913207999997</v>
      </c>
      <c r="G1100">
        <v>1393.1019286999999</v>
      </c>
      <c r="H1100">
        <v>1377.7598877</v>
      </c>
      <c r="I1100">
        <v>1286.7785644999999</v>
      </c>
      <c r="J1100">
        <v>1267.7814940999999</v>
      </c>
      <c r="K1100">
        <v>2400</v>
      </c>
      <c r="L1100">
        <v>0</v>
      </c>
      <c r="M1100">
        <v>0</v>
      </c>
      <c r="N1100">
        <v>2400</v>
      </c>
    </row>
    <row r="1101" spans="1:14" x14ac:dyDescent="0.25">
      <c r="A1101">
        <v>733.71749699999998</v>
      </c>
      <c r="B1101" s="1">
        <f>DATE(2012,5,3) + TIME(17,13,11)</f>
        <v>41032.717488425929</v>
      </c>
      <c r="C1101">
        <v>80</v>
      </c>
      <c r="D1101">
        <v>79.458091736</v>
      </c>
      <c r="E1101">
        <v>50</v>
      </c>
      <c r="F1101">
        <v>49.646625518999997</v>
      </c>
      <c r="G1101">
        <v>1393.010376</v>
      </c>
      <c r="H1101">
        <v>1377.6920166</v>
      </c>
      <c r="I1101">
        <v>1286.7756348</v>
      </c>
      <c r="J1101">
        <v>1267.7777100000001</v>
      </c>
      <c r="K1101">
        <v>2400</v>
      </c>
      <c r="L1101">
        <v>0</v>
      </c>
      <c r="M1101">
        <v>0</v>
      </c>
      <c r="N1101">
        <v>2400</v>
      </c>
    </row>
    <row r="1102" spans="1:14" x14ac:dyDescent="0.25">
      <c r="A1102">
        <v>733.83515999999997</v>
      </c>
      <c r="B1102" s="1">
        <f>DATE(2012,5,3) + TIME(20,2,37)</f>
        <v>41032.835150462961</v>
      </c>
      <c r="C1102">
        <v>80</v>
      </c>
      <c r="D1102">
        <v>79.529441833000007</v>
      </c>
      <c r="E1102">
        <v>50</v>
      </c>
      <c r="F1102">
        <v>49.635189056000002</v>
      </c>
      <c r="G1102">
        <v>1392.9217529</v>
      </c>
      <c r="H1102">
        <v>1377.6253661999999</v>
      </c>
      <c r="I1102">
        <v>1286.7727050999999</v>
      </c>
      <c r="J1102">
        <v>1267.7739257999999</v>
      </c>
      <c r="K1102">
        <v>2400</v>
      </c>
      <c r="L1102">
        <v>0</v>
      </c>
      <c r="M1102">
        <v>0</v>
      </c>
      <c r="N1102">
        <v>2400</v>
      </c>
    </row>
    <row r="1103" spans="1:14" x14ac:dyDescent="0.25">
      <c r="A1103">
        <v>733.95523800000001</v>
      </c>
      <c r="B1103" s="1">
        <f>DATE(2012,5,3) + TIME(22,55,32)</f>
        <v>41032.955231481479</v>
      </c>
      <c r="C1103">
        <v>80</v>
      </c>
      <c r="D1103">
        <v>79.591323853000006</v>
      </c>
      <c r="E1103">
        <v>50</v>
      </c>
      <c r="F1103">
        <v>49.623577118</v>
      </c>
      <c r="G1103">
        <v>1392.8356934000001</v>
      </c>
      <c r="H1103">
        <v>1377.5598144999999</v>
      </c>
      <c r="I1103">
        <v>1286.7696533000001</v>
      </c>
      <c r="J1103">
        <v>1267.7700195</v>
      </c>
      <c r="K1103">
        <v>2400</v>
      </c>
      <c r="L1103">
        <v>0</v>
      </c>
      <c r="M1103">
        <v>0</v>
      </c>
      <c r="N1103">
        <v>2400</v>
      </c>
    </row>
    <row r="1104" spans="1:14" x14ac:dyDescent="0.25">
      <c r="A1104">
        <v>734.07800399999996</v>
      </c>
      <c r="B1104" s="1">
        <f>DATE(2012,5,4) + TIME(1,52,19)</f>
        <v>41033.077997685185</v>
      </c>
      <c r="C1104">
        <v>80</v>
      </c>
      <c r="D1104">
        <v>79.644943237000007</v>
      </c>
      <c r="E1104">
        <v>50</v>
      </c>
      <c r="F1104">
        <v>49.611770630000002</v>
      </c>
      <c r="G1104">
        <v>1392.7518310999999</v>
      </c>
      <c r="H1104">
        <v>1377.4951172000001</v>
      </c>
      <c r="I1104">
        <v>1286.7666016000001</v>
      </c>
      <c r="J1104">
        <v>1267.7661132999999</v>
      </c>
      <c r="K1104">
        <v>2400</v>
      </c>
      <c r="L1104">
        <v>0</v>
      </c>
      <c r="M1104">
        <v>0</v>
      </c>
      <c r="N1104">
        <v>2400</v>
      </c>
    </row>
    <row r="1105" spans="1:14" x14ac:dyDescent="0.25">
      <c r="A1105">
        <v>734.203754</v>
      </c>
      <c r="B1105" s="1">
        <f>DATE(2012,5,4) + TIME(4,53,24)</f>
        <v>41033.203750000001</v>
      </c>
      <c r="C1105">
        <v>80</v>
      </c>
      <c r="D1105">
        <v>79.691314696999996</v>
      </c>
      <c r="E1105">
        <v>50</v>
      </c>
      <c r="F1105">
        <v>49.599742888999998</v>
      </c>
      <c r="G1105">
        <v>1392.6697998</v>
      </c>
      <c r="H1105">
        <v>1377.4311522999999</v>
      </c>
      <c r="I1105">
        <v>1286.7634277</v>
      </c>
      <c r="J1105">
        <v>1267.7620850000001</v>
      </c>
      <c r="K1105">
        <v>2400</v>
      </c>
      <c r="L1105">
        <v>0</v>
      </c>
      <c r="M1105">
        <v>0</v>
      </c>
      <c r="N1105">
        <v>2400</v>
      </c>
    </row>
    <row r="1106" spans="1:14" x14ac:dyDescent="0.25">
      <c r="A1106">
        <v>734.332809</v>
      </c>
      <c r="B1106" s="1">
        <f>DATE(2012,5,4) + TIME(7,59,14)</f>
        <v>41033.332800925928</v>
      </c>
      <c r="C1106">
        <v>80</v>
      </c>
      <c r="D1106">
        <v>79.731361389</v>
      </c>
      <c r="E1106">
        <v>50</v>
      </c>
      <c r="F1106">
        <v>49.587467193999998</v>
      </c>
      <c r="G1106">
        <v>1392.5892334</v>
      </c>
      <c r="H1106">
        <v>1377.3677978999999</v>
      </c>
      <c r="I1106">
        <v>1286.7601318</v>
      </c>
      <c r="J1106">
        <v>1267.7579346</v>
      </c>
      <c r="K1106">
        <v>2400</v>
      </c>
      <c r="L1106">
        <v>0</v>
      </c>
      <c r="M1106">
        <v>0</v>
      </c>
      <c r="N1106">
        <v>2400</v>
      </c>
    </row>
    <row r="1107" spans="1:14" x14ac:dyDescent="0.25">
      <c r="A1107">
        <v>734.46551499999998</v>
      </c>
      <c r="B1107" s="1">
        <f>DATE(2012,5,4) + TIME(11,10,20)</f>
        <v>41033.465509259258</v>
      </c>
      <c r="C1107">
        <v>80</v>
      </c>
      <c r="D1107">
        <v>79.765861510999997</v>
      </c>
      <c r="E1107">
        <v>50</v>
      </c>
      <c r="F1107">
        <v>49.57491684</v>
      </c>
      <c r="G1107">
        <v>1392.5101318</v>
      </c>
      <c r="H1107">
        <v>1377.3049315999999</v>
      </c>
      <c r="I1107">
        <v>1286.7568358999999</v>
      </c>
      <c r="J1107">
        <v>1267.7536620999999</v>
      </c>
      <c r="K1107">
        <v>2400</v>
      </c>
      <c r="L1107">
        <v>0</v>
      </c>
      <c r="M1107">
        <v>0</v>
      </c>
      <c r="N1107">
        <v>2400</v>
      </c>
    </row>
    <row r="1108" spans="1:14" x14ac:dyDescent="0.25">
      <c r="A1108">
        <v>734.60225000000003</v>
      </c>
      <c r="B1108" s="1">
        <f>DATE(2012,5,4) + TIME(14,27,14)</f>
        <v>41033.60224537037</v>
      </c>
      <c r="C1108">
        <v>80</v>
      </c>
      <c r="D1108">
        <v>79.795524596999996</v>
      </c>
      <c r="E1108">
        <v>50</v>
      </c>
      <c r="F1108">
        <v>49.562057494999998</v>
      </c>
      <c r="G1108">
        <v>1392.4318848</v>
      </c>
      <c r="H1108">
        <v>1377.2424315999999</v>
      </c>
      <c r="I1108">
        <v>1286.753418</v>
      </c>
      <c r="J1108">
        <v>1267.7492675999999</v>
      </c>
      <c r="K1108">
        <v>2400</v>
      </c>
      <c r="L1108">
        <v>0</v>
      </c>
      <c r="M1108">
        <v>0</v>
      </c>
      <c r="N1108">
        <v>2400</v>
      </c>
    </row>
    <row r="1109" spans="1:14" x14ac:dyDescent="0.25">
      <c r="A1109">
        <v>734.74343399999998</v>
      </c>
      <c r="B1109" s="1">
        <f>DATE(2012,5,4) + TIME(17,50,32)</f>
        <v>41033.743425925924</v>
      </c>
      <c r="C1109">
        <v>80</v>
      </c>
      <c r="D1109">
        <v>79.820953368999994</v>
      </c>
      <c r="E1109">
        <v>50</v>
      </c>
      <c r="F1109">
        <v>49.548858643000003</v>
      </c>
      <c r="G1109">
        <v>1392.3544922000001</v>
      </c>
      <c r="H1109">
        <v>1377.1800536999999</v>
      </c>
      <c r="I1109">
        <v>1286.7498779</v>
      </c>
      <c r="J1109">
        <v>1267.744751</v>
      </c>
      <c r="K1109">
        <v>2400</v>
      </c>
      <c r="L1109">
        <v>0</v>
      </c>
      <c r="M1109">
        <v>0</v>
      </c>
      <c r="N1109">
        <v>2400</v>
      </c>
    </row>
    <row r="1110" spans="1:14" x14ac:dyDescent="0.25">
      <c r="A1110">
        <v>734.88952900000004</v>
      </c>
      <c r="B1110" s="1">
        <f>DATE(2012,5,4) + TIME(21,20,55)</f>
        <v>41033.889525462961</v>
      </c>
      <c r="C1110">
        <v>80</v>
      </c>
      <c r="D1110">
        <v>79.842681885000005</v>
      </c>
      <c r="E1110">
        <v>50</v>
      </c>
      <c r="F1110">
        <v>49.535285950000002</v>
      </c>
      <c r="G1110">
        <v>1392.2777100000001</v>
      </c>
      <c r="H1110">
        <v>1377.1176757999999</v>
      </c>
      <c r="I1110">
        <v>1286.7462158000001</v>
      </c>
      <c r="J1110">
        <v>1267.7401123</v>
      </c>
      <c r="K1110">
        <v>2400</v>
      </c>
      <c r="L1110">
        <v>0</v>
      </c>
      <c r="M1110">
        <v>0</v>
      </c>
      <c r="N1110">
        <v>2400</v>
      </c>
    </row>
    <row r="1111" spans="1:14" x14ac:dyDescent="0.25">
      <c r="A1111">
        <v>735.04105700000002</v>
      </c>
      <c r="B1111" s="1">
        <f>DATE(2012,5,5) + TIME(0,59,7)</f>
        <v>41034.04105324074</v>
      </c>
      <c r="C1111">
        <v>80</v>
      </c>
      <c r="D1111">
        <v>79.861198424999998</v>
      </c>
      <c r="E1111">
        <v>50</v>
      </c>
      <c r="F1111">
        <v>49.521289824999997</v>
      </c>
      <c r="G1111">
        <v>1392.2011719</v>
      </c>
      <c r="H1111">
        <v>1377.0552978999999</v>
      </c>
      <c r="I1111">
        <v>1286.7424315999999</v>
      </c>
      <c r="J1111">
        <v>1267.7352295000001</v>
      </c>
      <c r="K1111">
        <v>2400</v>
      </c>
      <c r="L1111">
        <v>0</v>
      </c>
      <c r="M1111">
        <v>0</v>
      </c>
      <c r="N1111">
        <v>2400</v>
      </c>
    </row>
    <row r="1112" spans="1:14" x14ac:dyDescent="0.25">
      <c r="A1112">
        <v>735.19866300000001</v>
      </c>
      <c r="B1112" s="1">
        <f>DATE(2012,5,5) + TIME(4,46,4)</f>
        <v>41034.198657407411</v>
      </c>
      <c r="C1112">
        <v>80</v>
      </c>
      <c r="D1112">
        <v>79.876907349000007</v>
      </c>
      <c r="E1112">
        <v>50</v>
      </c>
      <c r="F1112">
        <v>49.506828308000003</v>
      </c>
      <c r="G1112">
        <v>1392.1247559000001</v>
      </c>
      <c r="H1112">
        <v>1376.9926757999999</v>
      </c>
      <c r="I1112">
        <v>1286.7384033000001</v>
      </c>
      <c r="J1112">
        <v>1267.7302245999999</v>
      </c>
      <c r="K1112">
        <v>2400</v>
      </c>
      <c r="L1112">
        <v>0</v>
      </c>
      <c r="M1112">
        <v>0</v>
      </c>
      <c r="N1112">
        <v>2400</v>
      </c>
    </row>
    <row r="1113" spans="1:14" x14ac:dyDescent="0.25">
      <c r="A1113">
        <v>735.36301100000003</v>
      </c>
      <c r="B1113" s="1">
        <f>DATE(2012,5,5) + TIME(8,42,44)</f>
        <v>41034.363009259258</v>
      </c>
      <c r="C1113">
        <v>80</v>
      </c>
      <c r="D1113">
        <v>79.890197753999999</v>
      </c>
      <c r="E1113">
        <v>50</v>
      </c>
      <c r="F1113">
        <v>49.491847991999997</v>
      </c>
      <c r="G1113">
        <v>1392.0482178</v>
      </c>
      <c r="H1113">
        <v>1376.9296875</v>
      </c>
      <c r="I1113">
        <v>1286.734375</v>
      </c>
      <c r="J1113">
        <v>1267.7249756000001</v>
      </c>
      <c r="K1113">
        <v>2400</v>
      </c>
      <c r="L1113">
        <v>0</v>
      </c>
      <c r="M1113">
        <v>0</v>
      </c>
      <c r="N1113">
        <v>2400</v>
      </c>
    </row>
    <row r="1114" spans="1:14" x14ac:dyDescent="0.25">
      <c r="A1114">
        <v>735.53482099999997</v>
      </c>
      <c r="B1114" s="1">
        <f>DATE(2012,5,5) + TIME(12,50,8)</f>
        <v>41034.534814814811</v>
      </c>
      <c r="C1114">
        <v>80</v>
      </c>
      <c r="D1114">
        <v>79.901374817000004</v>
      </c>
      <c r="E1114">
        <v>50</v>
      </c>
      <c r="F1114">
        <v>49.476287841999998</v>
      </c>
      <c r="G1114">
        <v>1391.9711914</v>
      </c>
      <c r="H1114">
        <v>1376.8660889</v>
      </c>
      <c r="I1114">
        <v>1286.7299805</v>
      </c>
      <c r="J1114">
        <v>1267.7194824000001</v>
      </c>
      <c r="K1114">
        <v>2400</v>
      </c>
      <c r="L1114">
        <v>0</v>
      </c>
      <c r="M1114">
        <v>0</v>
      </c>
      <c r="N1114">
        <v>2400</v>
      </c>
    </row>
    <row r="1115" spans="1:14" x14ac:dyDescent="0.25">
      <c r="A1115">
        <v>735.71353999999997</v>
      </c>
      <c r="B1115" s="1">
        <f>DATE(2012,5,5) + TIME(17,7,29)</f>
        <v>41034.713530092595</v>
      </c>
      <c r="C1115">
        <v>80</v>
      </c>
      <c r="D1115">
        <v>79.910667419000006</v>
      </c>
      <c r="E1115">
        <v>50</v>
      </c>
      <c r="F1115">
        <v>49.460197448999999</v>
      </c>
      <c r="G1115">
        <v>1391.8935547000001</v>
      </c>
      <c r="H1115">
        <v>1376.8018798999999</v>
      </c>
      <c r="I1115">
        <v>1286.7254639</v>
      </c>
      <c r="J1115">
        <v>1267.7138672000001</v>
      </c>
      <c r="K1115">
        <v>2400</v>
      </c>
      <c r="L1115">
        <v>0</v>
      </c>
      <c r="M1115">
        <v>0</v>
      </c>
      <c r="N1115">
        <v>2400</v>
      </c>
    </row>
    <row r="1116" spans="1:14" x14ac:dyDescent="0.25">
      <c r="A1116">
        <v>735.89910099999997</v>
      </c>
      <c r="B1116" s="1">
        <f>DATE(2012,5,5) + TIME(21,34,42)</f>
        <v>41034.899097222224</v>
      </c>
      <c r="C1116">
        <v>80</v>
      </c>
      <c r="D1116">
        <v>79.918342589999995</v>
      </c>
      <c r="E1116">
        <v>50</v>
      </c>
      <c r="F1116">
        <v>49.443576813</v>
      </c>
      <c r="G1116">
        <v>1391.8156738</v>
      </c>
      <c r="H1116">
        <v>1376.7371826000001</v>
      </c>
      <c r="I1116">
        <v>1286.7208252</v>
      </c>
      <c r="J1116">
        <v>1267.7078856999999</v>
      </c>
      <c r="K1116">
        <v>2400</v>
      </c>
      <c r="L1116">
        <v>0</v>
      </c>
      <c r="M1116">
        <v>0</v>
      </c>
      <c r="N1116">
        <v>2400</v>
      </c>
    </row>
    <row r="1117" spans="1:14" x14ac:dyDescent="0.25">
      <c r="A1117">
        <v>736.09232999999995</v>
      </c>
      <c r="B1117" s="1">
        <f>DATE(2012,5,6) + TIME(2,12,57)</f>
        <v>41035.092326388891</v>
      </c>
      <c r="C1117">
        <v>80</v>
      </c>
      <c r="D1117">
        <v>79.924659728999998</v>
      </c>
      <c r="E1117">
        <v>50</v>
      </c>
      <c r="F1117">
        <v>49.426364898999999</v>
      </c>
      <c r="G1117">
        <v>1391.7375488</v>
      </c>
      <c r="H1117">
        <v>1376.6722411999999</v>
      </c>
      <c r="I1117">
        <v>1286.7159423999999</v>
      </c>
      <c r="J1117">
        <v>1267.7017822</v>
      </c>
      <c r="K1117">
        <v>2400</v>
      </c>
      <c r="L1117">
        <v>0</v>
      </c>
      <c r="M1117">
        <v>0</v>
      </c>
      <c r="N1117">
        <v>2400</v>
      </c>
    </row>
    <row r="1118" spans="1:14" x14ac:dyDescent="0.25">
      <c r="A1118">
        <v>736.29402700000003</v>
      </c>
      <c r="B1118" s="1">
        <f>DATE(2012,5,6) + TIME(7,3,23)</f>
        <v>41035.294016203705</v>
      </c>
      <c r="C1118">
        <v>80</v>
      </c>
      <c r="D1118">
        <v>79.929832458000007</v>
      </c>
      <c r="E1118">
        <v>50</v>
      </c>
      <c r="F1118">
        <v>49.408504485999998</v>
      </c>
      <c r="G1118">
        <v>1391.6590576000001</v>
      </c>
      <c r="H1118">
        <v>1376.6069336</v>
      </c>
      <c r="I1118">
        <v>1286.7108154</v>
      </c>
      <c r="J1118">
        <v>1267.6953125</v>
      </c>
      <c r="K1118">
        <v>2400</v>
      </c>
      <c r="L1118">
        <v>0</v>
      </c>
      <c r="M1118">
        <v>0</v>
      </c>
      <c r="N1118">
        <v>2400</v>
      </c>
    </row>
    <row r="1119" spans="1:14" x14ac:dyDescent="0.25">
      <c r="A1119">
        <v>736.50507900000002</v>
      </c>
      <c r="B1119" s="1">
        <f>DATE(2012,5,6) + TIME(12,7,18)</f>
        <v>41035.505069444444</v>
      </c>
      <c r="C1119">
        <v>80</v>
      </c>
      <c r="D1119">
        <v>79.934051514000004</v>
      </c>
      <c r="E1119">
        <v>50</v>
      </c>
      <c r="F1119">
        <v>49.389930724999999</v>
      </c>
      <c r="G1119">
        <v>1391.5797118999999</v>
      </c>
      <c r="H1119">
        <v>1376.5408935999999</v>
      </c>
      <c r="I1119">
        <v>1286.7054443</v>
      </c>
      <c r="J1119">
        <v>1267.6885986</v>
      </c>
      <c r="K1119">
        <v>2400</v>
      </c>
      <c r="L1119">
        <v>0</v>
      </c>
      <c r="M1119">
        <v>0</v>
      </c>
      <c r="N1119">
        <v>2400</v>
      </c>
    </row>
    <row r="1120" spans="1:14" x14ac:dyDescent="0.25">
      <c r="A1120">
        <v>736.72546699999998</v>
      </c>
      <c r="B1120" s="1">
        <f>DATE(2012,5,6) + TIME(17,24,40)</f>
        <v>41035.725462962961</v>
      </c>
      <c r="C1120">
        <v>80</v>
      </c>
      <c r="D1120">
        <v>79.937461853000002</v>
      </c>
      <c r="E1120">
        <v>50</v>
      </c>
      <c r="F1120">
        <v>49.370643616000002</v>
      </c>
      <c r="G1120">
        <v>1391.4995117000001</v>
      </c>
      <c r="H1120">
        <v>1376.473999</v>
      </c>
      <c r="I1120">
        <v>1286.6998291</v>
      </c>
      <c r="J1120">
        <v>1267.6816406</v>
      </c>
      <c r="K1120">
        <v>2400</v>
      </c>
      <c r="L1120">
        <v>0</v>
      </c>
      <c r="M1120">
        <v>0</v>
      </c>
      <c r="N1120">
        <v>2400</v>
      </c>
    </row>
    <row r="1121" spans="1:14" x14ac:dyDescent="0.25">
      <c r="A1121">
        <v>736.94726300000002</v>
      </c>
      <c r="B1121" s="1">
        <f>DATE(2012,5,6) + TIME(22,44,3)</f>
        <v>41035.947256944448</v>
      </c>
      <c r="C1121">
        <v>80</v>
      </c>
      <c r="D1121">
        <v>79.940124511999997</v>
      </c>
      <c r="E1121">
        <v>50</v>
      </c>
      <c r="F1121">
        <v>49.351192474000001</v>
      </c>
      <c r="G1121">
        <v>1391.4187012</v>
      </c>
      <c r="H1121">
        <v>1376.4066161999999</v>
      </c>
      <c r="I1121">
        <v>1286.6938477000001</v>
      </c>
      <c r="J1121">
        <v>1267.6743164</v>
      </c>
      <c r="K1121">
        <v>2400</v>
      </c>
      <c r="L1121">
        <v>0</v>
      </c>
      <c r="M1121">
        <v>0</v>
      </c>
      <c r="N1121">
        <v>2400</v>
      </c>
    </row>
    <row r="1122" spans="1:14" x14ac:dyDescent="0.25">
      <c r="A1122">
        <v>737.17103299999997</v>
      </c>
      <c r="B1122" s="1">
        <f>DATE(2012,5,7) + TIME(4,6,17)</f>
        <v>41036.171030092592</v>
      </c>
      <c r="C1122">
        <v>80</v>
      </c>
      <c r="D1122">
        <v>79.942222595000004</v>
      </c>
      <c r="E1122">
        <v>50</v>
      </c>
      <c r="F1122">
        <v>49.331558227999999</v>
      </c>
      <c r="G1122">
        <v>1391.3399658000001</v>
      </c>
      <c r="H1122">
        <v>1376.3408202999999</v>
      </c>
      <c r="I1122">
        <v>1286.6878661999999</v>
      </c>
      <c r="J1122">
        <v>1267.6668701000001</v>
      </c>
      <c r="K1122">
        <v>2400</v>
      </c>
      <c r="L1122">
        <v>0</v>
      </c>
      <c r="M1122">
        <v>0</v>
      </c>
      <c r="N1122">
        <v>2400</v>
      </c>
    </row>
    <row r="1123" spans="1:14" x14ac:dyDescent="0.25">
      <c r="A1123">
        <v>737.39718600000003</v>
      </c>
      <c r="B1123" s="1">
        <f>DATE(2012,5,7) + TIME(9,31,56)</f>
        <v>41036.397175925929</v>
      </c>
      <c r="C1123">
        <v>80</v>
      </c>
      <c r="D1123">
        <v>79.943870544000006</v>
      </c>
      <c r="E1123">
        <v>50</v>
      </c>
      <c r="F1123">
        <v>49.311729431000003</v>
      </c>
      <c r="G1123">
        <v>1391.2628173999999</v>
      </c>
      <c r="H1123">
        <v>1376.2766113</v>
      </c>
      <c r="I1123">
        <v>1286.6818848</v>
      </c>
      <c r="J1123">
        <v>1267.6594238</v>
      </c>
      <c r="K1123">
        <v>2400</v>
      </c>
      <c r="L1123">
        <v>0</v>
      </c>
      <c r="M1123">
        <v>0</v>
      </c>
      <c r="N1123">
        <v>2400</v>
      </c>
    </row>
    <row r="1124" spans="1:14" x14ac:dyDescent="0.25">
      <c r="A1124">
        <v>737.62526700000001</v>
      </c>
      <c r="B1124" s="1">
        <f>DATE(2012,5,7) + TIME(15,0,23)</f>
        <v>41036.6252662037</v>
      </c>
      <c r="C1124">
        <v>80</v>
      </c>
      <c r="D1124">
        <v>79.945175171000002</v>
      </c>
      <c r="E1124">
        <v>50</v>
      </c>
      <c r="F1124">
        <v>49.291759491000001</v>
      </c>
      <c r="G1124">
        <v>1391.1873779</v>
      </c>
      <c r="H1124">
        <v>1376.2137451000001</v>
      </c>
      <c r="I1124">
        <v>1286.6757812000001</v>
      </c>
      <c r="J1124">
        <v>1267.6518555</v>
      </c>
      <c r="K1124">
        <v>2400</v>
      </c>
      <c r="L1124">
        <v>0</v>
      </c>
      <c r="M1124">
        <v>0</v>
      </c>
      <c r="N1124">
        <v>2400</v>
      </c>
    </row>
    <row r="1125" spans="1:14" x14ac:dyDescent="0.25">
      <c r="A1125">
        <v>737.85591199999999</v>
      </c>
      <c r="B1125" s="1">
        <f>DATE(2012,5,7) + TIME(20,32,30)</f>
        <v>41036.855902777781</v>
      </c>
      <c r="C1125">
        <v>80</v>
      </c>
      <c r="D1125">
        <v>79.946212768999999</v>
      </c>
      <c r="E1125">
        <v>50</v>
      </c>
      <c r="F1125">
        <v>49.271606445000003</v>
      </c>
      <c r="G1125">
        <v>1391.1134033000001</v>
      </c>
      <c r="H1125">
        <v>1376.1522216999999</v>
      </c>
      <c r="I1125">
        <v>1286.6696777</v>
      </c>
      <c r="J1125">
        <v>1267.6442870999999</v>
      </c>
      <c r="K1125">
        <v>2400</v>
      </c>
      <c r="L1125">
        <v>0</v>
      </c>
      <c r="M1125">
        <v>0</v>
      </c>
      <c r="N1125">
        <v>2400</v>
      </c>
    </row>
    <row r="1126" spans="1:14" x14ac:dyDescent="0.25">
      <c r="A1126">
        <v>738.08958099999995</v>
      </c>
      <c r="B1126" s="1">
        <f>DATE(2012,5,8) + TIME(2,8,59)</f>
        <v>41037.089571759258</v>
      </c>
      <c r="C1126">
        <v>80</v>
      </c>
      <c r="D1126">
        <v>79.947036742999998</v>
      </c>
      <c r="E1126">
        <v>50</v>
      </c>
      <c r="F1126">
        <v>49.251255035</v>
      </c>
      <c r="G1126">
        <v>1391.0406493999999</v>
      </c>
      <c r="H1126">
        <v>1376.0916748</v>
      </c>
      <c r="I1126">
        <v>1286.6634521000001</v>
      </c>
      <c r="J1126">
        <v>1267.6365966999999</v>
      </c>
      <c r="K1126">
        <v>2400</v>
      </c>
      <c r="L1126">
        <v>0</v>
      </c>
      <c r="M1126">
        <v>0</v>
      </c>
      <c r="N1126">
        <v>2400</v>
      </c>
    </row>
    <row r="1127" spans="1:14" x14ac:dyDescent="0.25">
      <c r="A1127">
        <v>738.32682999999997</v>
      </c>
      <c r="B1127" s="1">
        <f>DATE(2012,5,8) + TIME(7,50,38)</f>
        <v>41037.326828703706</v>
      </c>
      <c r="C1127">
        <v>80</v>
      </c>
      <c r="D1127">
        <v>79.947700499999996</v>
      </c>
      <c r="E1127">
        <v>50</v>
      </c>
      <c r="F1127">
        <v>49.230667113999999</v>
      </c>
      <c r="G1127">
        <v>1390.9689940999999</v>
      </c>
      <c r="H1127">
        <v>1376.0321045000001</v>
      </c>
      <c r="I1127">
        <v>1286.6571045000001</v>
      </c>
      <c r="J1127">
        <v>1267.6287841999999</v>
      </c>
      <c r="K1127">
        <v>2400</v>
      </c>
      <c r="L1127">
        <v>0</v>
      </c>
      <c r="M1127">
        <v>0</v>
      </c>
      <c r="N1127">
        <v>2400</v>
      </c>
    </row>
    <row r="1128" spans="1:14" x14ac:dyDescent="0.25">
      <c r="A1128">
        <v>738.56823299999996</v>
      </c>
      <c r="B1128" s="1">
        <f>DATE(2012,5,8) + TIME(13,38,15)</f>
        <v>41037.568229166667</v>
      </c>
      <c r="C1128">
        <v>80</v>
      </c>
      <c r="D1128">
        <v>79.948234557999996</v>
      </c>
      <c r="E1128">
        <v>50</v>
      </c>
      <c r="F1128">
        <v>49.209808350000003</v>
      </c>
      <c r="G1128">
        <v>1390.8981934000001</v>
      </c>
      <c r="H1128">
        <v>1375.9733887</v>
      </c>
      <c r="I1128">
        <v>1286.6507568</v>
      </c>
      <c r="J1128">
        <v>1267.6208495999999</v>
      </c>
      <c r="K1128">
        <v>2400</v>
      </c>
      <c r="L1128">
        <v>0</v>
      </c>
      <c r="M1128">
        <v>0</v>
      </c>
      <c r="N1128">
        <v>2400</v>
      </c>
    </row>
    <row r="1129" spans="1:14" x14ac:dyDescent="0.25">
      <c r="A1129">
        <v>738.81438900000001</v>
      </c>
      <c r="B1129" s="1">
        <f>DATE(2012,5,8) + TIME(19,32,43)</f>
        <v>41037.814386574071</v>
      </c>
      <c r="C1129">
        <v>80</v>
      </c>
      <c r="D1129">
        <v>79.948669433999996</v>
      </c>
      <c r="E1129">
        <v>50</v>
      </c>
      <c r="F1129">
        <v>49.188640593999999</v>
      </c>
      <c r="G1129">
        <v>1390.828125</v>
      </c>
      <c r="H1129">
        <v>1375.9151611</v>
      </c>
      <c r="I1129">
        <v>1286.6441649999999</v>
      </c>
      <c r="J1129">
        <v>1267.6126709</v>
      </c>
      <c r="K1129">
        <v>2400</v>
      </c>
      <c r="L1129">
        <v>0</v>
      </c>
      <c r="M1129">
        <v>0</v>
      </c>
      <c r="N1129">
        <v>2400</v>
      </c>
    </row>
    <row r="1130" spans="1:14" x14ac:dyDescent="0.25">
      <c r="A1130">
        <v>739.06593699999996</v>
      </c>
      <c r="B1130" s="1">
        <f>DATE(2012,5,9) + TIME(1,34,56)</f>
        <v>41038.065925925926</v>
      </c>
      <c r="C1130">
        <v>80</v>
      </c>
      <c r="D1130">
        <v>79.949020386000001</v>
      </c>
      <c r="E1130">
        <v>50</v>
      </c>
      <c r="F1130">
        <v>49.167114257999998</v>
      </c>
      <c r="G1130">
        <v>1390.7584228999999</v>
      </c>
      <c r="H1130">
        <v>1375.8574219</v>
      </c>
      <c r="I1130">
        <v>1286.6374512</v>
      </c>
      <c r="J1130">
        <v>1267.6043701000001</v>
      </c>
      <c r="K1130">
        <v>2400</v>
      </c>
      <c r="L1130">
        <v>0</v>
      </c>
      <c r="M1130">
        <v>0</v>
      </c>
      <c r="N1130">
        <v>2400</v>
      </c>
    </row>
    <row r="1131" spans="1:14" x14ac:dyDescent="0.25">
      <c r="A1131">
        <v>739.32356000000004</v>
      </c>
      <c r="B1131" s="1">
        <f>DATE(2012,5,9) + TIME(7,45,55)</f>
        <v>41038.323553240742</v>
      </c>
      <c r="C1131">
        <v>80</v>
      </c>
      <c r="D1131">
        <v>79.949310303000004</v>
      </c>
      <c r="E1131">
        <v>50</v>
      </c>
      <c r="F1131">
        <v>49.145191193000002</v>
      </c>
      <c r="G1131">
        <v>1390.6890868999999</v>
      </c>
      <c r="H1131">
        <v>1375.7999268000001</v>
      </c>
      <c r="I1131">
        <v>1286.6307373</v>
      </c>
      <c r="J1131">
        <v>1267.5959473</v>
      </c>
      <c r="K1131">
        <v>2400</v>
      </c>
      <c r="L1131">
        <v>0</v>
      </c>
      <c r="M1131">
        <v>0</v>
      </c>
      <c r="N1131">
        <v>2400</v>
      </c>
    </row>
    <row r="1132" spans="1:14" x14ac:dyDescent="0.25">
      <c r="A1132">
        <v>739.58800499999995</v>
      </c>
      <c r="B1132" s="1">
        <f>DATE(2012,5,9) + TIME(14,6,43)</f>
        <v>41038.587997685187</v>
      </c>
      <c r="C1132">
        <v>80</v>
      </c>
      <c r="D1132">
        <v>79.949546814000001</v>
      </c>
      <c r="E1132">
        <v>50</v>
      </c>
      <c r="F1132">
        <v>49.122814177999999</v>
      </c>
      <c r="G1132">
        <v>1390.619751</v>
      </c>
      <c r="H1132">
        <v>1375.7426757999999</v>
      </c>
      <c r="I1132">
        <v>1286.6236572</v>
      </c>
      <c r="J1132">
        <v>1267.5872803</v>
      </c>
      <c r="K1132">
        <v>2400</v>
      </c>
      <c r="L1132">
        <v>0</v>
      </c>
      <c r="M1132">
        <v>0</v>
      </c>
      <c r="N1132">
        <v>2400</v>
      </c>
    </row>
    <row r="1133" spans="1:14" x14ac:dyDescent="0.25">
      <c r="A1133">
        <v>739.86008700000002</v>
      </c>
      <c r="B1133" s="1">
        <f>DATE(2012,5,9) + TIME(20,38,31)</f>
        <v>41038.860081018516</v>
      </c>
      <c r="C1133">
        <v>80</v>
      </c>
      <c r="D1133">
        <v>79.949737549000005</v>
      </c>
      <c r="E1133">
        <v>50</v>
      </c>
      <c r="F1133">
        <v>49.09992218</v>
      </c>
      <c r="G1133">
        <v>1390.5504149999999</v>
      </c>
      <c r="H1133">
        <v>1375.6853027</v>
      </c>
      <c r="I1133">
        <v>1286.6164550999999</v>
      </c>
      <c r="J1133">
        <v>1267.5783690999999</v>
      </c>
      <c r="K1133">
        <v>2400</v>
      </c>
      <c r="L1133">
        <v>0</v>
      </c>
      <c r="M1133">
        <v>0</v>
      </c>
      <c r="N1133">
        <v>2400</v>
      </c>
    </row>
    <row r="1134" spans="1:14" x14ac:dyDescent="0.25">
      <c r="A1134">
        <v>740.140717</v>
      </c>
      <c r="B1134" s="1">
        <f>DATE(2012,5,10) + TIME(3,22,37)</f>
        <v>41039.140706018516</v>
      </c>
      <c r="C1134">
        <v>80</v>
      </c>
      <c r="D1134">
        <v>79.949905396000005</v>
      </c>
      <c r="E1134">
        <v>50</v>
      </c>
      <c r="F1134">
        <v>49.076457976999997</v>
      </c>
      <c r="G1134">
        <v>1390.4808350000001</v>
      </c>
      <c r="H1134">
        <v>1375.6278076000001</v>
      </c>
      <c r="I1134">
        <v>1286.6091309000001</v>
      </c>
      <c r="J1134">
        <v>1267.5692139</v>
      </c>
      <c r="K1134">
        <v>2400</v>
      </c>
      <c r="L1134">
        <v>0</v>
      </c>
      <c r="M1134">
        <v>0</v>
      </c>
      <c r="N1134">
        <v>2400</v>
      </c>
    </row>
    <row r="1135" spans="1:14" x14ac:dyDescent="0.25">
      <c r="A1135">
        <v>740.43109600000003</v>
      </c>
      <c r="B1135" s="1">
        <f>DATE(2012,5,10) + TIME(10,20,46)</f>
        <v>41039.431087962963</v>
      </c>
      <c r="C1135">
        <v>80</v>
      </c>
      <c r="D1135">
        <v>79.950035095000004</v>
      </c>
      <c r="E1135">
        <v>50</v>
      </c>
      <c r="F1135">
        <v>49.052337645999998</v>
      </c>
      <c r="G1135">
        <v>1390.4107666</v>
      </c>
      <c r="H1135">
        <v>1375.5700684000001</v>
      </c>
      <c r="I1135">
        <v>1286.6014404</v>
      </c>
      <c r="J1135">
        <v>1267.5596923999999</v>
      </c>
      <c r="K1135">
        <v>2400</v>
      </c>
      <c r="L1135">
        <v>0</v>
      </c>
      <c r="M1135">
        <v>0</v>
      </c>
      <c r="N1135">
        <v>2400</v>
      </c>
    </row>
    <row r="1136" spans="1:14" x14ac:dyDescent="0.25">
      <c r="A1136">
        <v>740.72903199999996</v>
      </c>
      <c r="B1136" s="1">
        <f>DATE(2012,5,10) + TIME(17,29,48)</f>
        <v>41039.729027777779</v>
      </c>
      <c r="C1136">
        <v>80</v>
      </c>
      <c r="D1136">
        <v>79.950141907000003</v>
      </c>
      <c r="E1136">
        <v>50</v>
      </c>
      <c r="F1136">
        <v>49.027687073000003</v>
      </c>
      <c r="G1136">
        <v>1390.3400879000001</v>
      </c>
      <c r="H1136">
        <v>1375.5117187999999</v>
      </c>
      <c r="I1136">
        <v>1286.5935059000001</v>
      </c>
      <c r="J1136">
        <v>1267.5499268000001</v>
      </c>
      <c r="K1136">
        <v>2400</v>
      </c>
      <c r="L1136">
        <v>0</v>
      </c>
      <c r="M1136">
        <v>0</v>
      </c>
      <c r="N1136">
        <v>2400</v>
      </c>
    </row>
    <row r="1137" spans="1:14" x14ac:dyDescent="0.25">
      <c r="A1137">
        <v>741.03529200000003</v>
      </c>
      <c r="B1137" s="1">
        <f>DATE(2012,5,11) + TIME(0,50,49)</f>
        <v>41040.03528935185</v>
      </c>
      <c r="C1137">
        <v>80</v>
      </c>
      <c r="D1137">
        <v>79.950233459000003</v>
      </c>
      <c r="E1137">
        <v>50</v>
      </c>
      <c r="F1137">
        <v>49.002456664999997</v>
      </c>
      <c r="G1137">
        <v>1390.2694091999999</v>
      </c>
      <c r="H1137">
        <v>1375.4534911999999</v>
      </c>
      <c r="I1137">
        <v>1286.5853271000001</v>
      </c>
      <c r="J1137">
        <v>1267.5399170000001</v>
      </c>
      <c r="K1137">
        <v>2400</v>
      </c>
      <c r="L1137">
        <v>0</v>
      </c>
      <c r="M1137">
        <v>0</v>
      </c>
      <c r="N1137">
        <v>2400</v>
      </c>
    </row>
    <row r="1138" spans="1:14" x14ac:dyDescent="0.25">
      <c r="A1138">
        <v>741.35081500000001</v>
      </c>
      <c r="B1138" s="1">
        <f>DATE(2012,5,11) + TIME(8,25,10)</f>
        <v>41040.350810185184</v>
      </c>
      <c r="C1138">
        <v>80</v>
      </c>
      <c r="D1138">
        <v>79.950302124000004</v>
      </c>
      <c r="E1138">
        <v>50</v>
      </c>
      <c r="F1138">
        <v>48.976596831999998</v>
      </c>
      <c r="G1138">
        <v>1390.1984863</v>
      </c>
      <c r="H1138">
        <v>1375.3951416</v>
      </c>
      <c r="I1138">
        <v>1286.5769043</v>
      </c>
      <c r="J1138">
        <v>1267.5295410000001</v>
      </c>
      <c r="K1138">
        <v>2400</v>
      </c>
      <c r="L1138">
        <v>0</v>
      </c>
      <c r="M1138">
        <v>0</v>
      </c>
      <c r="N1138">
        <v>2400</v>
      </c>
    </row>
    <row r="1139" spans="1:14" x14ac:dyDescent="0.25">
      <c r="A1139">
        <v>741.676647</v>
      </c>
      <c r="B1139" s="1">
        <f>DATE(2012,5,11) + TIME(16,14,22)</f>
        <v>41040.67664351852</v>
      </c>
      <c r="C1139">
        <v>80</v>
      </c>
      <c r="D1139">
        <v>79.950363159000005</v>
      </c>
      <c r="E1139">
        <v>50</v>
      </c>
      <c r="F1139">
        <v>48.950035094999997</v>
      </c>
      <c r="G1139">
        <v>1390.1271973</v>
      </c>
      <c r="H1139">
        <v>1375.3364257999999</v>
      </c>
      <c r="I1139">
        <v>1286.5682373</v>
      </c>
      <c r="J1139">
        <v>1267.5187988</v>
      </c>
      <c r="K1139">
        <v>2400</v>
      </c>
      <c r="L1139">
        <v>0</v>
      </c>
      <c r="M1139">
        <v>0</v>
      </c>
      <c r="N1139">
        <v>2400</v>
      </c>
    </row>
    <row r="1140" spans="1:14" x14ac:dyDescent="0.25">
      <c r="A1140">
        <v>742.01414799999998</v>
      </c>
      <c r="B1140" s="1">
        <f>DATE(2012,5,12) + TIME(0,20,22)</f>
        <v>41041.014143518521</v>
      </c>
      <c r="C1140">
        <v>80</v>
      </c>
      <c r="D1140">
        <v>79.950408936000002</v>
      </c>
      <c r="E1140">
        <v>50</v>
      </c>
      <c r="F1140">
        <v>48.922695160000004</v>
      </c>
      <c r="G1140">
        <v>1390.0552978999999</v>
      </c>
      <c r="H1140">
        <v>1375.2774658000001</v>
      </c>
      <c r="I1140">
        <v>1286.5593262</v>
      </c>
      <c r="J1140">
        <v>1267.5078125</v>
      </c>
      <c r="K1140">
        <v>2400</v>
      </c>
      <c r="L1140">
        <v>0</v>
      </c>
      <c r="M1140">
        <v>0</v>
      </c>
      <c r="N1140">
        <v>2400</v>
      </c>
    </row>
    <row r="1141" spans="1:14" x14ac:dyDescent="0.25">
      <c r="A1141">
        <v>742.36164900000006</v>
      </c>
      <c r="B1141" s="1">
        <f>DATE(2012,5,12) + TIME(8,40,46)</f>
        <v>41041.361643518518</v>
      </c>
      <c r="C1141">
        <v>80</v>
      </c>
      <c r="D1141">
        <v>79.950439453000001</v>
      </c>
      <c r="E1141">
        <v>50</v>
      </c>
      <c r="F1141">
        <v>48.894657135000003</v>
      </c>
      <c r="G1141">
        <v>1389.9827881000001</v>
      </c>
      <c r="H1141">
        <v>1375.2177733999999</v>
      </c>
      <c r="I1141">
        <v>1286.5499268000001</v>
      </c>
      <c r="J1141">
        <v>1267.4963379000001</v>
      </c>
      <c r="K1141">
        <v>2400</v>
      </c>
      <c r="L1141">
        <v>0</v>
      </c>
      <c r="M1141">
        <v>0</v>
      </c>
      <c r="N1141">
        <v>2400</v>
      </c>
    </row>
    <row r="1142" spans="1:14" x14ac:dyDescent="0.25">
      <c r="A1142">
        <v>742.71213399999999</v>
      </c>
      <c r="B1142" s="1">
        <f>DATE(2012,5,12) + TIME(17,5,28)</f>
        <v>41041.712129629632</v>
      </c>
      <c r="C1142">
        <v>80</v>
      </c>
      <c r="D1142">
        <v>79.950469971000004</v>
      </c>
      <c r="E1142">
        <v>50</v>
      </c>
      <c r="F1142">
        <v>48.866325377999999</v>
      </c>
      <c r="G1142">
        <v>1389.9097899999999</v>
      </c>
      <c r="H1142">
        <v>1375.1579589999999</v>
      </c>
      <c r="I1142">
        <v>1286.5402832</v>
      </c>
      <c r="J1142">
        <v>1267.4844971</v>
      </c>
      <c r="K1142">
        <v>2400</v>
      </c>
      <c r="L1142">
        <v>0</v>
      </c>
      <c r="M1142">
        <v>0</v>
      </c>
      <c r="N1142">
        <v>2400</v>
      </c>
    </row>
    <row r="1143" spans="1:14" x14ac:dyDescent="0.25">
      <c r="A1143">
        <v>743.06662900000003</v>
      </c>
      <c r="B1143" s="1">
        <f>DATE(2012,5,13) + TIME(1,35,56)</f>
        <v>41042.066620370373</v>
      </c>
      <c r="C1143">
        <v>80</v>
      </c>
      <c r="D1143">
        <v>79.950485228999995</v>
      </c>
      <c r="E1143">
        <v>50</v>
      </c>
      <c r="F1143">
        <v>48.837688446000001</v>
      </c>
      <c r="G1143">
        <v>1389.8380127</v>
      </c>
      <c r="H1143">
        <v>1375.098999</v>
      </c>
      <c r="I1143">
        <v>1286.5305175999999</v>
      </c>
      <c r="J1143">
        <v>1267.4725341999999</v>
      </c>
      <c r="K1143">
        <v>2400</v>
      </c>
      <c r="L1143">
        <v>0</v>
      </c>
      <c r="M1143">
        <v>0</v>
      </c>
      <c r="N1143">
        <v>2400</v>
      </c>
    </row>
    <row r="1144" spans="1:14" x14ac:dyDescent="0.25">
      <c r="A1144">
        <v>743.42610999999999</v>
      </c>
      <c r="B1144" s="1">
        <f>DATE(2012,5,13) + TIME(10,13,35)</f>
        <v>41042.426099537035</v>
      </c>
      <c r="C1144">
        <v>80</v>
      </c>
      <c r="D1144">
        <v>79.950492858999993</v>
      </c>
      <c r="E1144">
        <v>50</v>
      </c>
      <c r="F1144">
        <v>48.808727263999998</v>
      </c>
      <c r="G1144">
        <v>1389.7670897999999</v>
      </c>
      <c r="H1144">
        <v>1375.0408935999999</v>
      </c>
      <c r="I1144">
        <v>1286.5206298999999</v>
      </c>
      <c r="J1144">
        <v>1267.4604492000001</v>
      </c>
      <c r="K1144">
        <v>2400</v>
      </c>
      <c r="L1144">
        <v>0</v>
      </c>
      <c r="M1144">
        <v>0</v>
      </c>
      <c r="N1144">
        <v>2400</v>
      </c>
    </row>
    <row r="1145" spans="1:14" x14ac:dyDescent="0.25">
      <c r="A1145">
        <v>743.78924099999995</v>
      </c>
      <c r="B1145" s="1">
        <f>DATE(2012,5,13) + TIME(18,56,30)</f>
        <v>41042.789236111108</v>
      </c>
      <c r="C1145">
        <v>80</v>
      </c>
      <c r="D1145">
        <v>79.950500488000003</v>
      </c>
      <c r="E1145">
        <v>50</v>
      </c>
      <c r="F1145">
        <v>48.779525757000002</v>
      </c>
      <c r="G1145">
        <v>1389.6968993999999</v>
      </c>
      <c r="H1145">
        <v>1374.9833983999999</v>
      </c>
      <c r="I1145">
        <v>1286.5104980000001</v>
      </c>
      <c r="J1145">
        <v>1267.4481201000001</v>
      </c>
      <c r="K1145">
        <v>2400</v>
      </c>
      <c r="L1145">
        <v>0</v>
      </c>
      <c r="M1145">
        <v>0</v>
      </c>
      <c r="N1145">
        <v>2400</v>
      </c>
    </row>
    <row r="1146" spans="1:14" x14ac:dyDescent="0.25">
      <c r="A1146">
        <v>744.15675099999999</v>
      </c>
      <c r="B1146" s="1">
        <f>DATE(2012,5,14) + TIME(3,45,43)</f>
        <v>41043.156747685185</v>
      </c>
      <c r="C1146">
        <v>80</v>
      </c>
      <c r="D1146">
        <v>79.950500488000003</v>
      </c>
      <c r="E1146">
        <v>50</v>
      </c>
      <c r="F1146">
        <v>48.750068665000001</v>
      </c>
      <c r="G1146">
        <v>1389.6275635</v>
      </c>
      <c r="H1146">
        <v>1374.9266356999999</v>
      </c>
      <c r="I1146">
        <v>1286.5003661999999</v>
      </c>
      <c r="J1146">
        <v>1267.4356689000001</v>
      </c>
      <c r="K1146">
        <v>2400</v>
      </c>
      <c r="L1146">
        <v>0</v>
      </c>
      <c r="M1146">
        <v>0</v>
      </c>
      <c r="N1146">
        <v>2400</v>
      </c>
    </row>
    <row r="1147" spans="1:14" x14ac:dyDescent="0.25">
      <c r="A1147">
        <v>744.52956500000005</v>
      </c>
      <c r="B1147" s="1">
        <f>DATE(2012,5,14) + TIME(12,42,34)</f>
        <v>41043.529560185183</v>
      </c>
      <c r="C1147">
        <v>80</v>
      </c>
      <c r="D1147">
        <v>79.950492858999993</v>
      </c>
      <c r="E1147">
        <v>50</v>
      </c>
      <c r="F1147">
        <v>48.720310210999997</v>
      </c>
      <c r="G1147">
        <v>1389.5588379000001</v>
      </c>
      <c r="H1147">
        <v>1374.8704834</v>
      </c>
      <c r="I1147">
        <v>1286.4901123</v>
      </c>
      <c r="J1147">
        <v>1267.4230957</v>
      </c>
      <c r="K1147">
        <v>2400</v>
      </c>
      <c r="L1147">
        <v>0</v>
      </c>
      <c r="M1147">
        <v>0</v>
      </c>
      <c r="N1147">
        <v>2400</v>
      </c>
    </row>
    <row r="1148" spans="1:14" x14ac:dyDescent="0.25">
      <c r="A1148">
        <v>744.90864199999999</v>
      </c>
      <c r="B1148" s="1">
        <f>DATE(2012,5,14) + TIME(21,48,26)</f>
        <v>41043.908634259256</v>
      </c>
      <c r="C1148">
        <v>80</v>
      </c>
      <c r="D1148">
        <v>79.950485228999995</v>
      </c>
      <c r="E1148">
        <v>50</v>
      </c>
      <c r="F1148">
        <v>48.690204620000003</v>
      </c>
      <c r="G1148">
        <v>1389.4908447</v>
      </c>
      <c r="H1148">
        <v>1374.8148193</v>
      </c>
      <c r="I1148">
        <v>1286.4796143000001</v>
      </c>
      <c r="J1148">
        <v>1267.4102783000001</v>
      </c>
      <c r="K1148">
        <v>2400</v>
      </c>
      <c r="L1148">
        <v>0</v>
      </c>
      <c r="M1148">
        <v>0</v>
      </c>
      <c r="N1148">
        <v>2400</v>
      </c>
    </row>
    <row r="1149" spans="1:14" x14ac:dyDescent="0.25">
      <c r="A1149">
        <v>745.29499199999998</v>
      </c>
      <c r="B1149" s="1">
        <f>DATE(2012,5,15) + TIME(7,4,47)</f>
        <v>41044.294988425929</v>
      </c>
      <c r="C1149">
        <v>80</v>
      </c>
      <c r="D1149">
        <v>79.950477599999999</v>
      </c>
      <c r="E1149">
        <v>50</v>
      </c>
      <c r="F1149">
        <v>48.659690857000001</v>
      </c>
      <c r="G1149">
        <v>1389.4230957</v>
      </c>
      <c r="H1149">
        <v>1374.7593993999999</v>
      </c>
      <c r="I1149">
        <v>1286.4688721</v>
      </c>
      <c r="J1149">
        <v>1267.3972168</v>
      </c>
      <c r="K1149">
        <v>2400</v>
      </c>
      <c r="L1149">
        <v>0</v>
      </c>
      <c r="M1149">
        <v>0</v>
      </c>
      <c r="N1149">
        <v>2400</v>
      </c>
    </row>
    <row r="1150" spans="1:14" x14ac:dyDescent="0.25">
      <c r="A1150">
        <v>745.68969200000004</v>
      </c>
      <c r="B1150" s="1">
        <f>DATE(2012,5,15) + TIME(16,33,9)</f>
        <v>41044.689687500002</v>
      </c>
      <c r="C1150">
        <v>80</v>
      </c>
      <c r="D1150">
        <v>79.950469971000004</v>
      </c>
      <c r="E1150">
        <v>50</v>
      </c>
      <c r="F1150">
        <v>48.628700256000002</v>
      </c>
      <c r="G1150">
        <v>1389.3555908000001</v>
      </c>
      <c r="H1150">
        <v>1374.7042236</v>
      </c>
      <c r="I1150">
        <v>1286.4580077999999</v>
      </c>
      <c r="J1150">
        <v>1267.3837891000001</v>
      </c>
      <c r="K1150">
        <v>2400</v>
      </c>
      <c r="L1150">
        <v>0</v>
      </c>
      <c r="M1150">
        <v>0</v>
      </c>
      <c r="N1150">
        <v>2400</v>
      </c>
    </row>
    <row r="1151" spans="1:14" x14ac:dyDescent="0.25">
      <c r="A1151">
        <v>746.09391000000005</v>
      </c>
      <c r="B1151" s="1">
        <f>DATE(2012,5,16) + TIME(2,15,13)</f>
        <v>41045.093900462962</v>
      </c>
      <c r="C1151">
        <v>80</v>
      </c>
      <c r="D1151">
        <v>79.950454711999996</v>
      </c>
      <c r="E1151">
        <v>50</v>
      </c>
      <c r="F1151">
        <v>48.597160338999998</v>
      </c>
      <c r="G1151">
        <v>1389.2880858999999</v>
      </c>
      <c r="H1151">
        <v>1374.6490478999999</v>
      </c>
      <c r="I1151">
        <v>1286.4468993999999</v>
      </c>
      <c r="J1151">
        <v>1267.3701172000001</v>
      </c>
      <c r="K1151">
        <v>2400</v>
      </c>
      <c r="L1151">
        <v>0</v>
      </c>
      <c r="M1151">
        <v>0</v>
      </c>
      <c r="N1151">
        <v>2400</v>
      </c>
    </row>
    <row r="1152" spans="1:14" x14ac:dyDescent="0.25">
      <c r="A1152">
        <v>746.50858400000004</v>
      </c>
      <c r="B1152" s="1">
        <f>DATE(2012,5,16) + TIME(12,12,21)</f>
        <v>41045.508576388886</v>
      </c>
      <c r="C1152">
        <v>80</v>
      </c>
      <c r="D1152">
        <v>79.950439453000001</v>
      </c>
      <c r="E1152">
        <v>50</v>
      </c>
      <c r="F1152">
        <v>48.565010071000003</v>
      </c>
      <c r="G1152">
        <v>1389.2203368999999</v>
      </c>
      <c r="H1152">
        <v>1374.59375</v>
      </c>
      <c r="I1152">
        <v>1286.4354248</v>
      </c>
      <c r="J1152">
        <v>1267.3560791</v>
      </c>
      <c r="K1152">
        <v>2400</v>
      </c>
      <c r="L1152">
        <v>0</v>
      </c>
      <c r="M1152">
        <v>0</v>
      </c>
      <c r="N1152">
        <v>2400</v>
      </c>
    </row>
    <row r="1153" spans="1:14" x14ac:dyDescent="0.25">
      <c r="A1153">
        <v>746.93439899999998</v>
      </c>
      <c r="B1153" s="1">
        <f>DATE(2012,5,16) + TIME(22,25,32)</f>
        <v>41045.934398148151</v>
      </c>
      <c r="C1153">
        <v>80</v>
      </c>
      <c r="D1153">
        <v>79.950424193999993</v>
      </c>
      <c r="E1153">
        <v>50</v>
      </c>
      <c r="F1153">
        <v>48.53219223</v>
      </c>
      <c r="G1153">
        <v>1389.1523437999999</v>
      </c>
      <c r="H1153">
        <v>1374.5382079999999</v>
      </c>
      <c r="I1153">
        <v>1286.4235839999999</v>
      </c>
      <c r="J1153">
        <v>1267.3416748</v>
      </c>
      <c r="K1153">
        <v>2400</v>
      </c>
      <c r="L1153">
        <v>0</v>
      </c>
      <c r="M1153">
        <v>0</v>
      </c>
      <c r="N1153">
        <v>2400</v>
      </c>
    </row>
    <row r="1154" spans="1:14" x14ac:dyDescent="0.25">
      <c r="A1154">
        <v>747.37278300000003</v>
      </c>
      <c r="B1154" s="1">
        <f>DATE(2012,5,17) + TIME(8,56,48)</f>
        <v>41046.372777777775</v>
      </c>
      <c r="C1154">
        <v>80</v>
      </c>
      <c r="D1154">
        <v>79.950408936000002</v>
      </c>
      <c r="E1154">
        <v>50</v>
      </c>
      <c r="F1154">
        <v>48.498626709</v>
      </c>
      <c r="G1154">
        <v>1389.0839844</v>
      </c>
      <c r="H1154">
        <v>1374.4824219</v>
      </c>
      <c r="I1154">
        <v>1286.411499</v>
      </c>
      <c r="J1154">
        <v>1267.3267822</v>
      </c>
      <c r="K1154">
        <v>2400</v>
      </c>
      <c r="L1154">
        <v>0</v>
      </c>
      <c r="M1154">
        <v>0</v>
      </c>
      <c r="N1154">
        <v>2400</v>
      </c>
    </row>
    <row r="1155" spans="1:14" x14ac:dyDescent="0.25">
      <c r="A1155">
        <v>747.823489</v>
      </c>
      <c r="B1155" s="1">
        <f>DATE(2012,5,17) + TIME(19,45,49)</f>
        <v>41046.823483796295</v>
      </c>
      <c r="C1155">
        <v>80</v>
      </c>
      <c r="D1155">
        <v>79.950386046999995</v>
      </c>
      <c r="E1155">
        <v>50</v>
      </c>
      <c r="F1155">
        <v>48.464302062999998</v>
      </c>
      <c r="G1155">
        <v>1389.0150146000001</v>
      </c>
      <c r="H1155">
        <v>1374.4261475000001</v>
      </c>
      <c r="I1155">
        <v>1286.3989257999999</v>
      </c>
      <c r="J1155">
        <v>1267.3115233999999</v>
      </c>
      <c r="K1155">
        <v>2400</v>
      </c>
      <c r="L1155">
        <v>0</v>
      </c>
      <c r="M1155">
        <v>0</v>
      </c>
      <c r="N1155">
        <v>2400</v>
      </c>
    </row>
    <row r="1156" spans="1:14" x14ac:dyDescent="0.25">
      <c r="A1156">
        <v>748.28246200000001</v>
      </c>
      <c r="B1156" s="1">
        <f>DATE(2012,5,18) + TIME(6,46,44)</f>
        <v>41047.282453703701</v>
      </c>
      <c r="C1156">
        <v>80</v>
      </c>
      <c r="D1156">
        <v>79.950370789000004</v>
      </c>
      <c r="E1156">
        <v>50</v>
      </c>
      <c r="F1156">
        <v>48.429416656000001</v>
      </c>
      <c r="G1156">
        <v>1388.9456786999999</v>
      </c>
      <c r="H1156">
        <v>1374.3696289</v>
      </c>
      <c r="I1156">
        <v>1286.3859863</v>
      </c>
      <c r="J1156">
        <v>1267.2956543</v>
      </c>
      <c r="K1156">
        <v>2400</v>
      </c>
      <c r="L1156">
        <v>0</v>
      </c>
      <c r="M1156">
        <v>0</v>
      </c>
      <c r="N1156">
        <v>2400</v>
      </c>
    </row>
    <row r="1157" spans="1:14" x14ac:dyDescent="0.25">
      <c r="A1157">
        <v>748.75055399999997</v>
      </c>
      <c r="B1157" s="1">
        <f>DATE(2012,5,18) + TIME(18,0,47)</f>
        <v>41047.750543981485</v>
      </c>
      <c r="C1157">
        <v>80</v>
      </c>
      <c r="D1157">
        <v>79.950347899999997</v>
      </c>
      <c r="E1157">
        <v>50</v>
      </c>
      <c r="F1157">
        <v>48.393959045000003</v>
      </c>
      <c r="G1157">
        <v>1388.8764647999999</v>
      </c>
      <c r="H1157">
        <v>1374.3132324000001</v>
      </c>
      <c r="I1157">
        <v>1286.3726807</v>
      </c>
      <c r="J1157">
        <v>1267.2795410000001</v>
      </c>
      <c r="K1157">
        <v>2400</v>
      </c>
      <c r="L1157">
        <v>0</v>
      </c>
      <c r="M1157">
        <v>0</v>
      </c>
      <c r="N1157">
        <v>2400</v>
      </c>
    </row>
    <row r="1158" spans="1:14" x14ac:dyDescent="0.25">
      <c r="A1158">
        <v>749.22152900000003</v>
      </c>
      <c r="B1158" s="1">
        <f>DATE(2012,5,19) + TIME(5,19,0)</f>
        <v>41048.22152777778</v>
      </c>
      <c r="C1158">
        <v>80</v>
      </c>
      <c r="D1158">
        <v>79.950332642000006</v>
      </c>
      <c r="E1158">
        <v>50</v>
      </c>
      <c r="F1158">
        <v>48.358245850000003</v>
      </c>
      <c r="G1158">
        <v>1388.8073730000001</v>
      </c>
      <c r="H1158">
        <v>1374.2568358999999</v>
      </c>
      <c r="I1158">
        <v>1286.3591309000001</v>
      </c>
      <c r="J1158">
        <v>1267.2630615</v>
      </c>
      <c r="K1158">
        <v>2400</v>
      </c>
      <c r="L1158">
        <v>0</v>
      </c>
      <c r="M1158">
        <v>0</v>
      </c>
      <c r="N1158">
        <v>2400</v>
      </c>
    </row>
    <row r="1159" spans="1:14" x14ac:dyDescent="0.25">
      <c r="A1159">
        <v>749.69666800000005</v>
      </c>
      <c r="B1159" s="1">
        <f>DATE(2012,5,19) + TIME(16,43,12)</f>
        <v>41048.696666666663</v>
      </c>
      <c r="C1159">
        <v>80</v>
      </c>
      <c r="D1159">
        <v>79.950309752999999</v>
      </c>
      <c r="E1159">
        <v>50</v>
      </c>
      <c r="F1159">
        <v>48.322284697999997</v>
      </c>
      <c r="G1159">
        <v>1388.7392577999999</v>
      </c>
      <c r="H1159">
        <v>1374.2012939000001</v>
      </c>
      <c r="I1159">
        <v>1286.3454589999999</v>
      </c>
      <c r="J1159">
        <v>1267.2463379000001</v>
      </c>
      <c r="K1159">
        <v>2400</v>
      </c>
      <c r="L1159">
        <v>0</v>
      </c>
      <c r="M1159">
        <v>0</v>
      </c>
      <c r="N1159">
        <v>2400</v>
      </c>
    </row>
    <row r="1160" spans="1:14" x14ac:dyDescent="0.25">
      <c r="A1160">
        <v>750.17722100000003</v>
      </c>
      <c r="B1160" s="1">
        <f>DATE(2012,5,20) + TIME(4,15,11)</f>
        <v>41049.177210648151</v>
      </c>
      <c r="C1160">
        <v>80</v>
      </c>
      <c r="D1160">
        <v>79.950294494999994</v>
      </c>
      <c r="E1160">
        <v>50</v>
      </c>
      <c r="F1160">
        <v>48.286052703999999</v>
      </c>
      <c r="G1160">
        <v>1388.671875</v>
      </c>
      <c r="H1160">
        <v>1374.1463623</v>
      </c>
      <c r="I1160">
        <v>1286.331543</v>
      </c>
      <c r="J1160">
        <v>1267.2294922000001</v>
      </c>
      <c r="K1160">
        <v>2400</v>
      </c>
      <c r="L1160">
        <v>0</v>
      </c>
      <c r="M1160">
        <v>0</v>
      </c>
      <c r="N1160">
        <v>2400</v>
      </c>
    </row>
    <row r="1161" spans="1:14" x14ac:dyDescent="0.25">
      <c r="A1161">
        <v>750.66446699999995</v>
      </c>
      <c r="B1161" s="1">
        <f>DATE(2012,5,20) + TIME(15,56,49)</f>
        <v>41049.664456018516</v>
      </c>
      <c r="C1161">
        <v>80</v>
      </c>
      <c r="D1161">
        <v>79.950271606000001</v>
      </c>
      <c r="E1161">
        <v>50</v>
      </c>
      <c r="F1161">
        <v>48.249500275000003</v>
      </c>
      <c r="G1161">
        <v>1388.6051024999999</v>
      </c>
      <c r="H1161">
        <v>1374.0919189000001</v>
      </c>
      <c r="I1161">
        <v>1286.3175048999999</v>
      </c>
      <c r="J1161">
        <v>1267.2124022999999</v>
      </c>
      <c r="K1161">
        <v>2400</v>
      </c>
      <c r="L1161">
        <v>0</v>
      </c>
      <c r="M1161">
        <v>0</v>
      </c>
      <c r="N1161">
        <v>2400</v>
      </c>
    </row>
    <row r="1162" spans="1:14" x14ac:dyDescent="0.25">
      <c r="A1162">
        <v>751.15972299999999</v>
      </c>
      <c r="B1162" s="1">
        <f>DATE(2012,5,21) + TIME(3,50,0)</f>
        <v>41050.159722222219</v>
      </c>
      <c r="C1162">
        <v>80</v>
      </c>
      <c r="D1162">
        <v>79.950256347999996</v>
      </c>
      <c r="E1162">
        <v>50</v>
      </c>
      <c r="F1162">
        <v>48.212554932000003</v>
      </c>
      <c r="G1162">
        <v>1388.5386963000001</v>
      </c>
      <c r="H1162">
        <v>1374.0378418</v>
      </c>
      <c r="I1162">
        <v>1286.3032227000001</v>
      </c>
      <c r="J1162">
        <v>1267.1949463000001</v>
      </c>
      <c r="K1162">
        <v>2400</v>
      </c>
      <c r="L1162">
        <v>0</v>
      </c>
      <c r="M1162">
        <v>0</v>
      </c>
      <c r="N1162">
        <v>2400</v>
      </c>
    </row>
    <row r="1163" spans="1:14" x14ac:dyDescent="0.25">
      <c r="A1163">
        <v>751.66438400000004</v>
      </c>
      <c r="B1163" s="1">
        <f>DATE(2012,5,21) + TIME(15,56,42)</f>
        <v>41050.664375</v>
      </c>
      <c r="C1163">
        <v>80</v>
      </c>
      <c r="D1163">
        <v>79.950233459000003</v>
      </c>
      <c r="E1163">
        <v>50</v>
      </c>
      <c r="F1163">
        <v>48.175144195999998</v>
      </c>
      <c r="G1163">
        <v>1388.4725341999999</v>
      </c>
      <c r="H1163">
        <v>1373.9838867000001</v>
      </c>
      <c r="I1163">
        <v>1286.2885742000001</v>
      </c>
      <c r="J1163">
        <v>1267.177124</v>
      </c>
      <c r="K1163">
        <v>2400</v>
      </c>
      <c r="L1163">
        <v>0</v>
      </c>
      <c r="M1163">
        <v>0</v>
      </c>
      <c r="N1163">
        <v>2400</v>
      </c>
    </row>
    <row r="1164" spans="1:14" x14ac:dyDescent="0.25">
      <c r="A1164">
        <v>752.17741000000001</v>
      </c>
      <c r="B1164" s="1">
        <f>DATE(2012,5,22) + TIME(4,15,28)</f>
        <v>41051.177407407406</v>
      </c>
      <c r="C1164">
        <v>80</v>
      </c>
      <c r="D1164">
        <v>79.950218200999998</v>
      </c>
      <c r="E1164">
        <v>50</v>
      </c>
      <c r="F1164">
        <v>48.137298584</v>
      </c>
      <c r="G1164">
        <v>1388.4063721</v>
      </c>
      <c r="H1164">
        <v>1373.9299315999999</v>
      </c>
      <c r="I1164">
        <v>1286.2736815999999</v>
      </c>
      <c r="J1164">
        <v>1267.1588135</v>
      </c>
      <c r="K1164">
        <v>2400</v>
      </c>
      <c r="L1164">
        <v>0</v>
      </c>
      <c r="M1164">
        <v>0</v>
      </c>
      <c r="N1164">
        <v>2400</v>
      </c>
    </row>
    <row r="1165" spans="1:14" x14ac:dyDescent="0.25">
      <c r="A1165">
        <v>752.69808699999999</v>
      </c>
      <c r="B1165" s="1">
        <f>DATE(2012,5,22) + TIME(16,45,14)</f>
        <v>41051.698078703703</v>
      </c>
      <c r="C1165">
        <v>80</v>
      </c>
      <c r="D1165">
        <v>79.950195312000005</v>
      </c>
      <c r="E1165">
        <v>50</v>
      </c>
      <c r="F1165">
        <v>48.099044800000001</v>
      </c>
      <c r="G1165">
        <v>1388.340332</v>
      </c>
      <c r="H1165">
        <v>1373.8760986</v>
      </c>
      <c r="I1165">
        <v>1286.2584228999999</v>
      </c>
      <c r="J1165">
        <v>1267.1402588000001</v>
      </c>
      <c r="K1165">
        <v>2400</v>
      </c>
      <c r="L1165">
        <v>0</v>
      </c>
      <c r="M1165">
        <v>0</v>
      </c>
      <c r="N1165">
        <v>2400</v>
      </c>
    </row>
    <row r="1166" spans="1:14" x14ac:dyDescent="0.25">
      <c r="A1166">
        <v>753.22778400000004</v>
      </c>
      <c r="B1166" s="1">
        <f>DATE(2012,5,23) + TIME(5,28,0)</f>
        <v>41052.227777777778</v>
      </c>
      <c r="C1166">
        <v>80</v>
      </c>
      <c r="D1166">
        <v>79.950180054</v>
      </c>
      <c r="E1166">
        <v>50</v>
      </c>
      <c r="F1166">
        <v>48.060329437</v>
      </c>
      <c r="G1166">
        <v>1388.2746582</v>
      </c>
      <c r="H1166">
        <v>1373.8225098</v>
      </c>
      <c r="I1166">
        <v>1286.2429199000001</v>
      </c>
      <c r="J1166">
        <v>1267.1213379000001</v>
      </c>
      <c r="K1166">
        <v>2400</v>
      </c>
      <c r="L1166">
        <v>0</v>
      </c>
      <c r="M1166">
        <v>0</v>
      </c>
      <c r="N1166">
        <v>2400</v>
      </c>
    </row>
    <row r="1167" spans="1:14" x14ac:dyDescent="0.25">
      <c r="A1167">
        <v>753.76792799999998</v>
      </c>
      <c r="B1167" s="1">
        <f>DATE(2012,5,23) + TIME(18,25,48)</f>
        <v>41052.767916666664</v>
      </c>
      <c r="C1167">
        <v>80</v>
      </c>
      <c r="D1167">
        <v>79.950164795000006</v>
      </c>
      <c r="E1167">
        <v>50</v>
      </c>
      <c r="F1167">
        <v>48.021083832000002</v>
      </c>
      <c r="G1167">
        <v>1388.2089844</v>
      </c>
      <c r="H1167">
        <v>1373.7689209</v>
      </c>
      <c r="I1167">
        <v>1286.2270507999999</v>
      </c>
      <c r="J1167">
        <v>1267.1019286999999</v>
      </c>
      <c r="K1167">
        <v>2400</v>
      </c>
      <c r="L1167">
        <v>0</v>
      </c>
      <c r="M1167">
        <v>0</v>
      </c>
      <c r="N1167">
        <v>2400</v>
      </c>
    </row>
    <row r="1168" spans="1:14" x14ac:dyDescent="0.25">
      <c r="A1168">
        <v>754.32006100000001</v>
      </c>
      <c r="B1168" s="1">
        <f>DATE(2012,5,24) + TIME(7,40,53)</f>
        <v>41053.320057870369</v>
      </c>
      <c r="C1168">
        <v>80</v>
      </c>
      <c r="D1168">
        <v>79.950149535999998</v>
      </c>
      <c r="E1168">
        <v>50</v>
      </c>
      <c r="F1168">
        <v>47.981224060000002</v>
      </c>
      <c r="G1168">
        <v>1388.1433105000001</v>
      </c>
      <c r="H1168">
        <v>1373.715332</v>
      </c>
      <c r="I1168">
        <v>1286.2106934000001</v>
      </c>
      <c r="J1168">
        <v>1267.0820312000001</v>
      </c>
      <c r="K1168">
        <v>2400</v>
      </c>
      <c r="L1168">
        <v>0</v>
      </c>
      <c r="M1168">
        <v>0</v>
      </c>
      <c r="N1168">
        <v>2400</v>
      </c>
    </row>
    <row r="1169" spans="1:14" x14ac:dyDescent="0.25">
      <c r="A1169">
        <v>754.88586999999995</v>
      </c>
      <c r="B1169" s="1">
        <f>DATE(2012,5,24) + TIME(21,15,39)</f>
        <v>41053.885868055557</v>
      </c>
      <c r="C1169">
        <v>80</v>
      </c>
      <c r="D1169">
        <v>79.950126647999994</v>
      </c>
      <c r="E1169">
        <v>50</v>
      </c>
      <c r="F1169">
        <v>47.940650939999998</v>
      </c>
      <c r="G1169">
        <v>1388.0773925999999</v>
      </c>
      <c r="H1169">
        <v>1373.661499</v>
      </c>
      <c r="I1169">
        <v>1286.1940918</v>
      </c>
      <c r="J1169">
        <v>1267.0616454999999</v>
      </c>
      <c r="K1169">
        <v>2400</v>
      </c>
      <c r="L1169">
        <v>0</v>
      </c>
      <c r="M1169">
        <v>0</v>
      </c>
      <c r="N1169">
        <v>2400</v>
      </c>
    </row>
    <row r="1170" spans="1:14" x14ac:dyDescent="0.25">
      <c r="A1170">
        <v>755.46722999999997</v>
      </c>
      <c r="B1170" s="1">
        <f>DATE(2012,5,25) + TIME(11,12,48)</f>
        <v>41054.467222222222</v>
      </c>
      <c r="C1170">
        <v>80</v>
      </c>
      <c r="D1170">
        <v>79.950111389</v>
      </c>
      <c r="E1170">
        <v>50</v>
      </c>
      <c r="F1170">
        <v>47.899257660000004</v>
      </c>
      <c r="G1170">
        <v>1388.0109863</v>
      </c>
      <c r="H1170">
        <v>1373.6074219</v>
      </c>
      <c r="I1170">
        <v>1286.1768798999999</v>
      </c>
      <c r="J1170">
        <v>1267.0406493999999</v>
      </c>
      <c r="K1170">
        <v>2400</v>
      </c>
      <c r="L1170">
        <v>0</v>
      </c>
      <c r="M1170">
        <v>0</v>
      </c>
      <c r="N1170">
        <v>2400</v>
      </c>
    </row>
    <row r="1171" spans="1:14" x14ac:dyDescent="0.25">
      <c r="A1171">
        <v>756.06642099999999</v>
      </c>
      <c r="B1171" s="1">
        <f>DATE(2012,5,26) + TIME(1,35,38)</f>
        <v>41055.066412037035</v>
      </c>
      <c r="C1171">
        <v>80</v>
      </c>
      <c r="D1171">
        <v>79.950096130000006</v>
      </c>
      <c r="E1171">
        <v>50</v>
      </c>
      <c r="F1171">
        <v>47.856910706000001</v>
      </c>
      <c r="G1171">
        <v>1387.9440918</v>
      </c>
      <c r="H1171">
        <v>1373.5528564000001</v>
      </c>
      <c r="I1171">
        <v>1286.1590576000001</v>
      </c>
      <c r="J1171">
        <v>1267.0189209</v>
      </c>
      <c r="K1171">
        <v>2400</v>
      </c>
      <c r="L1171">
        <v>0</v>
      </c>
      <c r="M1171">
        <v>0</v>
      </c>
      <c r="N1171">
        <v>2400</v>
      </c>
    </row>
    <row r="1172" spans="1:14" x14ac:dyDescent="0.25">
      <c r="A1172">
        <v>756.66891699999996</v>
      </c>
      <c r="B1172" s="1">
        <f>DATE(2012,5,26) + TIME(16,3,14)</f>
        <v>41055.668912037036</v>
      </c>
      <c r="C1172">
        <v>80</v>
      </c>
      <c r="D1172">
        <v>79.950080872000001</v>
      </c>
      <c r="E1172">
        <v>50</v>
      </c>
      <c r="F1172">
        <v>47.814167023000003</v>
      </c>
      <c r="G1172">
        <v>1387.8764647999999</v>
      </c>
      <c r="H1172">
        <v>1373.4975586</v>
      </c>
      <c r="I1172">
        <v>1286.140625</v>
      </c>
      <c r="J1172">
        <v>1266.9964600000001</v>
      </c>
      <c r="K1172">
        <v>2400</v>
      </c>
      <c r="L1172">
        <v>0</v>
      </c>
      <c r="M1172">
        <v>0</v>
      </c>
      <c r="N1172">
        <v>2400</v>
      </c>
    </row>
    <row r="1173" spans="1:14" x14ac:dyDescent="0.25">
      <c r="A1173">
        <v>757.27516800000001</v>
      </c>
      <c r="B1173" s="1">
        <f>DATE(2012,5,27) + TIME(6,36,14)</f>
        <v>41056.27516203704</v>
      </c>
      <c r="C1173">
        <v>80</v>
      </c>
      <c r="D1173">
        <v>79.950065613000007</v>
      </c>
      <c r="E1173">
        <v>50</v>
      </c>
      <c r="F1173">
        <v>47.771160125999998</v>
      </c>
      <c r="G1173">
        <v>1387.8095702999999</v>
      </c>
      <c r="H1173">
        <v>1373.4429932</v>
      </c>
      <c r="I1173">
        <v>1286.1218262</v>
      </c>
      <c r="J1173">
        <v>1266.9737548999999</v>
      </c>
      <c r="K1173">
        <v>2400</v>
      </c>
      <c r="L1173">
        <v>0</v>
      </c>
      <c r="M1173">
        <v>0</v>
      </c>
      <c r="N1173">
        <v>2400</v>
      </c>
    </row>
    <row r="1174" spans="1:14" x14ac:dyDescent="0.25">
      <c r="A1174">
        <v>757.88679500000001</v>
      </c>
      <c r="B1174" s="1">
        <f>DATE(2012,5,27) + TIME(21,16,59)</f>
        <v>41056.886793981481</v>
      </c>
      <c r="C1174">
        <v>80</v>
      </c>
      <c r="D1174">
        <v>79.950050353999998</v>
      </c>
      <c r="E1174">
        <v>50</v>
      </c>
      <c r="F1174">
        <v>47.727901459000002</v>
      </c>
      <c r="G1174">
        <v>1387.7435303</v>
      </c>
      <c r="H1174">
        <v>1373.3890381000001</v>
      </c>
      <c r="I1174">
        <v>1286.1030272999999</v>
      </c>
      <c r="J1174">
        <v>1266.9506836</v>
      </c>
      <c r="K1174">
        <v>2400</v>
      </c>
      <c r="L1174">
        <v>0</v>
      </c>
      <c r="M1174">
        <v>0</v>
      </c>
      <c r="N1174">
        <v>2400</v>
      </c>
    </row>
    <row r="1175" spans="1:14" x14ac:dyDescent="0.25">
      <c r="A1175">
        <v>758.50542199999995</v>
      </c>
      <c r="B1175" s="1">
        <f>DATE(2012,5,28) + TIME(12,7,48)</f>
        <v>41057.505416666667</v>
      </c>
      <c r="C1175">
        <v>80</v>
      </c>
      <c r="D1175">
        <v>79.950035095000004</v>
      </c>
      <c r="E1175">
        <v>50</v>
      </c>
      <c r="F1175">
        <v>47.684349060000002</v>
      </c>
      <c r="G1175">
        <v>1387.6779785000001</v>
      </c>
      <c r="H1175">
        <v>1373.3355713000001</v>
      </c>
      <c r="I1175">
        <v>1286.0838623</v>
      </c>
      <c r="J1175">
        <v>1266.9272461</v>
      </c>
      <c r="K1175">
        <v>2400</v>
      </c>
      <c r="L1175">
        <v>0</v>
      </c>
      <c r="M1175">
        <v>0</v>
      </c>
      <c r="N1175">
        <v>2400</v>
      </c>
    </row>
    <row r="1176" spans="1:14" x14ac:dyDescent="0.25">
      <c r="A1176">
        <v>759.13271699999996</v>
      </c>
      <c r="B1176" s="1">
        <f>DATE(2012,5,29) + TIME(3,11,6)</f>
        <v>41058.132708333331</v>
      </c>
      <c r="C1176">
        <v>80</v>
      </c>
      <c r="D1176">
        <v>79.950019835999996</v>
      </c>
      <c r="E1176">
        <v>50</v>
      </c>
      <c r="F1176">
        <v>47.640441895000002</v>
      </c>
      <c r="G1176">
        <v>1387.6129149999999</v>
      </c>
      <c r="H1176">
        <v>1373.2823486</v>
      </c>
      <c r="I1176">
        <v>1286.0643310999999</v>
      </c>
      <c r="J1176">
        <v>1266.9033202999999</v>
      </c>
      <c r="K1176">
        <v>2400</v>
      </c>
      <c r="L1176">
        <v>0</v>
      </c>
      <c r="M1176">
        <v>0</v>
      </c>
      <c r="N1176">
        <v>2400</v>
      </c>
    </row>
    <row r="1177" spans="1:14" x14ac:dyDescent="0.25">
      <c r="A1177">
        <v>759.77041799999995</v>
      </c>
      <c r="B1177" s="1">
        <f>DATE(2012,5,29) + TIME(18,29,24)</f>
        <v>41058.770416666666</v>
      </c>
      <c r="C1177">
        <v>80</v>
      </c>
      <c r="D1177">
        <v>79.950012207</v>
      </c>
      <c r="E1177">
        <v>50</v>
      </c>
      <c r="F1177">
        <v>47.596084595000001</v>
      </c>
      <c r="G1177">
        <v>1387.5480957</v>
      </c>
      <c r="H1177">
        <v>1373.2293701000001</v>
      </c>
      <c r="I1177">
        <v>1286.0444336</v>
      </c>
      <c r="J1177">
        <v>1266.8789062000001</v>
      </c>
      <c r="K1177">
        <v>2400</v>
      </c>
      <c r="L1177">
        <v>0</v>
      </c>
      <c r="M1177">
        <v>0</v>
      </c>
      <c r="N1177">
        <v>2400</v>
      </c>
    </row>
    <row r="1178" spans="1:14" x14ac:dyDescent="0.25">
      <c r="A1178">
        <v>760.42036399999995</v>
      </c>
      <c r="B1178" s="1">
        <f>DATE(2012,5,30) + TIME(10,5,19)</f>
        <v>41059.420358796298</v>
      </c>
      <c r="C1178">
        <v>80</v>
      </c>
      <c r="D1178">
        <v>79.949996948000006</v>
      </c>
      <c r="E1178">
        <v>50</v>
      </c>
      <c r="F1178">
        <v>47.551177979000002</v>
      </c>
      <c r="G1178">
        <v>1387.4833983999999</v>
      </c>
      <c r="H1178">
        <v>1373.1763916</v>
      </c>
      <c r="I1178">
        <v>1286.0240478999999</v>
      </c>
      <c r="J1178">
        <v>1266.8540039</v>
      </c>
      <c r="K1178">
        <v>2400</v>
      </c>
      <c r="L1178">
        <v>0</v>
      </c>
      <c r="M1178">
        <v>0</v>
      </c>
      <c r="N1178">
        <v>2400</v>
      </c>
    </row>
    <row r="1179" spans="1:14" x14ac:dyDescent="0.25">
      <c r="A1179">
        <v>761.08450700000003</v>
      </c>
      <c r="B1179" s="1">
        <f>DATE(2012,5,31) + TIME(2,1,41)</f>
        <v>41060.084502314814</v>
      </c>
      <c r="C1179">
        <v>80</v>
      </c>
      <c r="D1179">
        <v>79.949981688999998</v>
      </c>
      <c r="E1179">
        <v>50</v>
      </c>
      <c r="F1179">
        <v>47.505599975999999</v>
      </c>
      <c r="G1179">
        <v>1387.418457</v>
      </c>
      <c r="H1179">
        <v>1373.1232910000001</v>
      </c>
      <c r="I1179">
        <v>1286.0031738</v>
      </c>
      <c r="J1179">
        <v>1266.8283690999999</v>
      </c>
      <c r="K1179">
        <v>2400</v>
      </c>
      <c r="L1179">
        <v>0</v>
      </c>
      <c r="M1179">
        <v>0</v>
      </c>
      <c r="N1179">
        <v>2400</v>
      </c>
    </row>
    <row r="1180" spans="1:14" x14ac:dyDescent="0.25">
      <c r="A1180">
        <v>761.763239</v>
      </c>
      <c r="B1180" s="1">
        <f>DATE(2012,5,31) + TIME(18,19,3)</f>
        <v>41060.763229166667</v>
      </c>
      <c r="C1180">
        <v>80</v>
      </c>
      <c r="D1180">
        <v>79.949974060000002</v>
      </c>
      <c r="E1180">
        <v>50</v>
      </c>
      <c r="F1180">
        <v>47.459300995</v>
      </c>
      <c r="G1180">
        <v>1387.3532714999999</v>
      </c>
      <c r="H1180">
        <v>1373.0699463000001</v>
      </c>
      <c r="I1180">
        <v>1285.9815673999999</v>
      </c>
      <c r="J1180">
        <v>1266.8018798999999</v>
      </c>
      <c r="K1180">
        <v>2400</v>
      </c>
      <c r="L1180">
        <v>0</v>
      </c>
      <c r="M1180">
        <v>0</v>
      </c>
      <c r="N1180">
        <v>2400</v>
      </c>
    </row>
    <row r="1181" spans="1:14" x14ac:dyDescent="0.25">
      <c r="A1181">
        <v>762</v>
      </c>
      <c r="B1181" s="1">
        <f>DATE(2012,6,1) + TIME(0,0,0)</f>
        <v>41061</v>
      </c>
      <c r="C1181">
        <v>80</v>
      </c>
      <c r="D1181">
        <v>79.949958800999994</v>
      </c>
      <c r="E1181">
        <v>50</v>
      </c>
      <c r="F1181">
        <v>47.436622620000001</v>
      </c>
      <c r="G1181">
        <v>1387.2879639</v>
      </c>
      <c r="H1181">
        <v>1373.0164795000001</v>
      </c>
      <c r="I1181">
        <v>1285.9570312000001</v>
      </c>
      <c r="J1181">
        <v>1266.7770995999999</v>
      </c>
      <c r="K1181">
        <v>2400</v>
      </c>
      <c r="L1181">
        <v>0</v>
      </c>
      <c r="M1181">
        <v>0</v>
      </c>
      <c r="N1181">
        <v>2400</v>
      </c>
    </row>
    <row r="1182" spans="1:14" x14ac:dyDescent="0.25">
      <c r="A1182">
        <v>762.68940299999997</v>
      </c>
      <c r="B1182" s="1">
        <f>DATE(2012,6,1) + TIME(16,32,44)</f>
        <v>41061.689398148148</v>
      </c>
      <c r="C1182">
        <v>80</v>
      </c>
      <c r="D1182">
        <v>79.949958800999994</v>
      </c>
      <c r="E1182">
        <v>50</v>
      </c>
      <c r="F1182">
        <v>47.392547606999997</v>
      </c>
      <c r="G1182">
        <v>1387.2648925999999</v>
      </c>
      <c r="H1182">
        <v>1372.9974365</v>
      </c>
      <c r="I1182">
        <v>1285.9517822</v>
      </c>
      <c r="J1182">
        <v>1266.7645264</v>
      </c>
      <c r="K1182">
        <v>2400</v>
      </c>
      <c r="L1182">
        <v>0</v>
      </c>
      <c r="M1182">
        <v>0</v>
      </c>
      <c r="N1182">
        <v>2400</v>
      </c>
    </row>
    <row r="1183" spans="1:14" x14ac:dyDescent="0.25">
      <c r="A1183">
        <v>763.39637800000003</v>
      </c>
      <c r="B1183" s="1">
        <f>DATE(2012,6,2) + TIME(9,30,47)</f>
        <v>41062.396377314813</v>
      </c>
      <c r="C1183">
        <v>80</v>
      </c>
      <c r="D1183">
        <v>79.949951171999999</v>
      </c>
      <c r="E1183">
        <v>50</v>
      </c>
      <c r="F1183">
        <v>47.346443176000001</v>
      </c>
      <c r="G1183">
        <v>1387.2000731999999</v>
      </c>
      <c r="H1183">
        <v>1372.9444579999999</v>
      </c>
      <c r="I1183">
        <v>1285.9290771000001</v>
      </c>
      <c r="J1183">
        <v>1266.7368164</v>
      </c>
      <c r="K1183">
        <v>2400</v>
      </c>
      <c r="L1183">
        <v>0</v>
      </c>
      <c r="M1183">
        <v>0</v>
      </c>
      <c r="N1183">
        <v>2400</v>
      </c>
    </row>
    <row r="1184" spans="1:14" x14ac:dyDescent="0.25">
      <c r="A1184">
        <v>764.118652</v>
      </c>
      <c r="B1184" s="1">
        <f>DATE(2012,6,3) + TIME(2,50,51)</f>
        <v>41063.118645833332</v>
      </c>
      <c r="C1184">
        <v>80</v>
      </c>
      <c r="D1184">
        <v>79.949935913000004</v>
      </c>
      <c r="E1184">
        <v>50</v>
      </c>
      <c r="F1184">
        <v>47.298835754000002</v>
      </c>
      <c r="G1184">
        <v>1387.1345214999999</v>
      </c>
      <c r="H1184">
        <v>1372.890625</v>
      </c>
      <c r="I1184">
        <v>1285.9055175999999</v>
      </c>
      <c r="J1184">
        <v>1266.7080077999999</v>
      </c>
      <c r="K1184">
        <v>2400</v>
      </c>
      <c r="L1184">
        <v>0</v>
      </c>
      <c r="M1184">
        <v>0</v>
      </c>
      <c r="N1184">
        <v>2400</v>
      </c>
    </row>
    <row r="1185" spans="1:14" x14ac:dyDescent="0.25">
      <c r="A1185">
        <v>764.85856799999999</v>
      </c>
      <c r="B1185" s="1">
        <f>DATE(2012,6,3) + TIME(20,36,20)</f>
        <v>41063.858564814815</v>
      </c>
      <c r="C1185">
        <v>80</v>
      </c>
      <c r="D1185">
        <v>79.949928283999995</v>
      </c>
      <c r="E1185">
        <v>50</v>
      </c>
      <c r="F1185">
        <v>47.249935149999999</v>
      </c>
      <c r="G1185">
        <v>1387.0686035000001</v>
      </c>
      <c r="H1185">
        <v>1372.8366699000001</v>
      </c>
      <c r="I1185">
        <v>1285.8812256000001</v>
      </c>
      <c r="J1185">
        <v>1266.6782227000001</v>
      </c>
      <c r="K1185">
        <v>2400</v>
      </c>
      <c r="L1185">
        <v>0</v>
      </c>
      <c r="M1185">
        <v>0</v>
      </c>
      <c r="N1185">
        <v>2400</v>
      </c>
    </row>
    <row r="1186" spans="1:14" x14ac:dyDescent="0.25">
      <c r="A1186">
        <v>765.607034</v>
      </c>
      <c r="B1186" s="1">
        <f>DATE(2012,6,4) + TIME(14,34,7)</f>
        <v>41064.607025462959</v>
      </c>
      <c r="C1186">
        <v>80</v>
      </c>
      <c r="D1186">
        <v>79.949920653999996</v>
      </c>
      <c r="E1186">
        <v>50</v>
      </c>
      <c r="F1186">
        <v>47.200206756999997</v>
      </c>
      <c r="G1186">
        <v>1387.0023193</v>
      </c>
      <c r="H1186">
        <v>1372.7821045000001</v>
      </c>
      <c r="I1186">
        <v>1285.8560791</v>
      </c>
      <c r="J1186">
        <v>1266.6473389</v>
      </c>
      <c r="K1186">
        <v>2400</v>
      </c>
      <c r="L1186">
        <v>0</v>
      </c>
      <c r="M1186">
        <v>0</v>
      </c>
      <c r="N1186">
        <v>2400</v>
      </c>
    </row>
    <row r="1187" spans="1:14" x14ac:dyDescent="0.25">
      <c r="A1187">
        <v>766.35794099999998</v>
      </c>
      <c r="B1187" s="1">
        <f>DATE(2012,6,5) + TIME(8,35,26)</f>
        <v>41065.357939814814</v>
      </c>
      <c r="C1187">
        <v>80</v>
      </c>
      <c r="D1187">
        <v>79.949913025000001</v>
      </c>
      <c r="E1187">
        <v>50</v>
      </c>
      <c r="F1187">
        <v>47.150074005</v>
      </c>
      <c r="G1187">
        <v>1386.9361572</v>
      </c>
      <c r="H1187">
        <v>1372.7279053</v>
      </c>
      <c r="I1187">
        <v>1285.8303223</v>
      </c>
      <c r="J1187">
        <v>1266.6157227000001</v>
      </c>
      <c r="K1187">
        <v>2400</v>
      </c>
      <c r="L1187">
        <v>0</v>
      </c>
      <c r="M1187">
        <v>0</v>
      </c>
      <c r="N1187">
        <v>2400</v>
      </c>
    </row>
    <row r="1188" spans="1:14" x14ac:dyDescent="0.25">
      <c r="A1188">
        <v>767.11310800000001</v>
      </c>
      <c r="B1188" s="1">
        <f>DATE(2012,6,6) + TIME(2,42,52)</f>
        <v>41066.11310185185</v>
      </c>
      <c r="C1188">
        <v>80</v>
      </c>
      <c r="D1188">
        <v>79.949905396000005</v>
      </c>
      <c r="E1188">
        <v>50</v>
      </c>
      <c r="F1188">
        <v>47.099674225000001</v>
      </c>
      <c r="G1188">
        <v>1386.8710937999999</v>
      </c>
      <c r="H1188">
        <v>1372.6743164</v>
      </c>
      <c r="I1188">
        <v>1285.8044434000001</v>
      </c>
      <c r="J1188">
        <v>1266.5836182</v>
      </c>
      <c r="K1188">
        <v>2400</v>
      </c>
      <c r="L1188">
        <v>0</v>
      </c>
      <c r="M1188">
        <v>0</v>
      </c>
      <c r="N1188">
        <v>2400</v>
      </c>
    </row>
    <row r="1189" spans="1:14" x14ac:dyDescent="0.25">
      <c r="A1189">
        <v>767.87446299999999</v>
      </c>
      <c r="B1189" s="1">
        <f>DATE(2012,6,6) + TIME(20,59,13)</f>
        <v>41066.874456018515</v>
      </c>
      <c r="C1189">
        <v>80</v>
      </c>
      <c r="D1189">
        <v>79.949897766000007</v>
      </c>
      <c r="E1189">
        <v>50</v>
      </c>
      <c r="F1189">
        <v>47.049022675000003</v>
      </c>
      <c r="G1189">
        <v>1386.8065185999999</v>
      </c>
      <c r="H1189">
        <v>1372.6213379000001</v>
      </c>
      <c r="I1189">
        <v>1285.7780762</v>
      </c>
      <c r="J1189">
        <v>1266.5509033000001</v>
      </c>
      <c r="K1189">
        <v>2400</v>
      </c>
      <c r="L1189">
        <v>0</v>
      </c>
      <c r="M1189">
        <v>0</v>
      </c>
      <c r="N1189">
        <v>2400</v>
      </c>
    </row>
    <row r="1190" spans="1:14" x14ac:dyDescent="0.25">
      <c r="A1190">
        <v>768.643958</v>
      </c>
      <c r="B1190" s="1">
        <f>DATE(2012,6,7) + TIME(15,27,17)</f>
        <v>41067.643946759257</v>
      </c>
      <c r="C1190">
        <v>80</v>
      </c>
      <c r="D1190">
        <v>79.949890136999997</v>
      </c>
      <c r="E1190">
        <v>50</v>
      </c>
      <c r="F1190">
        <v>46.998054504000002</v>
      </c>
      <c r="G1190">
        <v>1386.7425536999999</v>
      </c>
      <c r="H1190">
        <v>1372.5686035000001</v>
      </c>
      <c r="I1190">
        <v>1285.7512207</v>
      </c>
      <c r="J1190">
        <v>1266.5175781</v>
      </c>
      <c r="K1190">
        <v>2400</v>
      </c>
      <c r="L1190">
        <v>0</v>
      </c>
      <c r="M1190">
        <v>0</v>
      </c>
      <c r="N1190">
        <v>2400</v>
      </c>
    </row>
    <row r="1191" spans="1:14" x14ac:dyDescent="0.25">
      <c r="A1191">
        <v>769.423587</v>
      </c>
      <c r="B1191" s="1">
        <f>DATE(2012,6,8) + TIME(10,9,57)</f>
        <v>41068.423576388886</v>
      </c>
      <c r="C1191">
        <v>80</v>
      </c>
      <c r="D1191">
        <v>79.949890136999997</v>
      </c>
      <c r="E1191">
        <v>50</v>
      </c>
      <c r="F1191">
        <v>46.946689606</v>
      </c>
      <c r="G1191">
        <v>1386.6788329999999</v>
      </c>
      <c r="H1191">
        <v>1372.5162353999999</v>
      </c>
      <c r="I1191">
        <v>1285.7237548999999</v>
      </c>
      <c r="J1191">
        <v>1266.4833983999999</v>
      </c>
      <c r="K1191">
        <v>2400</v>
      </c>
      <c r="L1191">
        <v>0</v>
      </c>
      <c r="M1191">
        <v>0</v>
      </c>
      <c r="N1191">
        <v>2400</v>
      </c>
    </row>
    <row r="1192" spans="1:14" x14ac:dyDescent="0.25">
      <c r="A1192">
        <v>770.21543199999996</v>
      </c>
      <c r="B1192" s="1">
        <f>DATE(2012,6,9) + TIME(5,10,13)</f>
        <v>41069.215428240743</v>
      </c>
      <c r="C1192">
        <v>80</v>
      </c>
      <c r="D1192">
        <v>79.949882506999998</v>
      </c>
      <c r="E1192">
        <v>50</v>
      </c>
      <c r="F1192">
        <v>46.894805908000002</v>
      </c>
      <c r="G1192">
        <v>1386.6153564000001</v>
      </c>
      <c r="H1192">
        <v>1372.4639893000001</v>
      </c>
      <c r="I1192">
        <v>1285.6958007999999</v>
      </c>
      <c r="J1192">
        <v>1266.4483643000001</v>
      </c>
      <c r="K1192">
        <v>2400</v>
      </c>
      <c r="L1192">
        <v>0</v>
      </c>
      <c r="M1192">
        <v>0</v>
      </c>
      <c r="N1192">
        <v>2400</v>
      </c>
    </row>
    <row r="1193" spans="1:14" x14ac:dyDescent="0.25">
      <c r="A1193">
        <v>771.02169100000003</v>
      </c>
      <c r="B1193" s="1">
        <f>DATE(2012,6,10) + TIME(0,31,14)</f>
        <v>41070.021689814814</v>
      </c>
      <c r="C1193">
        <v>80</v>
      </c>
      <c r="D1193">
        <v>79.949882506999998</v>
      </c>
      <c r="E1193">
        <v>50</v>
      </c>
      <c r="F1193">
        <v>46.842273712000001</v>
      </c>
      <c r="G1193">
        <v>1386.5518798999999</v>
      </c>
      <c r="H1193">
        <v>1372.4116211</v>
      </c>
      <c r="I1193">
        <v>1285.6669922000001</v>
      </c>
      <c r="J1193">
        <v>1266.4123535000001</v>
      </c>
      <c r="K1193">
        <v>2400</v>
      </c>
      <c r="L1193">
        <v>0</v>
      </c>
      <c r="M1193">
        <v>0</v>
      </c>
      <c r="N1193">
        <v>2400</v>
      </c>
    </row>
    <row r="1194" spans="1:14" x14ac:dyDescent="0.25">
      <c r="A1194">
        <v>771.84470799999997</v>
      </c>
      <c r="B1194" s="1">
        <f>DATE(2012,6,10) + TIME(20,16,22)</f>
        <v>41070.844699074078</v>
      </c>
      <c r="C1194">
        <v>80</v>
      </c>
      <c r="D1194">
        <v>79.949874878000003</v>
      </c>
      <c r="E1194">
        <v>50</v>
      </c>
      <c r="F1194">
        <v>46.788959503000001</v>
      </c>
      <c r="G1194">
        <v>1386.4882812000001</v>
      </c>
      <c r="H1194">
        <v>1372.3591309000001</v>
      </c>
      <c r="I1194">
        <v>1285.6373291</v>
      </c>
      <c r="J1194">
        <v>1266.3752440999999</v>
      </c>
      <c r="K1194">
        <v>2400</v>
      </c>
      <c r="L1194">
        <v>0</v>
      </c>
      <c r="M1194">
        <v>0</v>
      </c>
      <c r="N1194">
        <v>2400</v>
      </c>
    </row>
    <row r="1195" spans="1:14" x14ac:dyDescent="0.25">
      <c r="A1195">
        <v>772.68703900000003</v>
      </c>
      <c r="B1195" s="1">
        <f>DATE(2012,6,11) + TIME(16,29,20)</f>
        <v>41071.687037037038</v>
      </c>
      <c r="C1195">
        <v>80</v>
      </c>
      <c r="D1195">
        <v>79.949874878000003</v>
      </c>
      <c r="E1195">
        <v>50</v>
      </c>
      <c r="F1195">
        <v>46.734703064000001</v>
      </c>
      <c r="G1195">
        <v>1386.4243164</v>
      </c>
      <c r="H1195">
        <v>1372.3062743999999</v>
      </c>
      <c r="I1195">
        <v>1285.6066894999999</v>
      </c>
      <c r="J1195">
        <v>1266.3367920000001</v>
      </c>
      <c r="K1195">
        <v>2400</v>
      </c>
      <c r="L1195">
        <v>0</v>
      </c>
      <c r="M1195">
        <v>0</v>
      </c>
      <c r="N1195">
        <v>2400</v>
      </c>
    </row>
    <row r="1196" spans="1:14" x14ac:dyDescent="0.25">
      <c r="A1196">
        <v>773.55174799999998</v>
      </c>
      <c r="B1196" s="1">
        <f>DATE(2012,6,12) + TIME(13,14,31)</f>
        <v>41072.551747685182</v>
      </c>
      <c r="C1196">
        <v>80</v>
      </c>
      <c r="D1196">
        <v>79.949874878000003</v>
      </c>
      <c r="E1196">
        <v>50</v>
      </c>
      <c r="F1196">
        <v>46.679328918000003</v>
      </c>
      <c r="G1196">
        <v>1386.3597411999999</v>
      </c>
      <c r="H1196">
        <v>1372.2530518000001</v>
      </c>
      <c r="I1196">
        <v>1285.5749512</v>
      </c>
      <c r="J1196">
        <v>1266.296875</v>
      </c>
      <c r="K1196">
        <v>2400</v>
      </c>
      <c r="L1196">
        <v>0</v>
      </c>
      <c r="M1196">
        <v>0</v>
      </c>
      <c r="N1196">
        <v>2400</v>
      </c>
    </row>
    <row r="1197" spans="1:14" x14ac:dyDescent="0.25">
      <c r="A1197">
        <v>774.43942000000004</v>
      </c>
      <c r="B1197" s="1">
        <f>DATE(2012,6,13) + TIME(10,32,45)</f>
        <v>41073.439409722225</v>
      </c>
      <c r="C1197">
        <v>80</v>
      </c>
      <c r="D1197">
        <v>79.949867248999993</v>
      </c>
      <c r="E1197">
        <v>50</v>
      </c>
      <c r="F1197">
        <v>46.62273407</v>
      </c>
      <c r="G1197">
        <v>1386.2946777</v>
      </c>
      <c r="H1197">
        <v>1372.1990966999999</v>
      </c>
      <c r="I1197">
        <v>1285.5418701000001</v>
      </c>
      <c r="J1197">
        <v>1266.255249</v>
      </c>
      <c r="K1197">
        <v>2400</v>
      </c>
      <c r="L1197">
        <v>0</v>
      </c>
      <c r="M1197">
        <v>0</v>
      </c>
      <c r="N1197">
        <v>2400</v>
      </c>
    </row>
    <row r="1198" spans="1:14" x14ac:dyDescent="0.25">
      <c r="A1198">
        <v>775.33083399999998</v>
      </c>
      <c r="B1198" s="1">
        <f>DATE(2012,6,14) + TIME(7,56,24)</f>
        <v>41074.330833333333</v>
      </c>
      <c r="C1198">
        <v>80</v>
      </c>
      <c r="D1198">
        <v>79.949867248999993</v>
      </c>
      <c r="E1198">
        <v>50</v>
      </c>
      <c r="F1198">
        <v>46.565460205000001</v>
      </c>
      <c r="G1198">
        <v>1386.2287598</v>
      </c>
      <c r="H1198">
        <v>1372.1446533000001</v>
      </c>
      <c r="I1198">
        <v>1285.5075684000001</v>
      </c>
      <c r="J1198">
        <v>1266.2120361</v>
      </c>
      <c r="K1198">
        <v>2400</v>
      </c>
      <c r="L1198">
        <v>0</v>
      </c>
      <c r="M1198">
        <v>0</v>
      </c>
      <c r="N1198">
        <v>2400</v>
      </c>
    </row>
    <row r="1199" spans="1:14" x14ac:dyDescent="0.25">
      <c r="A1199">
        <v>776.22395600000004</v>
      </c>
      <c r="B1199" s="1">
        <f>DATE(2012,6,15) + TIME(5,22,29)</f>
        <v>41075.223946759259</v>
      </c>
      <c r="C1199">
        <v>80</v>
      </c>
      <c r="D1199">
        <v>79.949867248999993</v>
      </c>
      <c r="E1199">
        <v>50</v>
      </c>
      <c r="F1199">
        <v>46.507862091</v>
      </c>
      <c r="G1199">
        <v>1386.1635742000001</v>
      </c>
      <c r="H1199">
        <v>1372.0906981999999</v>
      </c>
      <c r="I1199">
        <v>1285.4725341999999</v>
      </c>
      <c r="J1199">
        <v>1266.1677245999999</v>
      </c>
      <c r="K1199">
        <v>2400</v>
      </c>
      <c r="L1199">
        <v>0</v>
      </c>
      <c r="M1199">
        <v>0</v>
      </c>
      <c r="N1199">
        <v>2400</v>
      </c>
    </row>
    <row r="1200" spans="1:14" x14ac:dyDescent="0.25">
      <c r="A1200">
        <v>777.12080500000002</v>
      </c>
      <c r="B1200" s="1">
        <f>DATE(2012,6,16) + TIME(2,53,57)</f>
        <v>41076.120798611111</v>
      </c>
      <c r="C1200">
        <v>80</v>
      </c>
      <c r="D1200">
        <v>79.949867248999993</v>
      </c>
      <c r="E1200">
        <v>50</v>
      </c>
      <c r="F1200">
        <v>46.450035094999997</v>
      </c>
      <c r="G1200">
        <v>1386.0992432</v>
      </c>
      <c r="H1200">
        <v>1372.0374756000001</v>
      </c>
      <c r="I1200">
        <v>1285.4371338000001</v>
      </c>
      <c r="J1200">
        <v>1266.1226807</v>
      </c>
      <c r="K1200">
        <v>2400</v>
      </c>
      <c r="L1200">
        <v>0</v>
      </c>
      <c r="M1200">
        <v>0</v>
      </c>
      <c r="N1200">
        <v>2400</v>
      </c>
    </row>
    <row r="1201" spans="1:14" x14ac:dyDescent="0.25">
      <c r="A1201">
        <v>778.02364599999999</v>
      </c>
      <c r="B1201" s="1">
        <f>DATE(2012,6,17) + TIME(0,34,3)</f>
        <v>41077.023645833331</v>
      </c>
      <c r="C1201">
        <v>80</v>
      </c>
      <c r="D1201">
        <v>79.949867248999993</v>
      </c>
      <c r="E1201">
        <v>50</v>
      </c>
      <c r="F1201">
        <v>46.391956329000003</v>
      </c>
      <c r="G1201">
        <v>1386.0357666</v>
      </c>
      <c r="H1201">
        <v>1371.9846190999999</v>
      </c>
      <c r="I1201">
        <v>1285.4008789</v>
      </c>
      <c r="J1201">
        <v>1266.0766602000001</v>
      </c>
      <c r="K1201">
        <v>2400</v>
      </c>
      <c r="L1201">
        <v>0</v>
      </c>
      <c r="M1201">
        <v>0</v>
      </c>
      <c r="N1201">
        <v>2400</v>
      </c>
    </row>
    <row r="1202" spans="1:14" x14ac:dyDescent="0.25">
      <c r="A1202">
        <v>778.93478000000005</v>
      </c>
      <c r="B1202" s="1">
        <f>DATE(2012,6,17) + TIME(22,26,4)</f>
        <v>41077.93476851852</v>
      </c>
      <c r="C1202">
        <v>80</v>
      </c>
      <c r="D1202">
        <v>79.949874878000003</v>
      </c>
      <c r="E1202">
        <v>50</v>
      </c>
      <c r="F1202">
        <v>46.333526611000003</v>
      </c>
      <c r="G1202">
        <v>1385.9726562000001</v>
      </c>
      <c r="H1202">
        <v>1371.9323730000001</v>
      </c>
      <c r="I1202">
        <v>1285.3640137</v>
      </c>
      <c r="J1202">
        <v>1266.0295410000001</v>
      </c>
      <c r="K1202">
        <v>2400</v>
      </c>
      <c r="L1202">
        <v>0</v>
      </c>
      <c r="M1202">
        <v>0</v>
      </c>
      <c r="N1202">
        <v>2400</v>
      </c>
    </row>
    <row r="1203" spans="1:14" x14ac:dyDescent="0.25">
      <c r="A1203">
        <v>779.85655599999996</v>
      </c>
      <c r="B1203" s="1">
        <f>DATE(2012,6,18) + TIME(20,33,26)</f>
        <v>41078.856550925928</v>
      </c>
      <c r="C1203">
        <v>80</v>
      </c>
      <c r="D1203">
        <v>79.949874878000003</v>
      </c>
      <c r="E1203">
        <v>50</v>
      </c>
      <c r="F1203">
        <v>46.274612427000001</v>
      </c>
      <c r="G1203">
        <v>1385.9099120999999</v>
      </c>
      <c r="H1203">
        <v>1371.880249</v>
      </c>
      <c r="I1203">
        <v>1285.3262939000001</v>
      </c>
      <c r="J1203">
        <v>1265.9810791</v>
      </c>
      <c r="K1203">
        <v>2400</v>
      </c>
      <c r="L1203">
        <v>0</v>
      </c>
      <c r="M1203">
        <v>0</v>
      </c>
      <c r="N1203">
        <v>2400</v>
      </c>
    </row>
    <row r="1204" spans="1:14" x14ac:dyDescent="0.25">
      <c r="A1204">
        <v>780.79139699999996</v>
      </c>
      <c r="B1204" s="1">
        <f>DATE(2012,6,19) + TIME(18,59,36)</f>
        <v>41079.791388888887</v>
      </c>
      <c r="C1204">
        <v>80</v>
      </c>
      <c r="D1204">
        <v>79.949874878000003</v>
      </c>
      <c r="E1204">
        <v>50</v>
      </c>
      <c r="F1204">
        <v>46.215072632000002</v>
      </c>
      <c r="G1204">
        <v>1385.8474120999999</v>
      </c>
      <c r="H1204">
        <v>1371.8282471</v>
      </c>
      <c r="I1204">
        <v>1285.2875977000001</v>
      </c>
      <c r="J1204">
        <v>1265.9312743999999</v>
      </c>
      <c r="K1204">
        <v>2400</v>
      </c>
      <c r="L1204">
        <v>0</v>
      </c>
      <c r="M1204">
        <v>0</v>
      </c>
      <c r="N1204">
        <v>2400</v>
      </c>
    </row>
    <row r="1205" spans="1:14" x14ac:dyDescent="0.25">
      <c r="A1205">
        <v>781.74184700000001</v>
      </c>
      <c r="B1205" s="1">
        <f>DATE(2012,6,20) + TIME(17,48,15)</f>
        <v>41080.741840277777</v>
      </c>
      <c r="C1205">
        <v>80</v>
      </c>
      <c r="D1205">
        <v>79.949882506999998</v>
      </c>
      <c r="E1205">
        <v>50</v>
      </c>
      <c r="F1205">
        <v>46.154739380000002</v>
      </c>
      <c r="G1205">
        <v>1385.7847899999999</v>
      </c>
      <c r="H1205">
        <v>1371.7762451000001</v>
      </c>
      <c r="I1205">
        <v>1285.2476807</v>
      </c>
      <c r="J1205">
        <v>1265.8797606999999</v>
      </c>
      <c r="K1205">
        <v>2400</v>
      </c>
      <c r="L1205">
        <v>0</v>
      </c>
      <c r="M1205">
        <v>0</v>
      </c>
      <c r="N1205">
        <v>2400</v>
      </c>
    </row>
    <row r="1206" spans="1:14" x14ac:dyDescent="0.25">
      <c r="A1206">
        <v>782.71062199999994</v>
      </c>
      <c r="B1206" s="1">
        <f>DATE(2012,6,21) + TIME(17,3,17)</f>
        <v>41081.710613425923</v>
      </c>
      <c r="C1206">
        <v>80</v>
      </c>
      <c r="D1206">
        <v>79.949882506999998</v>
      </c>
      <c r="E1206">
        <v>50</v>
      </c>
      <c r="F1206">
        <v>46.093437195</v>
      </c>
      <c r="G1206">
        <v>1385.722168</v>
      </c>
      <c r="H1206">
        <v>1371.723999</v>
      </c>
      <c r="I1206">
        <v>1285.206543</v>
      </c>
      <c r="J1206">
        <v>1265.8265381000001</v>
      </c>
      <c r="K1206">
        <v>2400</v>
      </c>
      <c r="L1206">
        <v>0</v>
      </c>
      <c r="M1206">
        <v>0</v>
      </c>
      <c r="N1206">
        <v>2400</v>
      </c>
    </row>
    <row r="1207" spans="1:14" x14ac:dyDescent="0.25">
      <c r="A1207">
        <v>783.70065599999998</v>
      </c>
      <c r="B1207" s="1">
        <f>DATE(2012,6,22) + TIME(16,48,56)</f>
        <v>41082.700648148151</v>
      </c>
      <c r="C1207">
        <v>80</v>
      </c>
      <c r="D1207">
        <v>79.949890136999997</v>
      </c>
      <c r="E1207">
        <v>50</v>
      </c>
      <c r="F1207">
        <v>46.030975341999998</v>
      </c>
      <c r="G1207">
        <v>1385.6591797000001</v>
      </c>
      <c r="H1207">
        <v>1371.6715088000001</v>
      </c>
      <c r="I1207">
        <v>1285.1639404</v>
      </c>
      <c r="J1207">
        <v>1265.7712402</v>
      </c>
      <c r="K1207">
        <v>2400</v>
      </c>
      <c r="L1207">
        <v>0</v>
      </c>
      <c r="M1207">
        <v>0</v>
      </c>
      <c r="N1207">
        <v>2400</v>
      </c>
    </row>
    <row r="1208" spans="1:14" x14ac:dyDescent="0.25">
      <c r="A1208">
        <v>784.71514300000001</v>
      </c>
      <c r="B1208" s="1">
        <f>DATE(2012,6,23) + TIME(17,9,48)</f>
        <v>41083.715138888889</v>
      </c>
      <c r="C1208">
        <v>80</v>
      </c>
      <c r="D1208">
        <v>79.949897766000007</v>
      </c>
      <c r="E1208">
        <v>50</v>
      </c>
      <c r="F1208">
        <v>45.967147826999998</v>
      </c>
      <c r="G1208">
        <v>1385.5957031</v>
      </c>
      <c r="H1208">
        <v>1371.6186522999999</v>
      </c>
      <c r="I1208">
        <v>1285.119751</v>
      </c>
      <c r="J1208">
        <v>1265.7137451000001</v>
      </c>
      <c r="K1208">
        <v>2400</v>
      </c>
      <c r="L1208">
        <v>0</v>
      </c>
      <c r="M1208">
        <v>0</v>
      </c>
      <c r="N1208">
        <v>2400</v>
      </c>
    </row>
    <row r="1209" spans="1:14" x14ac:dyDescent="0.25">
      <c r="A1209">
        <v>785.75362299999995</v>
      </c>
      <c r="B1209" s="1">
        <f>DATE(2012,6,24) + TIME(18,5,13)</f>
        <v>41084.753622685188</v>
      </c>
      <c r="C1209">
        <v>80</v>
      </c>
      <c r="D1209">
        <v>79.949905396000005</v>
      </c>
      <c r="E1209">
        <v>50</v>
      </c>
      <c r="F1209">
        <v>45.901844025000003</v>
      </c>
      <c r="G1209">
        <v>1385.5316161999999</v>
      </c>
      <c r="H1209">
        <v>1371.5651855000001</v>
      </c>
      <c r="I1209">
        <v>1285.0737305</v>
      </c>
      <c r="J1209">
        <v>1265.6535644999999</v>
      </c>
      <c r="K1209">
        <v>2400</v>
      </c>
      <c r="L1209">
        <v>0</v>
      </c>
      <c r="M1209">
        <v>0</v>
      </c>
      <c r="N1209">
        <v>2400</v>
      </c>
    </row>
    <row r="1210" spans="1:14" x14ac:dyDescent="0.25">
      <c r="A1210">
        <v>786.80558099999996</v>
      </c>
      <c r="B1210" s="1">
        <f>DATE(2012,6,25) + TIME(19,20,2)</f>
        <v>41085.805578703701</v>
      </c>
      <c r="C1210">
        <v>80</v>
      </c>
      <c r="D1210">
        <v>79.949913025000001</v>
      </c>
      <c r="E1210">
        <v>50</v>
      </c>
      <c r="F1210">
        <v>45.835300445999998</v>
      </c>
      <c r="G1210">
        <v>1385.4670410000001</v>
      </c>
      <c r="H1210">
        <v>1371.5111084</v>
      </c>
      <c r="I1210">
        <v>1285.0257568</v>
      </c>
      <c r="J1210">
        <v>1265.5908202999999</v>
      </c>
      <c r="K1210">
        <v>2400</v>
      </c>
      <c r="L1210">
        <v>0</v>
      </c>
      <c r="M1210">
        <v>0</v>
      </c>
      <c r="N1210">
        <v>2400</v>
      </c>
    </row>
    <row r="1211" spans="1:14" x14ac:dyDescent="0.25">
      <c r="A1211">
        <v>787.85913400000004</v>
      </c>
      <c r="B1211" s="1">
        <f>DATE(2012,6,26) + TIME(20,37,9)</f>
        <v>41086.859131944446</v>
      </c>
      <c r="C1211">
        <v>80</v>
      </c>
      <c r="D1211">
        <v>79.949920653999996</v>
      </c>
      <c r="E1211">
        <v>50</v>
      </c>
      <c r="F1211">
        <v>45.768016815000003</v>
      </c>
      <c r="G1211">
        <v>1385.4024658000001</v>
      </c>
      <c r="H1211">
        <v>1371.4570312000001</v>
      </c>
      <c r="I1211">
        <v>1284.9763184000001</v>
      </c>
      <c r="J1211">
        <v>1265.526001</v>
      </c>
      <c r="K1211">
        <v>2400</v>
      </c>
      <c r="L1211">
        <v>0</v>
      </c>
      <c r="M1211">
        <v>0</v>
      </c>
      <c r="N1211">
        <v>2400</v>
      </c>
    </row>
    <row r="1212" spans="1:14" x14ac:dyDescent="0.25">
      <c r="A1212">
        <v>788.91697799999997</v>
      </c>
      <c r="B1212" s="1">
        <f>DATE(2012,6,27) + TIME(22,0,26)</f>
        <v>41087.916967592595</v>
      </c>
      <c r="C1212">
        <v>80</v>
      </c>
      <c r="D1212">
        <v>79.949928283999995</v>
      </c>
      <c r="E1212">
        <v>50</v>
      </c>
      <c r="F1212">
        <v>45.700195311999998</v>
      </c>
      <c r="G1212">
        <v>1385.3386230000001</v>
      </c>
      <c r="H1212">
        <v>1371.4036865</v>
      </c>
      <c r="I1212">
        <v>1284.9260254000001</v>
      </c>
      <c r="J1212">
        <v>1265.4597168</v>
      </c>
      <c r="K1212">
        <v>2400</v>
      </c>
      <c r="L1212">
        <v>0</v>
      </c>
      <c r="M1212">
        <v>0</v>
      </c>
      <c r="N1212">
        <v>2400</v>
      </c>
    </row>
    <row r="1213" spans="1:14" x14ac:dyDescent="0.25">
      <c r="A1213">
        <v>789.98162000000002</v>
      </c>
      <c r="B1213" s="1">
        <f>DATE(2012,6,28) + TIME(23,33,31)</f>
        <v>41088.981608796297</v>
      </c>
      <c r="C1213">
        <v>80</v>
      </c>
      <c r="D1213">
        <v>79.949935913000004</v>
      </c>
      <c r="E1213">
        <v>50</v>
      </c>
      <c r="F1213">
        <v>45.631832123000002</v>
      </c>
      <c r="G1213">
        <v>1385.2755127</v>
      </c>
      <c r="H1213">
        <v>1371.3508300999999</v>
      </c>
      <c r="I1213">
        <v>1284.8746338000001</v>
      </c>
      <c r="J1213">
        <v>1265.3916016000001</v>
      </c>
      <c r="K1213">
        <v>2400</v>
      </c>
      <c r="L1213">
        <v>0</v>
      </c>
      <c r="M1213">
        <v>0</v>
      </c>
      <c r="N1213">
        <v>2400</v>
      </c>
    </row>
    <row r="1214" spans="1:14" x14ac:dyDescent="0.25">
      <c r="A1214">
        <v>791.05577000000005</v>
      </c>
      <c r="B1214" s="1">
        <f>DATE(2012,6,30) + TIME(1,20,18)</f>
        <v>41090.055763888886</v>
      </c>
      <c r="C1214">
        <v>80</v>
      </c>
      <c r="D1214">
        <v>79.949943542</v>
      </c>
      <c r="E1214">
        <v>50</v>
      </c>
      <c r="F1214">
        <v>45.562808990000001</v>
      </c>
      <c r="G1214">
        <v>1385.2128906</v>
      </c>
      <c r="H1214">
        <v>1371.2982178</v>
      </c>
      <c r="I1214">
        <v>1284.8221435999999</v>
      </c>
      <c r="J1214">
        <v>1265.3216553</v>
      </c>
      <c r="K1214">
        <v>2400</v>
      </c>
      <c r="L1214">
        <v>0</v>
      </c>
      <c r="M1214">
        <v>0</v>
      </c>
      <c r="N1214">
        <v>2400</v>
      </c>
    </row>
    <row r="1215" spans="1:14" x14ac:dyDescent="0.25">
      <c r="A1215">
        <v>792</v>
      </c>
      <c r="B1215" s="1">
        <f>DATE(2012,7,1) + TIME(0,0,0)</f>
        <v>41091</v>
      </c>
      <c r="C1215">
        <v>80</v>
      </c>
      <c r="D1215">
        <v>79.949951171999999</v>
      </c>
      <c r="E1215">
        <v>50</v>
      </c>
      <c r="F1215">
        <v>45.497406005999999</v>
      </c>
      <c r="G1215">
        <v>1385.1503906</v>
      </c>
      <c r="H1215">
        <v>1371.2458495999999</v>
      </c>
      <c r="I1215">
        <v>1284.7678223</v>
      </c>
      <c r="J1215">
        <v>1265.2504882999999</v>
      </c>
      <c r="K1215">
        <v>2400</v>
      </c>
      <c r="L1215">
        <v>0</v>
      </c>
      <c r="M1215">
        <v>0</v>
      </c>
      <c r="N1215">
        <v>2400</v>
      </c>
    </row>
    <row r="1216" spans="1:14" x14ac:dyDescent="0.25">
      <c r="A1216">
        <v>793.08642699999996</v>
      </c>
      <c r="B1216" s="1">
        <f>DATE(2012,7,2) + TIME(2,4,27)</f>
        <v>41092.086423611108</v>
      </c>
      <c r="C1216">
        <v>80</v>
      </c>
      <c r="D1216">
        <v>79.949966431000007</v>
      </c>
      <c r="E1216">
        <v>50</v>
      </c>
      <c r="F1216">
        <v>45.429637909</v>
      </c>
      <c r="G1216">
        <v>1385.0963135</v>
      </c>
      <c r="H1216">
        <v>1371.2003173999999</v>
      </c>
      <c r="I1216">
        <v>1284.7197266000001</v>
      </c>
      <c r="J1216">
        <v>1265.1842041</v>
      </c>
      <c r="K1216">
        <v>2400</v>
      </c>
      <c r="L1216">
        <v>0</v>
      </c>
      <c r="M1216">
        <v>0</v>
      </c>
      <c r="N1216">
        <v>2400</v>
      </c>
    </row>
    <row r="1217" spans="1:14" x14ac:dyDescent="0.25">
      <c r="A1217">
        <v>794.20373400000005</v>
      </c>
      <c r="B1217" s="1">
        <f>DATE(2012,7,3) + TIME(4,53,22)</f>
        <v>41093.203726851854</v>
      </c>
      <c r="C1217">
        <v>80</v>
      </c>
      <c r="D1217">
        <v>79.949981688999998</v>
      </c>
      <c r="E1217">
        <v>50</v>
      </c>
      <c r="F1217">
        <v>45.359157562</v>
      </c>
      <c r="G1217">
        <v>1385.0349120999999</v>
      </c>
      <c r="H1217">
        <v>1371.1486815999999</v>
      </c>
      <c r="I1217">
        <v>1284.6634521000001</v>
      </c>
      <c r="J1217">
        <v>1265.1086425999999</v>
      </c>
      <c r="K1217">
        <v>2400</v>
      </c>
      <c r="L1217">
        <v>0</v>
      </c>
      <c r="M1217">
        <v>0</v>
      </c>
      <c r="N1217">
        <v>2400</v>
      </c>
    </row>
    <row r="1218" spans="1:14" x14ac:dyDescent="0.25">
      <c r="A1218">
        <v>795.33805700000005</v>
      </c>
      <c r="B1218" s="1">
        <f>DATE(2012,7,4) + TIME(8,6,48)</f>
        <v>41094.338055555556</v>
      </c>
      <c r="C1218">
        <v>80</v>
      </c>
      <c r="D1218">
        <v>79.949989318999997</v>
      </c>
      <c r="E1218">
        <v>50</v>
      </c>
      <c r="F1218">
        <v>45.286567687999998</v>
      </c>
      <c r="G1218">
        <v>1384.9725341999999</v>
      </c>
      <c r="H1218">
        <v>1371.0960693</v>
      </c>
      <c r="I1218">
        <v>1284.6044922000001</v>
      </c>
      <c r="J1218">
        <v>1265.0292969</v>
      </c>
      <c r="K1218">
        <v>2400</v>
      </c>
      <c r="L1218">
        <v>0</v>
      </c>
      <c r="M1218">
        <v>0</v>
      </c>
      <c r="N1218">
        <v>2400</v>
      </c>
    </row>
    <row r="1219" spans="1:14" x14ac:dyDescent="0.25">
      <c r="A1219">
        <v>796.49183000000005</v>
      </c>
      <c r="B1219" s="1">
        <f>DATE(2012,7,5) + TIME(11,48,14)</f>
        <v>41095.491828703707</v>
      </c>
      <c r="C1219">
        <v>80</v>
      </c>
      <c r="D1219">
        <v>79.950004578000005</v>
      </c>
      <c r="E1219">
        <v>50</v>
      </c>
      <c r="F1219">
        <v>45.212169647000003</v>
      </c>
      <c r="G1219">
        <v>1384.9099120999999</v>
      </c>
      <c r="H1219">
        <v>1371.043457</v>
      </c>
      <c r="I1219">
        <v>1284.543457</v>
      </c>
      <c r="J1219">
        <v>1264.9468993999999</v>
      </c>
      <c r="K1219">
        <v>2400</v>
      </c>
      <c r="L1219">
        <v>0</v>
      </c>
      <c r="M1219">
        <v>0</v>
      </c>
      <c r="N1219">
        <v>2400</v>
      </c>
    </row>
    <row r="1220" spans="1:14" x14ac:dyDescent="0.25">
      <c r="A1220">
        <v>797.66833799999995</v>
      </c>
      <c r="B1220" s="1">
        <f>DATE(2012,7,6) + TIME(16,2,24)</f>
        <v>41096.668333333335</v>
      </c>
      <c r="C1220">
        <v>80</v>
      </c>
      <c r="D1220">
        <v>79.950019835999996</v>
      </c>
      <c r="E1220">
        <v>50</v>
      </c>
      <c r="F1220">
        <v>45.135959624999998</v>
      </c>
      <c r="G1220">
        <v>1384.847168</v>
      </c>
      <c r="H1220">
        <v>1370.9904785000001</v>
      </c>
      <c r="I1220">
        <v>1284.4804687999999</v>
      </c>
      <c r="J1220">
        <v>1264.8610839999999</v>
      </c>
      <c r="K1220">
        <v>2400</v>
      </c>
      <c r="L1220">
        <v>0</v>
      </c>
      <c r="M1220">
        <v>0</v>
      </c>
      <c r="N1220">
        <v>2400</v>
      </c>
    </row>
    <row r="1221" spans="1:14" x14ac:dyDescent="0.25">
      <c r="A1221">
        <v>798.87113499999998</v>
      </c>
      <c r="B1221" s="1">
        <f>DATE(2012,7,7) + TIME(20,54,26)</f>
        <v>41097.871134259258</v>
      </c>
      <c r="C1221">
        <v>80</v>
      </c>
      <c r="D1221">
        <v>79.950035095000004</v>
      </c>
      <c r="E1221">
        <v>50</v>
      </c>
      <c r="F1221">
        <v>45.057781218999999</v>
      </c>
      <c r="G1221">
        <v>1384.7840576000001</v>
      </c>
      <c r="H1221">
        <v>1370.9372559000001</v>
      </c>
      <c r="I1221">
        <v>1284.4149170000001</v>
      </c>
      <c r="J1221">
        <v>1264.7717285000001</v>
      </c>
      <c r="K1221">
        <v>2400</v>
      </c>
      <c r="L1221">
        <v>0</v>
      </c>
      <c r="M1221">
        <v>0</v>
      </c>
      <c r="N1221">
        <v>2400</v>
      </c>
    </row>
    <row r="1222" spans="1:14" x14ac:dyDescent="0.25">
      <c r="A1222">
        <v>800.09394399999996</v>
      </c>
      <c r="B1222" s="1">
        <f>DATE(2012,7,9) + TIME(2,15,16)</f>
        <v>41099.093935185185</v>
      </c>
      <c r="C1222">
        <v>80</v>
      </c>
      <c r="D1222">
        <v>79.950050353999998</v>
      </c>
      <c r="E1222">
        <v>50</v>
      </c>
      <c r="F1222">
        <v>44.977672577</v>
      </c>
      <c r="G1222">
        <v>1384.7203368999999</v>
      </c>
      <c r="H1222">
        <v>1370.8834228999999</v>
      </c>
      <c r="I1222">
        <v>1284.3468018000001</v>
      </c>
      <c r="J1222">
        <v>1264.6783447</v>
      </c>
      <c r="K1222">
        <v>2400</v>
      </c>
      <c r="L1222">
        <v>0</v>
      </c>
      <c r="M1222">
        <v>0</v>
      </c>
      <c r="N1222">
        <v>2400</v>
      </c>
    </row>
    <row r="1223" spans="1:14" x14ac:dyDescent="0.25">
      <c r="A1223">
        <v>801.32540500000005</v>
      </c>
      <c r="B1223" s="1">
        <f>DATE(2012,7,10) + TIME(7,48,34)</f>
        <v>41100.32539351852</v>
      </c>
      <c r="C1223">
        <v>80</v>
      </c>
      <c r="D1223">
        <v>79.950065613000007</v>
      </c>
      <c r="E1223">
        <v>50</v>
      </c>
      <c r="F1223">
        <v>44.895992278999998</v>
      </c>
      <c r="G1223">
        <v>1384.6564940999999</v>
      </c>
      <c r="H1223">
        <v>1370.8293457</v>
      </c>
      <c r="I1223">
        <v>1284.2761230000001</v>
      </c>
      <c r="J1223">
        <v>1264.5814209</v>
      </c>
      <c r="K1223">
        <v>2400</v>
      </c>
      <c r="L1223">
        <v>0</v>
      </c>
      <c r="M1223">
        <v>0</v>
      </c>
      <c r="N1223">
        <v>2400</v>
      </c>
    </row>
    <row r="1224" spans="1:14" x14ac:dyDescent="0.25">
      <c r="A1224">
        <v>802.56278899999995</v>
      </c>
      <c r="B1224" s="1">
        <f>DATE(2012,7,11) + TIME(13,30,24)</f>
        <v>41101.562777777777</v>
      </c>
      <c r="C1224">
        <v>80</v>
      </c>
      <c r="D1224">
        <v>79.950088500999996</v>
      </c>
      <c r="E1224">
        <v>50</v>
      </c>
      <c r="F1224">
        <v>44.813068389999998</v>
      </c>
      <c r="G1224">
        <v>1384.5930175999999</v>
      </c>
      <c r="H1224">
        <v>1370.7755127</v>
      </c>
      <c r="I1224">
        <v>1284.2037353999999</v>
      </c>
      <c r="J1224">
        <v>1264.4814452999999</v>
      </c>
      <c r="K1224">
        <v>2400</v>
      </c>
      <c r="L1224">
        <v>0</v>
      </c>
      <c r="M1224">
        <v>0</v>
      </c>
      <c r="N1224">
        <v>2400</v>
      </c>
    </row>
    <row r="1225" spans="1:14" x14ac:dyDescent="0.25">
      <c r="A1225">
        <v>803.80699400000003</v>
      </c>
      <c r="B1225" s="1">
        <f>DATE(2012,7,12) + TIME(19,22,4)</f>
        <v>41102.806990740741</v>
      </c>
      <c r="C1225">
        <v>80</v>
      </c>
      <c r="D1225">
        <v>79.950103760000005</v>
      </c>
      <c r="E1225">
        <v>50</v>
      </c>
      <c r="F1225">
        <v>44.729026793999999</v>
      </c>
      <c r="G1225">
        <v>1384.5300293</v>
      </c>
      <c r="H1225">
        <v>1370.722168</v>
      </c>
      <c r="I1225">
        <v>1284.1296387</v>
      </c>
      <c r="J1225">
        <v>1264.3787841999999</v>
      </c>
      <c r="K1225">
        <v>2400</v>
      </c>
      <c r="L1225">
        <v>0</v>
      </c>
      <c r="M1225">
        <v>0</v>
      </c>
      <c r="N1225">
        <v>2400</v>
      </c>
    </row>
    <row r="1226" spans="1:14" x14ac:dyDescent="0.25">
      <c r="A1226">
        <v>805.05972699999995</v>
      </c>
      <c r="B1226" s="1">
        <f>DATE(2012,7,14) + TIME(1,26,0)</f>
        <v>41104.05972222222</v>
      </c>
      <c r="C1226">
        <v>80</v>
      </c>
      <c r="D1226">
        <v>79.950119018999999</v>
      </c>
      <c r="E1226">
        <v>50</v>
      </c>
      <c r="F1226">
        <v>44.64383316</v>
      </c>
      <c r="G1226">
        <v>1384.4675293</v>
      </c>
      <c r="H1226">
        <v>1370.6690673999999</v>
      </c>
      <c r="I1226">
        <v>1284.0537108999999</v>
      </c>
      <c r="J1226">
        <v>1264.2730713000001</v>
      </c>
      <c r="K1226">
        <v>2400</v>
      </c>
      <c r="L1226">
        <v>0</v>
      </c>
      <c r="M1226">
        <v>0</v>
      </c>
      <c r="N1226">
        <v>2400</v>
      </c>
    </row>
    <row r="1227" spans="1:14" x14ac:dyDescent="0.25">
      <c r="A1227">
        <v>806.32408399999997</v>
      </c>
      <c r="B1227" s="1">
        <f>DATE(2012,7,15) + TIME(7,46,40)</f>
        <v>41105.324074074073</v>
      </c>
      <c r="C1227">
        <v>80</v>
      </c>
      <c r="D1227">
        <v>79.950141907000003</v>
      </c>
      <c r="E1227">
        <v>50</v>
      </c>
      <c r="F1227">
        <v>44.557338715</v>
      </c>
      <c r="G1227">
        <v>1384.4053954999999</v>
      </c>
      <c r="H1227">
        <v>1370.6163329999999</v>
      </c>
      <c r="I1227">
        <v>1283.9759521000001</v>
      </c>
      <c r="J1227">
        <v>1264.1644286999999</v>
      </c>
      <c r="K1227">
        <v>2400</v>
      </c>
      <c r="L1227">
        <v>0</v>
      </c>
      <c r="M1227">
        <v>0</v>
      </c>
      <c r="N1227">
        <v>2400</v>
      </c>
    </row>
    <row r="1228" spans="1:14" x14ac:dyDescent="0.25">
      <c r="A1228">
        <v>807.60325</v>
      </c>
      <c r="B1228" s="1">
        <f>DATE(2012,7,16) + TIME(14,28,40)</f>
        <v>41106.60324074074</v>
      </c>
      <c r="C1228">
        <v>80</v>
      </c>
      <c r="D1228">
        <v>79.950157165999997</v>
      </c>
      <c r="E1228">
        <v>50</v>
      </c>
      <c r="F1228">
        <v>44.469326019</v>
      </c>
      <c r="G1228">
        <v>1384.3435059000001</v>
      </c>
      <c r="H1228">
        <v>1370.5637207</v>
      </c>
      <c r="I1228">
        <v>1283.8959961</v>
      </c>
      <c r="J1228">
        <v>1264.0522461</v>
      </c>
      <c r="K1228">
        <v>2400</v>
      </c>
      <c r="L1228">
        <v>0</v>
      </c>
      <c r="M1228">
        <v>0</v>
      </c>
      <c r="N1228">
        <v>2400</v>
      </c>
    </row>
    <row r="1229" spans="1:14" x14ac:dyDescent="0.25">
      <c r="A1229">
        <v>808.90052100000003</v>
      </c>
      <c r="B1229" s="1">
        <f>DATE(2012,7,17) + TIME(21,36,45)</f>
        <v>41107.900520833333</v>
      </c>
      <c r="C1229">
        <v>80</v>
      </c>
      <c r="D1229">
        <v>79.950180054</v>
      </c>
      <c r="E1229">
        <v>50</v>
      </c>
      <c r="F1229">
        <v>44.379539489999999</v>
      </c>
      <c r="G1229">
        <v>1384.2816161999999</v>
      </c>
      <c r="H1229">
        <v>1370.5109863</v>
      </c>
      <c r="I1229">
        <v>1283.8137207</v>
      </c>
      <c r="J1229">
        <v>1263.9364014</v>
      </c>
      <c r="K1229">
        <v>2400</v>
      </c>
      <c r="L1229">
        <v>0</v>
      </c>
      <c r="M1229">
        <v>0</v>
      </c>
      <c r="N1229">
        <v>2400</v>
      </c>
    </row>
    <row r="1230" spans="1:14" x14ac:dyDescent="0.25">
      <c r="A1230">
        <v>810.21939299999997</v>
      </c>
      <c r="B1230" s="1">
        <f>DATE(2012,7,19) + TIME(5,15,55)</f>
        <v>41109.219386574077</v>
      </c>
      <c r="C1230">
        <v>80</v>
      </c>
      <c r="D1230">
        <v>79.950202942000004</v>
      </c>
      <c r="E1230">
        <v>50</v>
      </c>
      <c r="F1230">
        <v>44.287700653000002</v>
      </c>
      <c r="G1230">
        <v>1384.2197266000001</v>
      </c>
      <c r="H1230">
        <v>1370.4582519999999</v>
      </c>
      <c r="I1230">
        <v>1283.7288818</v>
      </c>
      <c r="J1230">
        <v>1263.8164062000001</v>
      </c>
      <c r="K1230">
        <v>2400</v>
      </c>
      <c r="L1230">
        <v>0</v>
      </c>
      <c r="M1230">
        <v>0</v>
      </c>
      <c r="N1230">
        <v>2400</v>
      </c>
    </row>
    <row r="1231" spans="1:14" x14ac:dyDescent="0.25">
      <c r="A1231">
        <v>811.56359599999996</v>
      </c>
      <c r="B1231" s="1">
        <f>DATE(2012,7,20) + TIME(13,31,34)</f>
        <v>41110.563587962963</v>
      </c>
      <c r="C1231">
        <v>80</v>
      </c>
      <c r="D1231">
        <v>79.950225829999994</v>
      </c>
      <c r="E1231">
        <v>50</v>
      </c>
      <c r="F1231">
        <v>44.193492888999998</v>
      </c>
      <c r="G1231">
        <v>1384.1575928</v>
      </c>
      <c r="H1231">
        <v>1370.4052733999999</v>
      </c>
      <c r="I1231">
        <v>1283.6411132999999</v>
      </c>
      <c r="J1231">
        <v>1263.6917725000001</v>
      </c>
      <c r="K1231">
        <v>2400</v>
      </c>
      <c r="L1231">
        <v>0</v>
      </c>
      <c r="M1231">
        <v>0</v>
      </c>
      <c r="N1231">
        <v>2400</v>
      </c>
    </row>
    <row r="1232" spans="1:14" x14ac:dyDescent="0.25">
      <c r="A1232">
        <v>812.93557599999997</v>
      </c>
      <c r="B1232" s="1">
        <f>DATE(2012,7,21) + TIME(22,27,13)</f>
        <v>41111.935567129629</v>
      </c>
      <c r="C1232">
        <v>80</v>
      </c>
      <c r="D1232">
        <v>79.950248717999997</v>
      </c>
      <c r="E1232">
        <v>50</v>
      </c>
      <c r="F1232">
        <v>44.096618651999997</v>
      </c>
      <c r="G1232">
        <v>1384.0949707</v>
      </c>
      <c r="H1232">
        <v>1370.3518065999999</v>
      </c>
      <c r="I1232">
        <v>1283.5501709</v>
      </c>
      <c r="J1232">
        <v>1263.5621338000001</v>
      </c>
      <c r="K1232">
        <v>2400</v>
      </c>
      <c r="L1232">
        <v>0</v>
      </c>
      <c r="M1232">
        <v>0</v>
      </c>
      <c r="N1232">
        <v>2400</v>
      </c>
    </row>
    <row r="1233" spans="1:14" x14ac:dyDescent="0.25">
      <c r="A1233">
        <v>814.32057699999996</v>
      </c>
      <c r="B1233" s="1">
        <f>DATE(2012,7,23) + TIME(7,41,37)</f>
        <v>41113.320567129631</v>
      </c>
      <c r="C1233">
        <v>80</v>
      </c>
      <c r="D1233">
        <v>79.950271606000001</v>
      </c>
      <c r="E1233">
        <v>50</v>
      </c>
      <c r="F1233">
        <v>43.997280121000003</v>
      </c>
      <c r="G1233">
        <v>1384.0318603999999</v>
      </c>
      <c r="H1233">
        <v>1370.2978516000001</v>
      </c>
      <c r="I1233">
        <v>1283.4556885</v>
      </c>
      <c r="J1233">
        <v>1263.427124</v>
      </c>
      <c r="K1233">
        <v>2400</v>
      </c>
      <c r="L1233">
        <v>0</v>
      </c>
      <c r="M1233">
        <v>0</v>
      </c>
      <c r="N1233">
        <v>2400</v>
      </c>
    </row>
    <row r="1234" spans="1:14" x14ac:dyDescent="0.25">
      <c r="A1234">
        <v>815.72241699999995</v>
      </c>
      <c r="B1234" s="1">
        <f>DATE(2012,7,24) + TIME(17,20,16)</f>
        <v>41114.722407407404</v>
      </c>
      <c r="C1234">
        <v>80</v>
      </c>
      <c r="D1234">
        <v>79.950294494999994</v>
      </c>
      <c r="E1234">
        <v>50</v>
      </c>
      <c r="F1234">
        <v>43.895645141999999</v>
      </c>
      <c r="G1234">
        <v>1383.9689940999999</v>
      </c>
      <c r="H1234">
        <v>1370.2440185999999</v>
      </c>
      <c r="I1234">
        <v>1283.3586425999999</v>
      </c>
      <c r="J1234">
        <v>1263.2877197</v>
      </c>
      <c r="K1234">
        <v>2400</v>
      </c>
      <c r="L1234">
        <v>0</v>
      </c>
      <c r="M1234">
        <v>0</v>
      </c>
      <c r="N1234">
        <v>2400</v>
      </c>
    </row>
    <row r="1235" spans="1:14" x14ac:dyDescent="0.25">
      <c r="A1235">
        <v>817.14017899999999</v>
      </c>
      <c r="B1235" s="1">
        <f>DATE(2012,7,26) + TIME(3,21,51)</f>
        <v>41116.140173611115</v>
      </c>
      <c r="C1235">
        <v>80</v>
      </c>
      <c r="D1235">
        <v>79.950325011999993</v>
      </c>
      <c r="E1235">
        <v>50</v>
      </c>
      <c r="F1235">
        <v>43.791702270999998</v>
      </c>
      <c r="G1235">
        <v>1383.9061279</v>
      </c>
      <c r="H1235">
        <v>1370.1901855000001</v>
      </c>
      <c r="I1235">
        <v>1283.2586670000001</v>
      </c>
      <c r="J1235">
        <v>1263.1436768000001</v>
      </c>
      <c r="K1235">
        <v>2400</v>
      </c>
      <c r="L1235">
        <v>0</v>
      </c>
      <c r="M1235">
        <v>0</v>
      </c>
      <c r="N1235">
        <v>2400</v>
      </c>
    </row>
    <row r="1236" spans="1:14" x14ac:dyDescent="0.25">
      <c r="A1236">
        <v>818.56422699999996</v>
      </c>
      <c r="B1236" s="1">
        <f>DATE(2012,7,27) + TIME(13,32,29)</f>
        <v>41117.56422453704</v>
      </c>
      <c r="C1236">
        <v>80</v>
      </c>
      <c r="D1236">
        <v>79.950347899999997</v>
      </c>
      <c r="E1236">
        <v>50</v>
      </c>
      <c r="F1236">
        <v>43.685695647999999</v>
      </c>
      <c r="G1236">
        <v>1383.8432617000001</v>
      </c>
      <c r="H1236">
        <v>1370.1363524999999</v>
      </c>
      <c r="I1236">
        <v>1283.1560059000001</v>
      </c>
      <c r="J1236">
        <v>1262.9951172000001</v>
      </c>
      <c r="K1236">
        <v>2400</v>
      </c>
      <c r="L1236">
        <v>0</v>
      </c>
      <c r="M1236">
        <v>0</v>
      </c>
      <c r="N1236">
        <v>2400</v>
      </c>
    </row>
    <row r="1237" spans="1:14" x14ac:dyDescent="0.25">
      <c r="A1237">
        <v>819.998516</v>
      </c>
      <c r="B1237" s="1">
        <f>DATE(2012,7,28) + TIME(23,57,51)</f>
        <v>41118.998506944445</v>
      </c>
      <c r="C1237">
        <v>80</v>
      </c>
      <c r="D1237">
        <v>79.950378418</v>
      </c>
      <c r="E1237">
        <v>50</v>
      </c>
      <c r="F1237">
        <v>43.577747344999999</v>
      </c>
      <c r="G1237">
        <v>1383.7810059000001</v>
      </c>
      <c r="H1237">
        <v>1370.0827637</v>
      </c>
      <c r="I1237">
        <v>1283.0510254000001</v>
      </c>
      <c r="J1237">
        <v>1262.8426514</v>
      </c>
      <c r="K1237">
        <v>2400</v>
      </c>
      <c r="L1237">
        <v>0</v>
      </c>
      <c r="M1237">
        <v>0</v>
      </c>
      <c r="N1237">
        <v>2400</v>
      </c>
    </row>
    <row r="1238" spans="1:14" x14ac:dyDescent="0.25">
      <c r="A1238">
        <v>821.44632799999999</v>
      </c>
      <c r="B1238" s="1">
        <f>DATE(2012,7,30) + TIME(10,42,42)</f>
        <v>41120.446319444447</v>
      </c>
      <c r="C1238">
        <v>80</v>
      </c>
      <c r="D1238">
        <v>79.950401306000003</v>
      </c>
      <c r="E1238">
        <v>50</v>
      </c>
      <c r="F1238">
        <v>43.467708588000001</v>
      </c>
      <c r="G1238">
        <v>1383.7189940999999</v>
      </c>
      <c r="H1238">
        <v>1370.0295410000001</v>
      </c>
      <c r="I1238">
        <v>1282.9437256000001</v>
      </c>
      <c r="J1238">
        <v>1262.6860352000001</v>
      </c>
      <c r="K1238">
        <v>2400</v>
      </c>
      <c r="L1238">
        <v>0</v>
      </c>
      <c r="M1238">
        <v>0</v>
      </c>
      <c r="N1238">
        <v>2400</v>
      </c>
    </row>
    <row r="1239" spans="1:14" x14ac:dyDescent="0.25">
      <c r="A1239">
        <v>822.91134599999998</v>
      </c>
      <c r="B1239" s="1">
        <f>DATE(2012,7,31) + TIME(21,52,20)</f>
        <v>41121.91134259259</v>
      </c>
      <c r="C1239">
        <v>80</v>
      </c>
      <c r="D1239">
        <v>79.950431824000006</v>
      </c>
      <c r="E1239">
        <v>50</v>
      </c>
      <c r="F1239">
        <v>43.355323792</v>
      </c>
      <c r="G1239">
        <v>1383.6571045000001</v>
      </c>
      <c r="H1239">
        <v>1369.9763184000001</v>
      </c>
      <c r="I1239">
        <v>1282.8336182</v>
      </c>
      <c r="J1239">
        <v>1262.5247803</v>
      </c>
      <c r="K1239">
        <v>2400</v>
      </c>
      <c r="L1239">
        <v>0</v>
      </c>
      <c r="M1239">
        <v>0</v>
      </c>
      <c r="N1239">
        <v>2400</v>
      </c>
    </row>
    <row r="1240" spans="1:14" x14ac:dyDescent="0.25">
      <c r="A1240">
        <v>823</v>
      </c>
      <c r="B1240" s="1">
        <f>DATE(2012,8,1) + TIME(0,0,0)</f>
        <v>41122</v>
      </c>
      <c r="C1240">
        <v>80</v>
      </c>
      <c r="D1240">
        <v>79.950424193999993</v>
      </c>
      <c r="E1240">
        <v>50</v>
      </c>
      <c r="F1240">
        <v>43.338642120000003</v>
      </c>
      <c r="G1240">
        <v>1383.5997314000001</v>
      </c>
      <c r="H1240">
        <v>1369.9273682</v>
      </c>
      <c r="I1240">
        <v>1282.7271728999999</v>
      </c>
      <c r="J1240">
        <v>1262.4027100000001</v>
      </c>
      <c r="K1240">
        <v>2400</v>
      </c>
      <c r="L1240">
        <v>0</v>
      </c>
      <c r="M1240">
        <v>0</v>
      </c>
      <c r="N1240">
        <v>2400</v>
      </c>
    </row>
    <row r="1241" spans="1:14" x14ac:dyDescent="0.25">
      <c r="A1241">
        <v>824.48606500000005</v>
      </c>
      <c r="B1241" s="1">
        <f>DATE(2012,8,2) + TIME(11,39,55)</f>
        <v>41123.48605324074</v>
      </c>
      <c r="C1241">
        <v>80</v>
      </c>
      <c r="D1241">
        <v>79.950462341000005</v>
      </c>
      <c r="E1241">
        <v>50</v>
      </c>
      <c r="F1241">
        <v>43.229587555000002</v>
      </c>
      <c r="G1241">
        <v>1383.5911865</v>
      </c>
      <c r="H1241">
        <v>1369.9194336</v>
      </c>
      <c r="I1241">
        <v>1282.7127685999999</v>
      </c>
      <c r="J1241">
        <v>1262.3454589999999</v>
      </c>
      <c r="K1241">
        <v>2400</v>
      </c>
      <c r="L1241">
        <v>0</v>
      </c>
      <c r="M1241">
        <v>0</v>
      </c>
      <c r="N1241">
        <v>2400</v>
      </c>
    </row>
    <row r="1242" spans="1:14" x14ac:dyDescent="0.25">
      <c r="A1242">
        <v>825.99892499999999</v>
      </c>
      <c r="B1242" s="1">
        <f>DATE(2012,8,3) + TIME(23,58,27)</f>
        <v>41124.998923611114</v>
      </c>
      <c r="C1242">
        <v>80</v>
      </c>
      <c r="D1242">
        <v>79.950492858999993</v>
      </c>
      <c r="E1242">
        <v>50</v>
      </c>
      <c r="F1242">
        <v>43.113658905000001</v>
      </c>
      <c r="G1242">
        <v>1383.5295410000001</v>
      </c>
      <c r="H1242">
        <v>1369.8663329999999</v>
      </c>
      <c r="I1242">
        <v>1282.5969238</v>
      </c>
      <c r="J1242">
        <v>1262.1751709</v>
      </c>
      <c r="K1242">
        <v>2400</v>
      </c>
      <c r="L1242">
        <v>0</v>
      </c>
      <c r="M1242">
        <v>0</v>
      </c>
      <c r="N1242">
        <v>2400</v>
      </c>
    </row>
    <row r="1243" spans="1:14" x14ac:dyDescent="0.25">
      <c r="A1243">
        <v>827.53469800000005</v>
      </c>
      <c r="B1243" s="1">
        <f>DATE(2012,8,5) + TIME(12,49,57)</f>
        <v>41126.534687500003</v>
      </c>
      <c r="C1243">
        <v>80</v>
      </c>
      <c r="D1243">
        <v>79.950523376000007</v>
      </c>
      <c r="E1243">
        <v>50</v>
      </c>
      <c r="F1243">
        <v>42.993003844999997</v>
      </c>
      <c r="G1243">
        <v>1383.4672852000001</v>
      </c>
      <c r="H1243">
        <v>1369.8125</v>
      </c>
      <c r="I1243">
        <v>1282.4768065999999</v>
      </c>
      <c r="J1243">
        <v>1261.9975586</v>
      </c>
      <c r="K1243">
        <v>2400</v>
      </c>
      <c r="L1243">
        <v>0</v>
      </c>
      <c r="M1243">
        <v>0</v>
      </c>
      <c r="N1243">
        <v>2400</v>
      </c>
    </row>
    <row r="1244" spans="1:14" x14ac:dyDescent="0.25">
      <c r="A1244">
        <v>829.08472800000004</v>
      </c>
      <c r="B1244" s="1">
        <f>DATE(2012,8,7) + TIME(2,2,0)</f>
        <v>41128.084722222222</v>
      </c>
      <c r="C1244">
        <v>80</v>
      </c>
      <c r="D1244">
        <v>79.950553893999995</v>
      </c>
      <c r="E1244">
        <v>50</v>
      </c>
      <c r="F1244">
        <v>42.868724823000001</v>
      </c>
      <c r="G1244">
        <v>1383.4046631000001</v>
      </c>
      <c r="H1244">
        <v>1369.7584228999999</v>
      </c>
      <c r="I1244">
        <v>1282.3531493999999</v>
      </c>
      <c r="J1244">
        <v>1261.8135986</v>
      </c>
      <c r="K1244">
        <v>2400</v>
      </c>
      <c r="L1244">
        <v>0</v>
      </c>
      <c r="M1244">
        <v>0</v>
      </c>
      <c r="N1244">
        <v>2400</v>
      </c>
    </row>
    <row r="1245" spans="1:14" x14ac:dyDescent="0.25">
      <c r="A1245">
        <v>830.65316199999995</v>
      </c>
      <c r="B1245" s="1">
        <f>DATE(2012,8,8) + TIME(15,40,33)</f>
        <v>41129.65315972222</v>
      </c>
      <c r="C1245">
        <v>80</v>
      </c>
      <c r="D1245">
        <v>79.950584411999998</v>
      </c>
      <c r="E1245">
        <v>50</v>
      </c>
      <c r="F1245">
        <v>42.741268157999997</v>
      </c>
      <c r="G1245">
        <v>1383.3422852000001</v>
      </c>
      <c r="H1245">
        <v>1369.7044678</v>
      </c>
      <c r="I1245">
        <v>1282.2263184000001</v>
      </c>
      <c r="J1245">
        <v>1261.6243896000001</v>
      </c>
      <c r="K1245">
        <v>2400</v>
      </c>
      <c r="L1245">
        <v>0</v>
      </c>
      <c r="M1245">
        <v>0</v>
      </c>
      <c r="N1245">
        <v>2400</v>
      </c>
    </row>
    <row r="1246" spans="1:14" x14ac:dyDescent="0.25">
      <c r="A1246">
        <v>832.24425399999996</v>
      </c>
      <c r="B1246" s="1">
        <f>DATE(2012,8,10) + TIME(5,51,43)</f>
        <v>41131.244247685187</v>
      </c>
      <c r="C1246">
        <v>80</v>
      </c>
      <c r="D1246">
        <v>79.950614928999997</v>
      </c>
      <c r="E1246">
        <v>50</v>
      </c>
      <c r="F1246">
        <v>42.610553740999997</v>
      </c>
      <c r="G1246">
        <v>1383.2799072</v>
      </c>
      <c r="H1246">
        <v>1369.6503906</v>
      </c>
      <c r="I1246">
        <v>1282.0963135</v>
      </c>
      <c r="J1246">
        <v>1261.4293213000001</v>
      </c>
      <c r="K1246">
        <v>2400</v>
      </c>
      <c r="L1246">
        <v>0</v>
      </c>
      <c r="M1246">
        <v>0</v>
      </c>
      <c r="N1246">
        <v>2400</v>
      </c>
    </row>
    <row r="1247" spans="1:14" x14ac:dyDescent="0.25">
      <c r="A1247">
        <v>833.85610599999995</v>
      </c>
      <c r="B1247" s="1">
        <f>DATE(2012,8,11) + TIME(20,32,47)</f>
        <v>41132.856099537035</v>
      </c>
      <c r="C1247">
        <v>80</v>
      </c>
      <c r="D1247">
        <v>79.950653075999995</v>
      </c>
      <c r="E1247">
        <v>50</v>
      </c>
      <c r="F1247">
        <v>42.476467133</v>
      </c>
      <c r="G1247">
        <v>1383.2172852000001</v>
      </c>
      <c r="H1247">
        <v>1369.5960693</v>
      </c>
      <c r="I1247">
        <v>1281.9627685999999</v>
      </c>
      <c r="J1247">
        <v>1261.2282714999999</v>
      </c>
      <c r="K1247">
        <v>2400</v>
      </c>
      <c r="L1247">
        <v>0</v>
      </c>
      <c r="M1247">
        <v>0</v>
      </c>
      <c r="N1247">
        <v>2400</v>
      </c>
    </row>
    <row r="1248" spans="1:14" x14ac:dyDescent="0.25">
      <c r="A1248">
        <v>835.48416299999997</v>
      </c>
      <c r="B1248" s="1">
        <f>DATE(2012,8,13) + TIME(11,37,11)</f>
        <v>41134.484155092592</v>
      </c>
      <c r="C1248">
        <v>80</v>
      </c>
      <c r="D1248">
        <v>79.950683593999997</v>
      </c>
      <c r="E1248">
        <v>50</v>
      </c>
      <c r="F1248">
        <v>42.339103698999999</v>
      </c>
      <c r="G1248">
        <v>1383.1545410000001</v>
      </c>
      <c r="H1248">
        <v>1369.541626</v>
      </c>
      <c r="I1248">
        <v>1281.8258057</v>
      </c>
      <c r="J1248">
        <v>1261.0211182</v>
      </c>
      <c r="K1248">
        <v>2400</v>
      </c>
      <c r="L1248">
        <v>0</v>
      </c>
      <c r="M1248">
        <v>0</v>
      </c>
      <c r="N1248">
        <v>2400</v>
      </c>
    </row>
    <row r="1249" spans="1:14" x14ac:dyDescent="0.25">
      <c r="A1249">
        <v>837.12574600000005</v>
      </c>
      <c r="B1249" s="1">
        <f>DATE(2012,8,15) + TIME(3,1,4)</f>
        <v>41136.125740740739</v>
      </c>
      <c r="C1249">
        <v>80</v>
      </c>
      <c r="D1249">
        <v>79.950721740999995</v>
      </c>
      <c r="E1249">
        <v>50</v>
      </c>
      <c r="F1249">
        <v>42.198680877999998</v>
      </c>
      <c r="G1249">
        <v>1383.0919189000001</v>
      </c>
      <c r="H1249">
        <v>1369.4871826000001</v>
      </c>
      <c r="I1249">
        <v>1281.6856689000001</v>
      </c>
      <c r="J1249">
        <v>1260.8085937999999</v>
      </c>
      <c r="K1249">
        <v>2400</v>
      </c>
      <c r="L1249">
        <v>0</v>
      </c>
      <c r="M1249">
        <v>0</v>
      </c>
      <c r="N1249">
        <v>2400</v>
      </c>
    </row>
    <row r="1250" spans="1:14" x14ac:dyDescent="0.25">
      <c r="A1250">
        <v>838.78464499999995</v>
      </c>
      <c r="B1250" s="1">
        <f>DATE(2012,8,16) + TIME(18,49,53)</f>
        <v>41137.784641203703</v>
      </c>
      <c r="C1250">
        <v>80</v>
      </c>
      <c r="D1250">
        <v>79.950752257999994</v>
      </c>
      <c r="E1250">
        <v>50</v>
      </c>
      <c r="F1250">
        <v>42.055210113999998</v>
      </c>
      <c r="G1250">
        <v>1383.0294189000001</v>
      </c>
      <c r="H1250">
        <v>1369.4328613</v>
      </c>
      <c r="I1250">
        <v>1281.5427245999999</v>
      </c>
      <c r="J1250">
        <v>1260.5906981999999</v>
      </c>
      <c r="K1250">
        <v>2400</v>
      </c>
      <c r="L1250">
        <v>0</v>
      </c>
      <c r="M1250">
        <v>0</v>
      </c>
      <c r="N1250">
        <v>2400</v>
      </c>
    </row>
    <row r="1251" spans="1:14" x14ac:dyDescent="0.25">
      <c r="A1251">
        <v>840.46513100000004</v>
      </c>
      <c r="B1251" s="1">
        <f>DATE(2012,8,18) + TIME(11,9,47)</f>
        <v>41139.465127314812</v>
      </c>
      <c r="C1251">
        <v>80</v>
      </c>
      <c r="D1251">
        <v>79.950790405000006</v>
      </c>
      <c r="E1251">
        <v>50</v>
      </c>
      <c r="F1251">
        <v>41.908458709999998</v>
      </c>
      <c r="G1251">
        <v>1382.9670410000001</v>
      </c>
      <c r="H1251">
        <v>1369.378418</v>
      </c>
      <c r="I1251">
        <v>1281.3967285000001</v>
      </c>
      <c r="J1251">
        <v>1260.3673096</v>
      </c>
      <c r="K1251">
        <v>2400</v>
      </c>
      <c r="L1251">
        <v>0</v>
      </c>
      <c r="M1251">
        <v>0</v>
      </c>
      <c r="N1251">
        <v>2400</v>
      </c>
    </row>
    <row r="1252" spans="1:14" x14ac:dyDescent="0.25">
      <c r="A1252">
        <v>842.16524800000002</v>
      </c>
      <c r="B1252" s="1">
        <f>DATE(2012,8,20) + TIME(3,57,57)</f>
        <v>41141.165243055555</v>
      </c>
      <c r="C1252">
        <v>80</v>
      </c>
      <c r="D1252">
        <v>79.950828552000004</v>
      </c>
      <c r="E1252">
        <v>50</v>
      </c>
      <c r="F1252">
        <v>41.758266448999997</v>
      </c>
      <c r="G1252">
        <v>1382.9044189000001</v>
      </c>
      <c r="H1252">
        <v>1369.3238524999999</v>
      </c>
      <c r="I1252">
        <v>1281.2473144999999</v>
      </c>
      <c r="J1252">
        <v>1260.1376952999999</v>
      </c>
      <c r="K1252">
        <v>2400</v>
      </c>
      <c r="L1252">
        <v>0</v>
      </c>
      <c r="M1252">
        <v>0</v>
      </c>
      <c r="N1252">
        <v>2400</v>
      </c>
    </row>
    <row r="1253" spans="1:14" x14ac:dyDescent="0.25">
      <c r="A1253">
        <v>843.87789799999996</v>
      </c>
      <c r="B1253" s="1">
        <f>DATE(2012,8,21) + TIME(21,4,10)</f>
        <v>41142.877893518518</v>
      </c>
      <c r="C1253">
        <v>80</v>
      </c>
      <c r="D1253">
        <v>79.950866699000002</v>
      </c>
      <c r="E1253">
        <v>50</v>
      </c>
      <c r="F1253">
        <v>41.60484314</v>
      </c>
      <c r="G1253">
        <v>1382.8417969</v>
      </c>
      <c r="H1253">
        <v>1369.2691649999999</v>
      </c>
      <c r="I1253">
        <v>1281.0947266000001</v>
      </c>
      <c r="J1253">
        <v>1259.9023437999999</v>
      </c>
      <c r="K1253">
        <v>2400</v>
      </c>
      <c r="L1253">
        <v>0</v>
      </c>
      <c r="M1253">
        <v>0</v>
      </c>
      <c r="N1253">
        <v>2400</v>
      </c>
    </row>
    <row r="1254" spans="1:14" x14ac:dyDescent="0.25">
      <c r="A1254">
        <v>845.60754299999996</v>
      </c>
      <c r="B1254" s="1">
        <f>DATE(2012,8,23) + TIME(14,34,51)</f>
        <v>41144.607534722221</v>
      </c>
      <c r="C1254">
        <v>80</v>
      </c>
      <c r="D1254">
        <v>79.950904846</v>
      </c>
      <c r="E1254">
        <v>50</v>
      </c>
      <c r="F1254">
        <v>41.448337555000002</v>
      </c>
      <c r="G1254">
        <v>1382.7794189000001</v>
      </c>
      <c r="H1254">
        <v>1369.2145995999999</v>
      </c>
      <c r="I1254">
        <v>1280.9394531</v>
      </c>
      <c r="J1254">
        <v>1259.6618652</v>
      </c>
      <c r="K1254">
        <v>2400</v>
      </c>
      <c r="L1254">
        <v>0</v>
      </c>
      <c r="M1254">
        <v>0</v>
      </c>
      <c r="N1254">
        <v>2400</v>
      </c>
    </row>
    <row r="1255" spans="1:14" x14ac:dyDescent="0.25">
      <c r="A1255">
        <v>847.35335399999997</v>
      </c>
      <c r="B1255" s="1">
        <f>DATE(2012,8,25) + TIME(8,28,49)</f>
        <v>41146.353344907409</v>
      </c>
      <c r="C1255">
        <v>80</v>
      </c>
      <c r="D1255">
        <v>79.950942992999998</v>
      </c>
      <c r="E1255">
        <v>50</v>
      </c>
      <c r="F1255">
        <v>41.288711548000002</v>
      </c>
      <c r="G1255">
        <v>1382.7170410000001</v>
      </c>
      <c r="H1255">
        <v>1369.1600341999999</v>
      </c>
      <c r="I1255">
        <v>1280.78125</v>
      </c>
      <c r="J1255">
        <v>1259.4158935999999</v>
      </c>
      <c r="K1255">
        <v>2400</v>
      </c>
      <c r="L1255">
        <v>0</v>
      </c>
      <c r="M1255">
        <v>0</v>
      </c>
      <c r="N1255">
        <v>2400</v>
      </c>
    </row>
    <row r="1256" spans="1:14" x14ac:dyDescent="0.25">
      <c r="A1256">
        <v>849.118335</v>
      </c>
      <c r="B1256" s="1">
        <f>DATE(2012,8,27) + TIME(2,50,24)</f>
        <v>41148.118333333332</v>
      </c>
      <c r="C1256">
        <v>80</v>
      </c>
      <c r="D1256">
        <v>79.950981139999996</v>
      </c>
      <c r="E1256">
        <v>50</v>
      </c>
      <c r="F1256">
        <v>41.125904083000002</v>
      </c>
      <c r="G1256">
        <v>1382.6547852000001</v>
      </c>
      <c r="H1256">
        <v>1369.1054687999999</v>
      </c>
      <c r="I1256">
        <v>1280.6203613</v>
      </c>
      <c r="J1256">
        <v>1259.1646728999999</v>
      </c>
      <c r="K1256">
        <v>2400</v>
      </c>
      <c r="L1256">
        <v>0</v>
      </c>
      <c r="M1256">
        <v>0</v>
      </c>
      <c r="N1256">
        <v>2400</v>
      </c>
    </row>
    <row r="1257" spans="1:14" x14ac:dyDescent="0.25">
      <c r="A1257">
        <v>850.90712099999996</v>
      </c>
      <c r="B1257" s="1">
        <f>DATE(2012,8,28) + TIME(21,46,15)</f>
        <v>41149.907118055555</v>
      </c>
      <c r="C1257">
        <v>80</v>
      </c>
      <c r="D1257">
        <v>79.951026916999993</v>
      </c>
      <c r="E1257">
        <v>50</v>
      </c>
      <c r="F1257">
        <v>40.959682465</v>
      </c>
      <c r="G1257">
        <v>1382.5924072</v>
      </c>
      <c r="H1257">
        <v>1369.0506591999999</v>
      </c>
      <c r="I1257">
        <v>1280.456543</v>
      </c>
      <c r="J1257">
        <v>1258.9077147999999</v>
      </c>
      <c r="K1257">
        <v>2400</v>
      </c>
      <c r="L1257">
        <v>0</v>
      </c>
      <c r="M1257">
        <v>0</v>
      </c>
      <c r="N1257">
        <v>2400</v>
      </c>
    </row>
    <row r="1258" spans="1:14" x14ac:dyDescent="0.25">
      <c r="A1258">
        <v>852.72453199999995</v>
      </c>
      <c r="B1258" s="1">
        <f>DATE(2012,8,30) + TIME(17,23,19)</f>
        <v>41151.72452546296</v>
      </c>
      <c r="C1258">
        <v>80</v>
      </c>
      <c r="D1258">
        <v>79.951065063000001</v>
      </c>
      <c r="E1258">
        <v>50</v>
      </c>
      <c r="F1258">
        <v>40.789703369000001</v>
      </c>
      <c r="G1258">
        <v>1382.5299072</v>
      </c>
      <c r="H1258">
        <v>1368.9957274999999</v>
      </c>
      <c r="I1258">
        <v>1280.2894286999999</v>
      </c>
      <c r="J1258">
        <v>1258.6444091999999</v>
      </c>
      <c r="K1258">
        <v>2400</v>
      </c>
      <c r="L1258">
        <v>0</v>
      </c>
      <c r="M1258">
        <v>0</v>
      </c>
      <c r="N1258">
        <v>2400</v>
      </c>
    </row>
    <row r="1259" spans="1:14" x14ac:dyDescent="0.25">
      <c r="A1259">
        <v>854</v>
      </c>
      <c r="B1259" s="1">
        <f>DATE(2012,9,1) + TIME(0,0,0)</f>
        <v>41153</v>
      </c>
      <c r="C1259">
        <v>80</v>
      </c>
      <c r="D1259">
        <v>79.951087951999995</v>
      </c>
      <c r="E1259">
        <v>50</v>
      </c>
      <c r="F1259">
        <v>40.637645720999998</v>
      </c>
      <c r="G1259">
        <v>1382.4667969</v>
      </c>
      <c r="H1259">
        <v>1368.9403076000001</v>
      </c>
      <c r="I1259">
        <v>1280.1202393000001</v>
      </c>
      <c r="J1259">
        <v>1258.3857422000001</v>
      </c>
      <c r="K1259">
        <v>2400</v>
      </c>
      <c r="L1259">
        <v>0</v>
      </c>
      <c r="M1259">
        <v>0</v>
      </c>
      <c r="N1259">
        <v>2400</v>
      </c>
    </row>
    <row r="1260" spans="1:14" x14ac:dyDescent="0.25">
      <c r="A1260">
        <v>855.85119999999995</v>
      </c>
      <c r="B1260" s="1">
        <f>DATE(2012,9,2) + TIME(20,25,43)</f>
        <v>41154.85119212963</v>
      </c>
      <c r="C1260">
        <v>80</v>
      </c>
      <c r="D1260">
        <v>79.951133728000002</v>
      </c>
      <c r="E1260">
        <v>50</v>
      </c>
      <c r="F1260">
        <v>40.482860565000003</v>
      </c>
      <c r="G1260">
        <v>1382.4230957</v>
      </c>
      <c r="H1260">
        <v>1368.9017334</v>
      </c>
      <c r="I1260">
        <v>1279.9953613</v>
      </c>
      <c r="J1260">
        <v>1258.1741943</v>
      </c>
      <c r="K1260">
        <v>2400</v>
      </c>
      <c r="L1260">
        <v>0</v>
      </c>
      <c r="M1260">
        <v>0</v>
      </c>
      <c r="N1260">
        <v>2400</v>
      </c>
    </row>
    <row r="1261" spans="1:14" x14ac:dyDescent="0.25">
      <c r="A1261">
        <v>857.72542499999997</v>
      </c>
      <c r="B1261" s="1">
        <f>DATE(2012,9,4) + TIME(17,24,36)</f>
        <v>41156.725416666668</v>
      </c>
      <c r="C1261">
        <v>80</v>
      </c>
      <c r="D1261">
        <v>79.951179503999995</v>
      </c>
      <c r="E1261">
        <v>50</v>
      </c>
      <c r="F1261">
        <v>40.310279846</v>
      </c>
      <c r="G1261">
        <v>1382.3601074000001</v>
      </c>
      <c r="H1261">
        <v>1368.8463135</v>
      </c>
      <c r="I1261">
        <v>1279.8221435999999</v>
      </c>
      <c r="J1261">
        <v>1257.9011230000001</v>
      </c>
      <c r="K1261">
        <v>2400</v>
      </c>
      <c r="L1261">
        <v>0</v>
      </c>
      <c r="M1261">
        <v>0</v>
      </c>
      <c r="N1261">
        <v>2400</v>
      </c>
    </row>
    <row r="1262" spans="1:14" x14ac:dyDescent="0.25">
      <c r="A1262">
        <v>859.61016400000005</v>
      </c>
      <c r="B1262" s="1">
        <f>DATE(2012,9,6) + TIME(14,38,38)</f>
        <v>41158.610162037039</v>
      </c>
      <c r="C1262">
        <v>80</v>
      </c>
      <c r="D1262">
        <v>79.951225281000006</v>
      </c>
      <c r="E1262">
        <v>50</v>
      </c>
      <c r="F1262">
        <v>40.130065918</v>
      </c>
      <c r="G1262">
        <v>1382.296875</v>
      </c>
      <c r="H1262">
        <v>1368.7905272999999</v>
      </c>
      <c r="I1262">
        <v>1279.6445312000001</v>
      </c>
      <c r="J1262">
        <v>1257.6181641000001</v>
      </c>
      <c r="K1262">
        <v>2400</v>
      </c>
      <c r="L1262">
        <v>0</v>
      </c>
      <c r="M1262">
        <v>0</v>
      </c>
      <c r="N1262">
        <v>2400</v>
      </c>
    </row>
    <row r="1263" spans="1:14" x14ac:dyDescent="0.25">
      <c r="A1263">
        <v>861.50833599999999</v>
      </c>
      <c r="B1263" s="1">
        <f>DATE(2012,9,8) + TIME(12,12,0)</f>
        <v>41160.508333333331</v>
      </c>
      <c r="C1263">
        <v>80</v>
      </c>
      <c r="D1263">
        <v>79.951271057</v>
      </c>
      <c r="E1263">
        <v>50</v>
      </c>
      <c r="F1263">
        <v>39.946002960000001</v>
      </c>
      <c r="G1263">
        <v>1382.2338867000001</v>
      </c>
      <c r="H1263">
        <v>1368.7348632999999</v>
      </c>
      <c r="I1263">
        <v>1279.4649658000001</v>
      </c>
      <c r="J1263">
        <v>1257.3297118999999</v>
      </c>
      <c r="K1263">
        <v>2400</v>
      </c>
      <c r="L1263">
        <v>0</v>
      </c>
      <c r="M1263">
        <v>0</v>
      </c>
      <c r="N1263">
        <v>2400</v>
      </c>
    </row>
    <row r="1264" spans="1:14" x14ac:dyDescent="0.25">
      <c r="A1264">
        <v>863.41935999999998</v>
      </c>
      <c r="B1264" s="1">
        <f>DATE(2012,9,10) + TIME(10,3,52)</f>
        <v>41162.419351851851</v>
      </c>
      <c r="C1264">
        <v>80</v>
      </c>
      <c r="D1264">
        <v>79.951309203999998</v>
      </c>
      <c r="E1264">
        <v>50</v>
      </c>
      <c r="F1264">
        <v>39.759342193999998</v>
      </c>
      <c r="G1264">
        <v>1382.1711425999999</v>
      </c>
      <c r="H1264">
        <v>1368.6791992000001</v>
      </c>
      <c r="I1264">
        <v>1279.2835693</v>
      </c>
      <c r="J1264">
        <v>1257.0369873</v>
      </c>
      <c r="K1264">
        <v>2400</v>
      </c>
      <c r="L1264">
        <v>0</v>
      </c>
      <c r="M1264">
        <v>0</v>
      </c>
      <c r="N1264">
        <v>2400</v>
      </c>
    </row>
    <row r="1265" spans="1:14" x14ac:dyDescent="0.25">
      <c r="A1265">
        <v>865.34794299999999</v>
      </c>
      <c r="B1265" s="1">
        <f>DATE(2012,9,12) + TIME(8,21,2)</f>
        <v>41164.347939814812</v>
      </c>
      <c r="C1265">
        <v>80</v>
      </c>
      <c r="D1265">
        <v>79.951354980000005</v>
      </c>
      <c r="E1265">
        <v>50</v>
      </c>
      <c r="F1265">
        <v>39.570392609000002</v>
      </c>
      <c r="G1265">
        <v>1382.1083983999999</v>
      </c>
      <c r="H1265">
        <v>1368.6236572</v>
      </c>
      <c r="I1265">
        <v>1279.1005858999999</v>
      </c>
      <c r="J1265">
        <v>1256.7403564000001</v>
      </c>
      <c r="K1265">
        <v>2400</v>
      </c>
      <c r="L1265">
        <v>0</v>
      </c>
      <c r="M1265">
        <v>0</v>
      </c>
      <c r="N1265">
        <v>2400</v>
      </c>
    </row>
    <row r="1266" spans="1:14" x14ac:dyDescent="0.25">
      <c r="A1266">
        <v>867.29893800000002</v>
      </c>
      <c r="B1266" s="1">
        <f>DATE(2012,9,14) + TIME(7,10,28)</f>
        <v>41166.298935185187</v>
      </c>
      <c r="C1266">
        <v>80</v>
      </c>
      <c r="D1266">
        <v>79.951400757000002</v>
      </c>
      <c r="E1266">
        <v>50</v>
      </c>
      <c r="F1266">
        <v>39.379085541000002</v>
      </c>
      <c r="G1266">
        <v>1382.0456543</v>
      </c>
      <c r="H1266">
        <v>1368.5681152</v>
      </c>
      <c r="I1266">
        <v>1278.9160156</v>
      </c>
      <c r="J1266">
        <v>1256.4394531</v>
      </c>
      <c r="K1266">
        <v>2400</v>
      </c>
      <c r="L1266">
        <v>0</v>
      </c>
      <c r="M1266">
        <v>0</v>
      </c>
      <c r="N1266">
        <v>2400</v>
      </c>
    </row>
    <row r="1267" spans="1:14" x14ac:dyDescent="0.25">
      <c r="A1267">
        <v>869.27744299999995</v>
      </c>
      <c r="B1267" s="1">
        <f>DATE(2012,9,16) + TIME(6,39,31)</f>
        <v>41168.277442129627</v>
      </c>
      <c r="C1267">
        <v>80</v>
      </c>
      <c r="D1267">
        <v>79.951454162999994</v>
      </c>
      <c r="E1267">
        <v>50</v>
      </c>
      <c r="F1267">
        <v>39.185176849000001</v>
      </c>
      <c r="G1267">
        <v>1381.9827881000001</v>
      </c>
      <c r="H1267">
        <v>1368.512207</v>
      </c>
      <c r="I1267">
        <v>1278.7294922000001</v>
      </c>
      <c r="J1267">
        <v>1256.1340332</v>
      </c>
      <c r="K1267">
        <v>2400</v>
      </c>
      <c r="L1267">
        <v>0</v>
      </c>
      <c r="M1267">
        <v>0</v>
      </c>
      <c r="N1267">
        <v>2400</v>
      </c>
    </row>
    <row r="1268" spans="1:14" x14ac:dyDescent="0.25">
      <c r="A1268">
        <v>871.28891199999998</v>
      </c>
      <c r="B1268" s="1">
        <f>DATE(2012,9,18) + TIME(6,56,2)</f>
        <v>41170.288912037038</v>
      </c>
      <c r="C1268">
        <v>80</v>
      </c>
      <c r="D1268">
        <v>79.951499939000001</v>
      </c>
      <c r="E1268">
        <v>50</v>
      </c>
      <c r="F1268">
        <v>38.988365172999998</v>
      </c>
      <c r="G1268">
        <v>1381.9195557</v>
      </c>
      <c r="H1268">
        <v>1368.4559326000001</v>
      </c>
      <c r="I1268">
        <v>1278.5406493999999</v>
      </c>
      <c r="J1268">
        <v>1255.8233643000001</v>
      </c>
      <c r="K1268">
        <v>2400</v>
      </c>
      <c r="L1268">
        <v>0</v>
      </c>
      <c r="M1268">
        <v>0</v>
      </c>
      <c r="N1268">
        <v>2400</v>
      </c>
    </row>
    <row r="1269" spans="1:14" x14ac:dyDescent="0.25">
      <c r="A1269">
        <v>873.32456000000002</v>
      </c>
      <c r="B1269" s="1">
        <f>DATE(2012,9,20) + TIME(7,47,21)</f>
        <v>41172.324548611112</v>
      </c>
      <c r="C1269">
        <v>80</v>
      </c>
      <c r="D1269">
        <v>79.951545714999995</v>
      </c>
      <c r="E1269">
        <v>50</v>
      </c>
      <c r="F1269">
        <v>38.788780211999999</v>
      </c>
      <c r="G1269">
        <v>1381.8558350000001</v>
      </c>
      <c r="H1269">
        <v>1368.3991699000001</v>
      </c>
      <c r="I1269">
        <v>1278.3493652</v>
      </c>
      <c r="J1269">
        <v>1255.5072021000001</v>
      </c>
      <c r="K1269">
        <v>2400</v>
      </c>
      <c r="L1269">
        <v>0</v>
      </c>
      <c r="M1269">
        <v>0</v>
      </c>
      <c r="N1269">
        <v>2400</v>
      </c>
    </row>
    <row r="1270" spans="1:14" x14ac:dyDescent="0.25">
      <c r="A1270">
        <v>875.38489100000004</v>
      </c>
      <c r="B1270" s="1">
        <f>DATE(2012,9,22) + TIME(9,14,14)</f>
        <v>41174.384884259256</v>
      </c>
      <c r="C1270">
        <v>80</v>
      </c>
      <c r="D1270">
        <v>79.951599121000001</v>
      </c>
      <c r="E1270">
        <v>50</v>
      </c>
      <c r="F1270">
        <v>38.586997986</v>
      </c>
      <c r="G1270">
        <v>1381.7918701000001</v>
      </c>
      <c r="H1270">
        <v>1368.3421631000001</v>
      </c>
      <c r="I1270">
        <v>1278.1563721</v>
      </c>
      <c r="J1270">
        <v>1255.1868896000001</v>
      </c>
      <c r="K1270">
        <v>2400</v>
      </c>
      <c r="L1270">
        <v>0</v>
      </c>
      <c r="M1270">
        <v>0</v>
      </c>
      <c r="N1270">
        <v>2400</v>
      </c>
    </row>
    <row r="1271" spans="1:14" x14ac:dyDescent="0.25">
      <c r="A1271">
        <v>877.45838000000003</v>
      </c>
      <c r="B1271" s="1">
        <f>DATE(2012,9,24) + TIME(11,0,4)</f>
        <v>41176.458379629628</v>
      </c>
      <c r="C1271">
        <v>80</v>
      </c>
      <c r="D1271">
        <v>79.951644896999994</v>
      </c>
      <c r="E1271">
        <v>50</v>
      </c>
      <c r="F1271">
        <v>38.383716583000002</v>
      </c>
      <c r="G1271">
        <v>1381.7275391000001</v>
      </c>
      <c r="H1271">
        <v>1368.2847899999999</v>
      </c>
      <c r="I1271">
        <v>1277.9622803</v>
      </c>
      <c r="J1271">
        <v>1254.8629149999999</v>
      </c>
      <c r="K1271">
        <v>2400</v>
      </c>
      <c r="L1271">
        <v>0</v>
      </c>
      <c r="M1271">
        <v>0</v>
      </c>
      <c r="N1271">
        <v>2400</v>
      </c>
    </row>
    <row r="1272" spans="1:14" x14ac:dyDescent="0.25">
      <c r="A1272">
        <v>879.54788399999995</v>
      </c>
      <c r="B1272" s="1">
        <f>DATE(2012,9,26) + TIME(13,8,57)</f>
        <v>41178.547881944447</v>
      </c>
      <c r="C1272">
        <v>80</v>
      </c>
      <c r="D1272">
        <v>79.951698303000001</v>
      </c>
      <c r="E1272">
        <v>50</v>
      </c>
      <c r="F1272">
        <v>38.179767609000002</v>
      </c>
      <c r="G1272">
        <v>1381.6634521000001</v>
      </c>
      <c r="H1272">
        <v>1368.2274170000001</v>
      </c>
      <c r="I1272">
        <v>1277.7680664</v>
      </c>
      <c r="J1272">
        <v>1254.5369873</v>
      </c>
      <c r="K1272">
        <v>2400</v>
      </c>
      <c r="L1272">
        <v>0</v>
      </c>
      <c r="M1272">
        <v>0</v>
      </c>
      <c r="N1272">
        <v>2400</v>
      </c>
    </row>
    <row r="1273" spans="1:14" x14ac:dyDescent="0.25">
      <c r="A1273">
        <v>881.64599999999996</v>
      </c>
      <c r="B1273" s="1">
        <f>DATE(2012,9,28) + TIME(15,30,14)</f>
        <v>41180.645995370367</v>
      </c>
      <c r="C1273">
        <v>80</v>
      </c>
      <c r="D1273">
        <v>79.951744079999997</v>
      </c>
      <c r="E1273">
        <v>50</v>
      </c>
      <c r="F1273">
        <v>37.975753783999998</v>
      </c>
      <c r="G1273">
        <v>1381.5992432</v>
      </c>
      <c r="H1273">
        <v>1368.1700439000001</v>
      </c>
      <c r="I1273">
        <v>1277.5739745999999</v>
      </c>
      <c r="J1273">
        <v>1254.2097168</v>
      </c>
      <c r="K1273">
        <v>2400</v>
      </c>
      <c r="L1273">
        <v>0</v>
      </c>
      <c r="M1273">
        <v>0</v>
      </c>
      <c r="N1273">
        <v>2400</v>
      </c>
    </row>
    <row r="1274" spans="1:14" x14ac:dyDescent="0.25">
      <c r="A1274">
        <v>883.76057100000003</v>
      </c>
      <c r="B1274" s="1">
        <f>DATE(2012,9,30) + TIME(18,15,13)</f>
        <v>41182.760567129626</v>
      </c>
      <c r="C1274">
        <v>80</v>
      </c>
      <c r="D1274">
        <v>79.951797485</v>
      </c>
      <c r="E1274">
        <v>50</v>
      </c>
      <c r="F1274">
        <v>37.772212981999999</v>
      </c>
      <c r="G1274">
        <v>1381.5354004000001</v>
      </c>
      <c r="H1274">
        <v>1368.1126709</v>
      </c>
      <c r="I1274">
        <v>1277.3809814000001</v>
      </c>
      <c r="J1274">
        <v>1253.8820800999999</v>
      </c>
      <c r="K1274">
        <v>2400</v>
      </c>
      <c r="L1274">
        <v>0</v>
      </c>
      <c r="M1274">
        <v>0</v>
      </c>
      <c r="N1274">
        <v>2400</v>
      </c>
    </row>
    <row r="1275" spans="1:14" x14ac:dyDescent="0.25">
      <c r="A1275">
        <v>884</v>
      </c>
      <c r="B1275" s="1">
        <f>DATE(2012,10,1) + TIME(0,0,0)</f>
        <v>41183</v>
      </c>
      <c r="C1275">
        <v>80</v>
      </c>
      <c r="D1275">
        <v>79.951789856000005</v>
      </c>
      <c r="E1275">
        <v>50</v>
      </c>
      <c r="F1275">
        <v>37.710044861</v>
      </c>
      <c r="G1275">
        <v>1381.4735106999999</v>
      </c>
      <c r="H1275">
        <v>1368.057251</v>
      </c>
      <c r="I1275">
        <v>1277.2021483999999</v>
      </c>
      <c r="J1275">
        <v>1253.6417236</v>
      </c>
      <c r="K1275">
        <v>2400</v>
      </c>
      <c r="L1275">
        <v>0</v>
      </c>
      <c r="M1275">
        <v>0</v>
      </c>
      <c r="N1275">
        <v>2400</v>
      </c>
    </row>
    <row r="1276" spans="1:14" x14ac:dyDescent="0.25">
      <c r="A1276">
        <v>886.13808300000005</v>
      </c>
      <c r="B1276" s="1">
        <f>DATE(2012,10,3) + TIME(3,18,50)</f>
        <v>41185.138078703705</v>
      </c>
      <c r="C1276">
        <v>80</v>
      </c>
      <c r="D1276">
        <v>79.951858521000005</v>
      </c>
      <c r="E1276">
        <v>50</v>
      </c>
      <c r="F1276">
        <v>37.535202026</v>
      </c>
      <c r="G1276">
        <v>1381.4638672000001</v>
      </c>
      <c r="H1276">
        <v>1368.0484618999999</v>
      </c>
      <c r="I1276">
        <v>1277.1632079999999</v>
      </c>
      <c r="J1276">
        <v>1253.5051269999999</v>
      </c>
      <c r="K1276">
        <v>2400</v>
      </c>
      <c r="L1276">
        <v>0</v>
      </c>
      <c r="M1276">
        <v>0</v>
      </c>
      <c r="N1276">
        <v>2400</v>
      </c>
    </row>
    <row r="1277" spans="1:14" x14ac:dyDescent="0.25">
      <c r="A1277">
        <v>888.30905099999995</v>
      </c>
      <c r="B1277" s="1">
        <f>DATE(2012,10,5) + TIME(7,25,2)</f>
        <v>41187.309050925927</v>
      </c>
      <c r="C1277">
        <v>80</v>
      </c>
      <c r="D1277">
        <v>79.951911925999994</v>
      </c>
      <c r="E1277">
        <v>50</v>
      </c>
      <c r="F1277">
        <v>37.340705872000001</v>
      </c>
      <c r="G1277">
        <v>1381.3999022999999</v>
      </c>
      <c r="H1277">
        <v>1367.9910889</v>
      </c>
      <c r="I1277">
        <v>1276.9741211</v>
      </c>
      <c r="J1277">
        <v>1253.1842041</v>
      </c>
      <c r="K1277">
        <v>2400</v>
      </c>
      <c r="L1277">
        <v>0</v>
      </c>
      <c r="M1277">
        <v>0</v>
      </c>
      <c r="N1277">
        <v>2400</v>
      </c>
    </row>
    <row r="1278" spans="1:14" x14ac:dyDescent="0.25">
      <c r="A1278">
        <v>890.50060499999995</v>
      </c>
      <c r="B1278" s="1">
        <f>DATE(2012,10,7) + TIME(12,0,52)</f>
        <v>41189.500601851854</v>
      </c>
      <c r="C1278">
        <v>80</v>
      </c>
      <c r="D1278">
        <v>79.951965332</v>
      </c>
      <c r="E1278">
        <v>50</v>
      </c>
      <c r="F1278">
        <v>37.141109467</v>
      </c>
      <c r="G1278">
        <v>1381.3352050999999</v>
      </c>
      <c r="H1278">
        <v>1367.9327393000001</v>
      </c>
      <c r="I1278">
        <v>1276.7829589999999</v>
      </c>
      <c r="J1278">
        <v>1252.8554687999999</v>
      </c>
      <c r="K1278">
        <v>2400</v>
      </c>
      <c r="L1278">
        <v>0</v>
      </c>
      <c r="M1278">
        <v>0</v>
      </c>
      <c r="N1278">
        <v>2400</v>
      </c>
    </row>
    <row r="1279" spans="1:14" x14ac:dyDescent="0.25">
      <c r="A1279">
        <v>892.71574699999996</v>
      </c>
      <c r="B1279" s="1">
        <f>DATE(2012,10,9) + TIME(17,10,40)</f>
        <v>41191.715740740743</v>
      </c>
      <c r="C1279">
        <v>80</v>
      </c>
      <c r="D1279">
        <v>79.952018738000007</v>
      </c>
      <c r="E1279">
        <v>50</v>
      </c>
      <c r="F1279">
        <v>36.941467285000002</v>
      </c>
      <c r="G1279">
        <v>1381.2702637</v>
      </c>
      <c r="H1279">
        <v>1367.8742675999999</v>
      </c>
      <c r="I1279">
        <v>1276.5926514</v>
      </c>
      <c r="J1279">
        <v>1252.5252685999999</v>
      </c>
      <c r="K1279">
        <v>2400</v>
      </c>
      <c r="L1279">
        <v>0</v>
      </c>
      <c r="M1279">
        <v>0</v>
      </c>
      <c r="N1279">
        <v>2400</v>
      </c>
    </row>
    <row r="1280" spans="1:14" x14ac:dyDescent="0.25">
      <c r="A1280">
        <v>894.94248600000003</v>
      </c>
      <c r="B1280" s="1">
        <f>DATE(2012,10,11) + TIME(22,37,10)</f>
        <v>41193.942476851851</v>
      </c>
      <c r="C1280">
        <v>80</v>
      </c>
      <c r="D1280">
        <v>79.952072143999999</v>
      </c>
      <c r="E1280">
        <v>50</v>
      </c>
      <c r="F1280">
        <v>36.743877411</v>
      </c>
      <c r="G1280">
        <v>1381.2050781</v>
      </c>
      <c r="H1280">
        <v>1367.8154297000001</v>
      </c>
      <c r="I1280">
        <v>1276.4035644999999</v>
      </c>
      <c r="J1280">
        <v>1252.1954346</v>
      </c>
      <c r="K1280">
        <v>2400</v>
      </c>
      <c r="L1280">
        <v>0</v>
      </c>
      <c r="M1280">
        <v>0</v>
      </c>
      <c r="N1280">
        <v>2400</v>
      </c>
    </row>
    <row r="1281" spans="1:14" x14ac:dyDescent="0.25">
      <c r="A1281">
        <v>897.17000499999995</v>
      </c>
      <c r="B1281" s="1">
        <f>DATE(2012,10,14) + TIME(4,4,48)</f>
        <v>41196.17</v>
      </c>
      <c r="C1281">
        <v>80</v>
      </c>
      <c r="D1281">
        <v>79.952125549000002</v>
      </c>
      <c r="E1281">
        <v>50</v>
      </c>
      <c r="F1281">
        <v>36.550163269000002</v>
      </c>
      <c r="G1281">
        <v>1381.1400146000001</v>
      </c>
      <c r="H1281">
        <v>1367.7564697</v>
      </c>
      <c r="I1281">
        <v>1276.2172852000001</v>
      </c>
      <c r="J1281">
        <v>1251.8684082</v>
      </c>
      <c r="K1281">
        <v>2400</v>
      </c>
      <c r="L1281">
        <v>0</v>
      </c>
      <c r="M1281">
        <v>0</v>
      </c>
      <c r="N1281">
        <v>2400</v>
      </c>
    </row>
    <row r="1282" spans="1:14" x14ac:dyDescent="0.25">
      <c r="A1282">
        <v>899.409673</v>
      </c>
      <c r="B1282" s="1">
        <f>DATE(2012,10,16) + TIME(9,49,55)</f>
        <v>41198.40966435185</v>
      </c>
      <c r="C1282">
        <v>80</v>
      </c>
      <c r="D1282">
        <v>79.952178954999994</v>
      </c>
      <c r="E1282">
        <v>50</v>
      </c>
      <c r="F1282">
        <v>36.361469268999997</v>
      </c>
      <c r="G1282">
        <v>1381.0751952999999</v>
      </c>
      <c r="H1282">
        <v>1367.697876</v>
      </c>
      <c r="I1282">
        <v>1276.0351562000001</v>
      </c>
      <c r="J1282">
        <v>1251.5462646000001</v>
      </c>
      <c r="K1282">
        <v>2400</v>
      </c>
      <c r="L1282">
        <v>0</v>
      </c>
      <c r="M1282">
        <v>0</v>
      </c>
      <c r="N1282">
        <v>2400</v>
      </c>
    </row>
    <row r="1283" spans="1:14" x14ac:dyDescent="0.25">
      <c r="A1283">
        <v>901.66887899999995</v>
      </c>
      <c r="B1283" s="1">
        <f>DATE(2012,10,18) + TIME(16,3,11)</f>
        <v>41200.668877314813</v>
      </c>
      <c r="C1283">
        <v>80</v>
      </c>
      <c r="D1283">
        <v>79.952232361</v>
      </c>
      <c r="E1283">
        <v>50</v>
      </c>
      <c r="F1283">
        <v>36.178050995</v>
      </c>
      <c r="G1283">
        <v>1381.010376</v>
      </c>
      <c r="H1283">
        <v>1367.6391602000001</v>
      </c>
      <c r="I1283">
        <v>1275.8564452999999</v>
      </c>
      <c r="J1283">
        <v>1251.2286377</v>
      </c>
      <c r="K1283">
        <v>2400</v>
      </c>
      <c r="L1283">
        <v>0</v>
      </c>
      <c r="M1283">
        <v>0</v>
      </c>
      <c r="N1283">
        <v>2400</v>
      </c>
    </row>
    <row r="1284" spans="1:14" x14ac:dyDescent="0.25">
      <c r="A1284">
        <v>903.952178</v>
      </c>
      <c r="B1284" s="1">
        <f>DATE(2012,10,20) + TIME(22,51,8)</f>
        <v>41202.952175925922</v>
      </c>
      <c r="C1284">
        <v>80</v>
      </c>
      <c r="D1284">
        <v>79.952293396000002</v>
      </c>
      <c r="E1284">
        <v>50</v>
      </c>
      <c r="F1284">
        <v>36.000225067000002</v>
      </c>
      <c r="G1284">
        <v>1380.9454346</v>
      </c>
      <c r="H1284">
        <v>1367.5802002</v>
      </c>
      <c r="I1284">
        <v>1275.6811522999999</v>
      </c>
      <c r="J1284">
        <v>1250.9150391000001</v>
      </c>
      <c r="K1284">
        <v>2400</v>
      </c>
      <c r="L1284">
        <v>0</v>
      </c>
      <c r="M1284">
        <v>0</v>
      </c>
      <c r="N1284">
        <v>2400</v>
      </c>
    </row>
    <row r="1285" spans="1:14" x14ac:dyDescent="0.25">
      <c r="A1285">
        <v>906.26289699999995</v>
      </c>
      <c r="B1285" s="1">
        <f>DATE(2012,10,23) + TIME(6,18,34)</f>
        <v>41205.26289351852</v>
      </c>
      <c r="C1285">
        <v>80</v>
      </c>
      <c r="D1285">
        <v>79.952346801999994</v>
      </c>
      <c r="E1285">
        <v>50</v>
      </c>
      <c r="F1285">
        <v>35.828552246000001</v>
      </c>
      <c r="G1285">
        <v>1380.880249</v>
      </c>
      <c r="H1285">
        <v>1367.520874</v>
      </c>
      <c r="I1285">
        <v>1275.5092772999999</v>
      </c>
      <c r="J1285">
        <v>1250.6058350000001</v>
      </c>
      <c r="K1285">
        <v>2400</v>
      </c>
      <c r="L1285">
        <v>0</v>
      </c>
      <c r="M1285">
        <v>0</v>
      </c>
      <c r="N1285">
        <v>2400</v>
      </c>
    </row>
    <row r="1286" spans="1:14" x14ac:dyDescent="0.25">
      <c r="A1286">
        <v>908.60470699999996</v>
      </c>
      <c r="B1286" s="1">
        <f>DATE(2012,10,25) + TIME(14,30,46)</f>
        <v>41207.604699074072</v>
      </c>
      <c r="C1286">
        <v>80</v>
      </c>
      <c r="D1286">
        <v>79.952407836999996</v>
      </c>
      <c r="E1286">
        <v>50</v>
      </c>
      <c r="F1286">
        <v>35.663791656000001</v>
      </c>
      <c r="G1286">
        <v>1380.8144531</v>
      </c>
      <c r="H1286">
        <v>1367.4610596</v>
      </c>
      <c r="I1286">
        <v>1275.3410644999999</v>
      </c>
      <c r="J1286">
        <v>1250.3013916</v>
      </c>
      <c r="K1286">
        <v>2400</v>
      </c>
      <c r="L1286">
        <v>0</v>
      </c>
      <c r="M1286">
        <v>0</v>
      </c>
      <c r="N1286">
        <v>2400</v>
      </c>
    </row>
    <row r="1287" spans="1:14" x14ac:dyDescent="0.25">
      <c r="A1287">
        <v>910.96012299999995</v>
      </c>
      <c r="B1287" s="1">
        <f>DATE(2012,10,27) + TIME(23,2,34)</f>
        <v>41209.960115740738</v>
      </c>
      <c r="C1287">
        <v>80</v>
      </c>
      <c r="D1287">
        <v>79.952461243000002</v>
      </c>
      <c r="E1287">
        <v>50</v>
      </c>
      <c r="F1287">
        <v>35.507198334000002</v>
      </c>
      <c r="G1287">
        <v>1380.7481689000001</v>
      </c>
      <c r="H1287">
        <v>1367.4006348</v>
      </c>
      <c r="I1287">
        <v>1275.1767577999999</v>
      </c>
      <c r="J1287">
        <v>1250.0025635</v>
      </c>
      <c r="K1287">
        <v>2400</v>
      </c>
      <c r="L1287">
        <v>0</v>
      </c>
      <c r="M1287">
        <v>0</v>
      </c>
      <c r="N1287">
        <v>2400</v>
      </c>
    </row>
    <row r="1288" spans="1:14" x14ac:dyDescent="0.25">
      <c r="A1288">
        <v>913.33656900000005</v>
      </c>
      <c r="B1288" s="1">
        <f>DATE(2012,10,30) + TIME(8,4,39)</f>
        <v>41212.336562500001</v>
      </c>
      <c r="C1288">
        <v>80</v>
      </c>
      <c r="D1288">
        <v>79.952522278000004</v>
      </c>
      <c r="E1288">
        <v>50</v>
      </c>
      <c r="F1288">
        <v>35.360363006999997</v>
      </c>
      <c r="G1288">
        <v>1380.6818848</v>
      </c>
      <c r="H1288">
        <v>1367.3400879000001</v>
      </c>
      <c r="I1288">
        <v>1275.0178223</v>
      </c>
      <c r="J1288">
        <v>1249.7120361</v>
      </c>
      <c r="K1288">
        <v>2400</v>
      </c>
      <c r="L1288">
        <v>0</v>
      </c>
      <c r="M1288">
        <v>0</v>
      </c>
      <c r="N1288">
        <v>2400</v>
      </c>
    </row>
    <row r="1289" spans="1:14" x14ac:dyDescent="0.25">
      <c r="A1289">
        <v>915</v>
      </c>
      <c r="B1289" s="1">
        <f>DATE(2012,11,1) + TIME(0,0,0)</f>
        <v>41214</v>
      </c>
      <c r="C1289">
        <v>80</v>
      </c>
      <c r="D1289">
        <v>79.952560425000001</v>
      </c>
      <c r="E1289">
        <v>50</v>
      </c>
      <c r="F1289">
        <v>35.238307953000003</v>
      </c>
      <c r="G1289">
        <v>1380.6152344</v>
      </c>
      <c r="H1289">
        <v>1367.2791748</v>
      </c>
      <c r="I1289">
        <v>1274.8675536999999</v>
      </c>
      <c r="J1289">
        <v>1249.4426269999999</v>
      </c>
      <c r="K1289">
        <v>2400</v>
      </c>
      <c r="L1289">
        <v>0</v>
      </c>
      <c r="M1289">
        <v>0</v>
      </c>
      <c r="N1289">
        <v>2400</v>
      </c>
    </row>
    <row r="1290" spans="1:14" x14ac:dyDescent="0.25">
      <c r="A1290">
        <v>915.000001</v>
      </c>
      <c r="B1290" s="1">
        <f>DATE(2012,11,1) + TIME(0,0,0)</f>
        <v>41214</v>
      </c>
      <c r="C1290">
        <v>80</v>
      </c>
      <c r="D1290">
        <v>79.952430724999999</v>
      </c>
      <c r="E1290">
        <v>50</v>
      </c>
      <c r="F1290">
        <v>35.238430022999999</v>
      </c>
      <c r="G1290">
        <v>1366.4073486</v>
      </c>
      <c r="H1290">
        <v>1354.4291992000001</v>
      </c>
      <c r="I1290">
        <v>1300.9997559000001</v>
      </c>
      <c r="J1290">
        <v>1275.7579346</v>
      </c>
      <c r="K1290">
        <v>0</v>
      </c>
      <c r="L1290">
        <v>2400</v>
      </c>
      <c r="M1290">
        <v>2400</v>
      </c>
      <c r="N1290">
        <v>0</v>
      </c>
    </row>
    <row r="1291" spans="1:14" x14ac:dyDescent="0.25">
      <c r="A1291">
        <v>915.00000399999999</v>
      </c>
      <c r="B1291" s="1">
        <f>DATE(2012,11,1) + TIME(0,0,0)</f>
        <v>41214</v>
      </c>
      <c r="C1291">
        <v>80</v>
      </c>
      <c r="D1291">
        <v>79.952117920000006</v>
      </c>
      <c r="E1291">
        <v>50</v>
      </c>
      <c r="F1291">
        <v>35.238765717</v>
      </c>
      <c r="G1291">
        <v>1364.2048339999999</v>
      </c>
      <c r="H1291">
        <v>1352.2260742000001</v>
      </c>
      <c r="I1291">
        <v>1303.4063721</v>
      </c>
      <c r="J1291">
        <v>1278.1947021000001</v>
      </c>
      <c r="K1291">
        <v>0</v>
      </c>
      <c r="L1291">
        <v>2400</v>
      </c>
      <c r="M1291">
        <v>2400</v>
      </c>
      <c r="N1291">
        <v>0</v>
      </c>
    </row>
    <row r="1292" spans="1:14" x14ac:dyDescent="0.25">
      <c r="A1292">
        <v>915.00001299999997</v>
      </c>
      <c r="B1292" s="1">
        <f>DATE(2012,11,1) + TIME(0,0,1)</f>
        <v>41214.000011574077</v>
      </c>
      <c r="C1292">
        <v>80</v>
      </c>
      <c r="D1292">
        <v>79.951484679999993</v>
      </c>
      <c r="E1292">
        <v>50</v>
      </c>
      <c r="F1292">
        <v>35.239597320999998</v>
      </c>
      <c r="G1292">
        <v>1359.7586670000001</v>
      </c>
      <c r="H1292">
        <v>1347.7792969</v>
      </c>
      <c r="I1292">
        <v>1309.1292725000001</v>
      </c>
      <c r="J1292">
        <v>1283.9730225000001</v>
      </c>
      <c r="K1292">
        <v>0</v>
      </c>
      <c r="L1292">
        <v>2400</v>
      </c>
      <c r="M1292">
        <v>2400</v>
      </c>
      <c r="N1292">
        <v>0</v>
      </c>
    </row>
    <row r="1293" spans="1:14" x14ac:dyDescent="0.25">
      <c r="A1293">
        <v>915.00004000000001</v>
      </c>
      <c r="B1293" s="1">
        <f>DATE(2012,11,1) + TIME(0,0,3)</f>
        <v>41214.000034722223</v>
      </c>
      <c r="C1293">
        <v>80</v>
      </c>
      <c r="D1293">
        <v>79.950561523000005</v>
      </c>
      <c r="E1293">
        <v>50</v>
      </c>
      <c r="F1293">
        <v>35.241298676</v>
      </c>
      <c r="G1293">
        <v>1353.2648925999999</v>
      </c>
      <c r="H1293">
        <v>1341.2861327999999</v>
      </c>
      <c r="I1293">
        <v>1319.5751952999999</v>
      </c>
      <c r="J1293">
        <v>1294.4682617000001</v>
      </c>
      <c r="K1293">
        <v>0</v>
      </c>
      <c r="L1293">
        <v>2400</v>
      </c>
      <c r="M1293">
        <v>2400</v>
      </c>
      <c r="N1293">
        <v>0</v>
      </c>
    </row>
    <row r="1294" spans="1:14" x14ac:dyDescent="0.25">
      <c r="A1294">
        <v>915.00012100000004</v>
      </c>
      <c r="B1294" s="1">
        <f>DATE(2012,11,1) + TIME(0,0,10)</f>
        <v>41214.000115740739</v>
      </c>
      <c r="C1294">
        <v>80</v>
      </c>
      <c r="D1294">
        <v>79.949516295999999</v>
      </c>
      <c r="E1294">
        <v>50</v>
      </c>
      <c r="F1294">
        <v>35.244319916000002</v>
      </c>
      <c r="G1294">
        <v>1346.0344238</v>
      </c>
      <c r="H1294">
        <v>1334.0622559000001</v>
      </c>
      <c r="I1294">
        <v>1333.3139647999999</v>
      </c>
      <c r="J1294">
        <v>1308.2205810999999</v>
      </c>
      <c r="K1294">
        <v>0</v>
      </c>
      <c r="L1294">
        <v>2400</v>
      </c>
      <c r="M1294">
        <v>2400</v>
      </c>
      <c r="N1294">
        <v>0</v>
      </c>
    </row>
    <row r="1295" spans="1:14" x14ac:dyDescent="0.25">
      <c r="A1295">
        <v>915.00036399999999</v>
      </c>
      <c r="B1295" s="1">
        <f>DATE(2012,11,1) + TIME(0,0,31)</f>
        <v>41214.000358796293</v>
      </c>
      <c r="C1295">
        <v>80</v>
      </c>
      <c r="D1295">
        <v>79.948432921999995</v>
      </c>
      <c r="E1295">
        <v>50</v>
      </c>
      <c r="F1295">
        <v>35.250263214</v>
      </c>
      <c r="G1295">
        <v>1338.7650146000001</v>
      </c>
      <c r="H1295">
        <v>1326.8007812000001</v>
      </c>
      <c r="I1295">
        <v>1347.9561768000001</v>
      </c>
      <c r="J1295">
        <v>1322.8638916</v>
      </c>
      <c r="K1295">
        <v>0</v>
      </c>
      <c r="L1295">
        <v>2400</v>
      </c>
      <c r="M1295">
        <v>2400</v>
      </c>
      <c r="N1295">
        <v>0</v>
      </c>
    </row>
    <row r="1296" spans="1:14" x14ac:dyDescent="0.25">
      <c r="A1296">
        <v>915.00109299999997</v>
      </c>
      <c r="B1296" s="1">
        <f>DATE(2012,11,1) + TIME(0,1,34)</f>
        <v>41214.001087962963</v>
      </c>
      <c r="C1296">
        <v>80</v>
      </c>
      <c r="D1296">
        <v>79.947235106999997</v>
      </c>
      <c r="E1296">
        <v>50</v>
      </c>
      <c r="F1296">
        <v>35.264701842999997</v>
      </c>
      <c r="G1296">
        <v>1331.4414062000001</v>
      </c>
      <c r="H1296">
        <v>1319.4613036999999</v>
      </c>
      <c r="I1296">
        <v>1362.8636475000001</v>
      </c>
      <c r="J1296">
        <v>1337.7597656</v>
      </c>
      <c r="K1296">
        <v>0</v>
      </c>
      <c r="L1296">
        <v>2400</v>
      </c>
      <c r="M1296">
        <v>2400</v>
      </c>
      <c r="N1296">
        <v>0</v>
      </c>
    </row>
    <row r="1297" spans="1:14" x14ac:dyDescent="0.25">
      <c r="A1297">
        <v>915.00328000000002</v>
      </c>
      <c r="B1297" s="1">
        <f>DATE(2012,11,1) + TIME(0,4,43)</f>
        <v>41214.003275462965</v>
      </c>
      <c r="C1297">
        <v>80</v>
      </c>
      <c r="D1297">
        <v>79.945640564000001</v>
      </c>
      <c r="E1297">
        <v>50</v>
      </c>
      <c r="F1297">
        <v>35.304592133</v>
      </c>
      <c r="G1297">
        <v>1323.6437988</v>
      </c>
      <c r="H1297">
        <v>1311.5637207</v>
      </c>
      <c r="I1297">
        <v>1378.2205810999999</v>
      </c>
      <c r="J1297">
        <v>1353.0595702999999</v>
      </c>
      <c r="K1297">
        <v>0</v>
      </c>
      <c r="L1297">
        <v>2400</v>
      </c>
      <c r="M1297">
        <v>2400</v>
      </c>
      <c r="N1297">
        <v>0</v>
      </c>
    </row>
    <row r="1298" spans="1:14" x14ac:dyDescent="0.25">
      <c r="A1298">
        <v>915.00984100000005</v>
      </c>
      <c r="B1298" s="1">
        <f>DATE(2012,11,1) + TIME(0,14,10)</f>
        <v>41214.009837962964</v>
      </c>
      <c r="C1298">
        <v>80</v>
      </c>
      <c r="D1298">
        <v>79.942955017000003</v>
      </c>
      <c r="E1298">
        <v>50</v>
      </c>
      <c r="F1298">
        <v>35.420417786000002</v>
      </c>
      <c r="G1298">
        <v>1315.005249</v>
      </c>
      <c r="H1298">
        <v>1302.7822266000001</v>
      </c>
      <c r="I1298">
        <v>1393.2927245999999</v>
      </c>
      <c r="J1298">
        <v>1368.0396728999999</v>
      </c>
      <c r="K1298">
        <v>0</v>
      </c>
      <c r="L1298">
        <v>2400</v>
      </c>
      <c r="M1298">
        <v>2400</v>
      </c>
      <c r="N1298">
        <v>0</v>
      </c>
    </row>
    <row r="1299" spans="1:14" x14ac:dyDescent="0.25">
      <c r="A1299">
        <v>915.02952400000004</v>
      </c>
      <c r="B1299" s="1">
        <f>DATE(2012,11,1) + TIME(0,42,30)</f>
        <v>41214.029513888891</v>
      </c>
      <c r="C1299">
        <v>80</v>
      </c>
      <c r="D1299">
        <v>79.937477111999996</v>
      </c>
      <c r="E1299">
        <v>50</v>
      </c>
      <c r="F1299">
        <v>35.758117675999998</v>
      </c>
      <c r="G1299">
        <v>1306.9855957</v>
      </c>
      <c r="H1299">
        <v>1294.6761475000001</v>
      </c>
      <c r="I1299">
        <v>1404.8841553</v>
      </c>
      <c r="J1299">
        <v>1379.6475829999999</v>
      </c>
      <c r="K1299">
        <v>0</v>
      </c>
      <c r="L1299">
        <v>2400</v>
      </c>
      <c r="M1299">
        <v>2400</v>
      </c>
      <c r="N1299">
        <v>0</v>
      </c>
    </row>
    <row r="1300" spans="1:14" x14ac:dyDescent="0.25">
      <c r="A1300">
        <v>915.075649</v>
      </c>
      <c r="B1300" s="1">
        <f>DATE(2012,11,1) + TIME(1,48,56)</f>
        <v>41214.075648148151</v>
      </c>
      <c r="C1300">
        <v>80</v>
      </c>
      <c r="D1300">
        <v>79.927032471000004</v>
      </c>
      <c r="E1300">
        <v>50</v>
      </c>
      <c r="F1300">
        <v>36.508136749000002</v>
      </c>
      <c r="G1300">
        <v>1302.6671143000001</v>
      </c>
      <c r="H1300">
        <v>1290.3280029</v>
      </c>
      <c r="I1300">
        <v>1409.434082</v>
      </c>
      <c r="J1300">
        <v>1384.4793701000001</v>
      </c>
      <c r="K1300">
        <v>0</v>
      </c>
      <c r="L1300">
        <v>2400</v>
      </c>
      <c r="M1300">
        <v>2400</v>
      </c>
      <c r="N1300">
        <v>0</v>
      </c>
    </row>
    <row r="1301" spans="1:14" x14ac:dyDescent="0.25">
      <c r="A1301">
        <v>915.124054</v>
      </c>
      <c r="B1301" s="1">
        <f>DATE(2012,11,1) + TIME(2,58,38)</f>
        <v>41214.124050925922</v>
      </c>
      <c r="C1301">
        <v>80</v>
      </c>
      <c r="D1301">
        <v>79.916702271000005</v>
      </c>
      <c r="E1301">
        <v>50</v>
      </c>
      <c r="F1301">
        <v>37.253177643000001</v>
      </c>
      <c r="G1301">
        <v>1301.4744873</v>
      </c>
      <c r="H1301">
        <v>1289.1285399999999</v>
      </c>
      <c r="I1301">
        <v>1409.9506836</v>
      </c>
      <c r="J1301">
        <v>1385.3059082</v>
      </c>
      <c r="K1301">
        <v>0</v>
      </c>
      <c r="L1301">
        <v>2400</v>
      </c>
      <c r="M1301">
        <v>2400</v>
      </c>
      <c r="N1301">
        <v>0</v>
      </c>
    </row>
    <row r="1302" spans="1:14" x14ac:dyDescent="0.25">
      <c r="A1302">
        <v>915.17471799999998</v>
      </c>
      <c r="B1302" s="1">
        <f>DATE(2012,11,1) + TIME(4,11,35)</f>
        <v>41214.174710648149</v>
      </c>
      <c r="C1302">
        <v>80</v>
      </c>
      <c r="D1302">
        <v>79.906196593999994</v>
      </c>
      <c r="E1302">
        <v>50</v>
      </c>
      <c r="F1302">
        <v>37.989368439000003</v>
      </c>
      <c r="G1302">
        <v>1301.1166992000001</v>
      </c>
      <c r="H1302">
        <v>1288.7686768000001</v>
      </c>
      <c r="I1302">
        <v>1409.6365966999999</v>
      </c>
      <c r="J1302">
        <v>1385.3011475000001</v>
      </c>
      <c r="K1302">
        <v>0</v>
      </c>
      <c r="L1302">
        <v>2400</v>
      </c>
      <c r="M1302">
        <v>2400</v>
      </c>
      <c r="N1302">
        <v>0</v>
      </c>
    </row>
    <row r="1303" spans="1:14" x14ac:dyDescent="0.25">
      <c r="A1303">
        <v>915.22782800000004</v>
      </c>
      <c r="B1303" s="1">
        <f>DATE(2012,11,1) + TIME(5,28,4)</f>
        <v>41214.227824074071</v>
      </c>
      <c r="C1303">
        <v>80</v>
      </c>
      <c r="D1303">
        <v>79.895416260000005</v>
      </c>
      <c r="E1303">
        <v>50</v>
      </c>
      <c r="F1303">
        <v>38.715789794999999</v>
      </c>
      <c r="G1303">
        <v>1301.0007324000001</v>
      </c>
      <c r="H1303">
        <v>1288.6516113</v>
      </c>
      <c r="I1303">
        <v>1409.1777344</v>
      </c>
      <c r="J1303">
        <v>1385.1420897999999</v>
      </c>
      <c r="K1303">
        <v>0</v>
      </c>
      <c r="L1303">
        <v>2400</v>
      </c>
      <c r="M1303">
        <v>2400</v>
      </c>
      <c r="N1303">
        <v>0</v>
      </c>
    </row>
    <row r="1304" spans="1:14" x14ac:dyDescent="0.25">
      <c r="A1304">
        <v>915.28364199999999</v>
      </c>
      <c r="B1304" s="1">
        <f>DATE(2012,11,1) + TIME(6,48,26)</f>
        <v>41214.283634259256</v>
      </c>
      <c r="C1304">
        <v>80</v>
      </c>
      <c r="D1304">
        <v>79.884300232000001</v>
      </c>
      <c r="E1304">
        <v>50</v>
      </c>
      <c r="F1304">
        <v>39.432037354000002</v>
      </c>
      <c r="G1304">
        <v>1300.9597168</v>
      </c>
      <c r="H1304">
        <v>1288.6098632999999</v>
      </c>
      <c r="I1304">
        <v>1408.7137451000001</v>
      </c>
      <c r="J1304">
        <v>1384.9672852000001</v>
      </c>
      <c r="K1304">
        <v>0</v>
      </c>
      <c r="L1304">
        <v>2400</v>
      </c>
      <c r="M1304">
        <v>2400</v>
      </c>
      <c r="N1304">
        <v>0</v>
      </c>
    </row>
    <row r="1305" spans="1:14" x14ac:dyDescent="0.25">
      <c r="A1305">
        <v>915.34246800000005</v>
      </c>
      <c r="B1305" s="1">
        <f>DATE(2012,11,1) + TIME(8,13,9)</f>
        <v>41214.342465277776</v>
      </c>
      <c r="C1305">
        <v>80</v>
      </c>
      <c r="D1305">
        <v>79.872810364000003</v>
      </c>
      <c r="E1305">
        <v>50</v>
      </c>
      <c r="F1305">
        <v>40.137775421000001</v>
      </c>
      <c r="G1305">
        <v>1300.9438477000001</v>
      </c>
      <c r="H1305">
        <v>1288.5933838000001</v>
      </c>
      <c r="I1305">
        <v>1408.2674560999999</v>
      </c>
      <c r="J1305">
        <v>1384.7991943</v>
      </c>
      <c r="K1305">
        <v>0</v>
      </c>
      <c r="L1305">
        <v>2400</v>
      </c>
      <c r="M1305">
        <v>2400</v>
      </c>
      <c r="N1305">
        <v>0</v>
      </c>
    </row>
    <row r="1306" spans="1:14" x14ac:dyDescent="0.25">
      <c r="A1306">
        <v>915.40466600000002</v>
      </c>
      <c r="B1306" s="1">
        <f>DATE(2012,11,1) + TIME(9,42,43)</f>
        <v>41214.404664351852</v>
      </c>
      <c r="C1306">
        <v>80</v>
      </c>
      <c r="D1306">
        <v>79.860885620000005</v>
      </c>
      <c r="E1306">
        <v>50</v>
      </c>
      <c r="F1306">
        <v>40.832717895999998</v>
      </c>
      <c r="G1306">
        <v>1300.9366454999999</v>
      </c>
      <c r="H1306">
        <v>1288.5855713000001</v>
      </c>
      <c r="I1306">
        <v>1407.8391113</v>
      </c>
      <c r="J1306">
        <v>1384.6385498</v>
      </c>
      <c r="K1306">
        <v>0</v>
      </c>
      <c r="L1306">
        <v>2400</v>
      </c>
      <c r="M1306">
        <v>2400</v>
      </c>
      <c r="N1306">
        <v>0</v>
      </c>
    </row>
    <row r="1307" spans="1:14" x14ac:dyDescent="0.25">
      <c r="A1307">
        <v>915.47066900000004</v>
      </c>
      <c r="B1307" s="1">
        <f>DATE(2012,11,1) + TIME(11,17,45)</f>
        <v>41214.470659722225</v>
      </c>
      <c r="C1307">
        <v>80</v>
      </c>
      <c r="D1307">
        <v>79.848487853999998</v>
      </c>
      <c r="E1307">
        <v>50</v>
      </c>
      <c r="F1307">
        <v>41.516273499</v>
      </c>
      <c r="G1307">
        <v>1300.9326172000001</v>
      </c>
      <c r="H1307">
        <v>1288.5809326000001</v>
      </c>
      <c r="I1307">
        <v>1407.4261475000001</v>
      </c>
      <c r="J1307">
        <v>1384.4829102000001</v>
      </c>
      <c r="K1307">
        <v>0</v>
      </c>
      <c r="L1307">
        <v>2400</v>
      </c>
      <c r="M1307">
        <v>2400</v>
      </c>
      <c r="N1307">
        <v>0</v>
      </c>
    </row>
    <row r="1308" spans="1:14" x14ac:dyDescent="0.25">
      <c r="A1308">
        <v>915.54098999999997</v>
      </c>
      <c r="B1308" s="1">
        <f>DATE(2012,11,1) + TIME(12,59,1)</f>
        <v>41214.540983796294</v>
      </c>
      <c r="C1308">
        <v>80</v>
      </c>
      <c r="D1308">
        <v>79.835533142000003</v>
      </c>
      <c r="E1308">
        <v>50</v>
      </c>
      <c r="F1308">
        <v>42.187919616999999</v>
      </c>
      <c r="G1308">
        <v>1300.9295654</v>
      </c>
      <c r="H1308">
        <v>1288.5771483999999</v>
      </c>
      <c r="I1308">
        <v>1407.0268555</v>
      </c>
      <c r="J1308">
        <v>1384.3309326000001</v>
      </c>
      <c r="K1308">
        <v>0</v>
      </c>
      <c r="L1308">
        <v>2400</v>
      </c>
      <c r="M1308">
        <v>2400</v>
      </c>
      <c r="N1308">
        <v>0</v>
      </c>
    </row>
    <row r="1309" spans="1:14" x14ac:dyDescent="0.25">
      <c r="A1309">
        <v>915.61625100000003</v>
      </c>
      <c r="B1309" s="1">
        <f>DATE(2012,11,1) + TIME(14,47,24)</f>
        <v>41214.616249999999</v>
      </c>
      <c r="C1309">
        <v>80</v>
      </c>
      <c r="D1309">
        <v>79.821952820000007</v>
      </c>
      <c r="E1309">
        <v>50</v>
      </c>
      <c r="F1309">
        <v>42.847023010000001</v>
      </c>
      <c r="G1309">
        <v>1300.9267577999999</v>
      </c>
      <c r="H1309">
        <v>1288.5737305</v>
      </c>
      <c r="I1309">
        <v>1406.6397704999999</v>
      </c>
      <c r="J1309">
        <v>1384.1816406</v>
      </c>
      <c r="K1309">
        <v>0</v>
      </c>
      <c r="L1309">
        <v>2400</v>
      </c>
      <c r="M1309">
        <v>2400</v>
      </c>
      <c r="N1309">
        <v>0</v>
      </c>
    </row>
    <row r="1310" spans="1:14" x14ac:dyDescent="0.25">
      <c r="A1310">
        <v>915.69721300000003</v>
      </c>
      <c r="B1310" s="1">
        <f>DATE(2012,11,1) + TIME(16,43,59)</f>
        <v>41214.697210648148</v>
      </c>
      <c r="C1310">
        <v>80</v>
      </c>
      <c r="D1310">
        <v>79.807640075999998</v>
      </c>
      <c r="E1310">
        <v>50</v>
      </c>
      <c r="F1310">
        <v>43.492855071999998</v>
      </c>
      <c r="G1310">
        <v>1300.9239502</v>
      </c>
      <c r="H1310">
        <v>1288.5701904</v>
      </c>
      <c r="I1310">
        <v>1406.2641602000001</v>
      </c>
      <c r="J1310">
        <v>1384.0340576000001</v>
      </c>
      <c r="K1310">
        <v>0</v>
      </c>
      <c r="L1310">
        <v>2400</v>
      </c>
      <c r="M1310">
        <v>2400</v>
      </c>
      <c r="N1310">
        <v>0</v>
      </c>
    </row>
    <row r="1311" spans="1:14" x14ac:dyDescent="0.25">
      <c r="A1311">
        <v>915.78482299999996</v>
      </c>
      <c r="B1311" s="1">
        <f>DATE(2012,11,1) + TIME(18,50,8)</f>
        <v>41214.784814814811</v>
      </c>
      <c r="C1311">
        <v>80</v>
      </c>
      <c r="D1311">
        <v>79.792495728000006</v>
      </c>
      <c r="E1311">
        <v>50</v>
      </c>
      <c r="F1311">
        <v>44.124546051000003</v>
      </c>
      <c r="G1311">
        <v>1300.9208983999999</v>
      </c>
      <c r="H1311">
        <v>1288.5664062000001</v>
      </c>
      <c r="I1311">
        <v>1405.8989257999999</v>
      </c>
      <c r="J1311">
        <v>1383.8875731999999</v>
      </c>
      <c r="K1311">
        <v>0</v>
      </c>
      <c r="L1311">
        <v>2400</v>
      </c>
      <c r="M1311">
        <v>2400</v>
      </c>
      <c r="N1311">
        <v>0</v>
      </c>
    </row>
    <row r="1312" spans="1:14" x14ac:dyDescent="0.25">
      <c r="A1312">
        <v>915.880267</v>
      </c>
      <c r="B1312" s="1">
        <f>DATE(2012,11,1) + TIME(21,7,35)</f>
        <v>41214.880266203705</v>
      </c>
      <c r="C1312">
        <v>80</v>
      </c>
      <c r="D1312">
        <v>79.776359557999996</v>
      </c>
      <c r="E1312">
        <v>50</v>
      </c>
      <c r="F1312">
        <v>44.741062163999999</v>
      </c>
      <c r="G1312">
        <v>1300.9176024999999</v>
      </c>
      <c r="H1312">
        <v>1288.5623779</v>
      </c>
      <c r="I1312">
        <v>1405.543457</v>
      </c>
      <c r="J1312">
        <v>1383.7416992000001</v>
      </c>
      <c r="K1312">
        <v>0</v>
      </c>
      <c r="L1312">
        <v>2400</v>
      </c>
      <c r="M1312">
        <v>2400</v>
      </c>
      <c r="N1312">
        <v>0</v>
      </c>
    </row>
    <row r="1313" spans="1:14" x14ac:dyDescent="0.25">
      <c r="A1313">
        <v>915.985052</v>
      </c>
      <c r="B1313" s="1">
        <f>DATE(2012,11,1) + TIME(23,38,28)</f>
        <v>41214.985046296293</v>
      </c>
      <c r="C1313">
        <v>80</v>
      </c>
      <c r="D1313">
        <v>79.759063721000004</v>
      </c>
      <c r="E1313">
        <v>50</v>
      </c>
      <c r="F1313">
        <v>45.341037749999998</v>
      </c>
      <c r="G1313">
        <v>1300.9139404</v>
      </c>
      <c r="H1313">
        <v>1288.5578613</v>
      </c>
      <c r="I1313">
        <v>1405.1971435999999</v>
      </c>
      <c r="J1313">
        <v>1383.5957031</v>
      </c>
      <c r="K1313">
        <v>0</v>
      </c>
      <c r="L1313">
        <v>2400</v>
      </c>
      <c r="M1313">
        <v>2400</v>
      </c>
      <c r="N1313">
        <v>0</v>
      </c>
    </row>
    <row r="1314" spans="1:14" x14ac:dyDescent="0.25">
      <c r="A1314">
        <v>916.10119299999997</v>
      </c>
      <c r="B1314" s="1">
        <f>DATE(2012,11,2) + TIME(2,25,43)</f>
        <v>41215.10119212963</v>
      </c>
      <c r="C1314">
        <v>80</v>
      </c>
      <c r="D1314">
        <v>79.740364075000002</v>
      </c>
      <c r="E1314">
        <v>50</v>
      </c>
      <c r="F1314">
        <v>45.923099518000001</v>
      </c>
      <c r="G1314">
        <v>1300.9100341999999</v>
      </c>
      <c r="H1314">
        <v>1288.5529785000001</v>
      </c>
      <c r="I1314">
        <v>1404.8590088000001</v>
      </c>
      <c r="J1314">
        <v>1383.4487305</v>
      </c>
      <c r="K1314">
        <v>0</v>
      </c>
      <c r="L1314">
        <v>2400</v>
      </c>
      <c r="M1314">
        <v>2400</v>
      </c>
      <c r="N1314">
        <v>0</v>
      </c>
    </row>
    <row r="1315" spans="1:14" x14ac:dyDescent="0.25">
      <c r="A1315">
        <v>916.23137399999996</v>
      </c>
      <c r="B1315" s="1">
        <f>DATE(2012,11,2) + TIME(5,33,10)</f>
        <v>41215.231365740743</v>
      </c>
      <c r="C1315">
        <v>80</v>
      </c>
      <c r="D1315">
        <v>79.719947814999998</v>
      </c>
      <c r="E1315">
        <v>50</v>
      </c>
      <c r="F1315">
        <v>46.485408782999997</v>
      </c>
      <c r="G1315">
        <v>1300.9055175999999</v>
      </c>
      <c r="H1315">
        <v>1288.5476074000001</v>
      </c>
      <c r="I1315">
        <v>1404.5283202999999</v>
      </c>
      <c r="J1315">
        <v>1383.2999268000001</v>
      </c>
      <c r="K1315">
        <v>0</v>
      </c>
      <c r="L1315">
        <v>2400</v>
      </c>
      <c r="M1315">
        <v>2400</v>
      </c>
      <c r="N1315">
        <v>0</v>
      </c>
    </row>
    <row r="1316" spans="1:14" x14ac:dyDescent="0.25">
      <c r="A1316">
        <v>916.37930100000005</v>
      </c>
      <c r="B1316" s="1">
        <f>DATE(2012,11,2) + TIME(9,6,11)</f>
        <v>41215.379293981481</v>
      </c>
      <c r="C1316">
        <v>80</v>
      </c>
      <c r="D1316">
        <v>79.697402953999998</v>
      </c>
      <c r="E1316">
        <v>50</v>
      </c>
      <c r="F1316">
        <v>47.025672913000001</v>
      </c>
      <c r="G1316">
        <v>1300.9005127</v>
      </c>
      <c r="H1316">
        <v>1288.541626</v>
      </c>
      <c r="I1316">
        <v>1404.2041016000001</v>
      </c>
      <c r="J1316">
        <v>1383.1480713000001</v>
      </c>
      <c r="K1316">
        <v>0</v>
      </c>
      <c r="L1316">
        <v>2400</v>
      </c>
      <c r="M1316">
        <v>2400</v>
      </c>
      <c r="N1316">
        <v>0</v>
      </c>
    </row>
    <row r="1317" spans="1:14" x14ac:dyDescent="0.25">
      <c r="A1317">
        <v>916.55027800000005</v>
      </c>
      <c r="B1317" s="1">
        <f>DATE(2012,11,2) + TIME(13,12,24)</f>
        <v>41215.55027777778</v>
      </c>
      <c r="C1317">
        <v>80</v>
      </c>
      <c r="D1317">
        <v>79.672157287999994</v>
      </c>
      <c r="E1317">
        <v>50</v>
      </c>
      <c r="F1317">
        <v>47.540988921999997</v>
      </c>
      <c r="G1317">
        <v>1300.8948975000001</v>
      </c>
      <c r="H1317">
        <v>1288.5347899999999</v>
      </c>
      <c r="I1317">
        <v>1403.885376</v>
      </c>
      <c r="J1317">
        <v>1382.9916992000001</v>
      </c>
      <c r="K1317">
        <v>0</v>
      </c>
      <c r="L1317">
        <v>2400</v>
      </c>
      <c r="M1317">
        <v>2400</v>
      </c>
      <c r="N1317">
        <v>0</v>
      </c>
    </row>
    <row r="1318" spans="1:14" x14ac:dyDescent="0.25">
      <c r="A1318">
        <v>916.74848399999996</v>
      </c>
      <c r="B1318" s="1">
        <f>DATE(2012,11,2) + TIME(17,57,48)</f>
        <v>41215.748472222222</v>
      </c>
      <c r="C1318">
        <v>80</v>
      </c>
      <c r="D1318">
        <v>79.643806458</v>
      </c>
      <c r="E1318">
        <v>50</v>
      </c>
      <c r="F1318">
        <v>48.020389557000001</v>
      </c>
      <c r="G1318">
        <v>1300.8883057</v>
      </c>
      <c r="H1318">
        <v>1288.5269774999999</v>
      </c>
      <c r="I1318">
        <v>1403.5748291</v>
      </c>
      <c r="J1318">
        <v>1382.8306885</v>
      </c>
      <c r="K1318">
        <v>0</v>
      </c>
      <c r="L1318">
        <v>2400</v>
      </c>
      <c r="M1318">
        <v>2400</v>
      </c>
      <c r="N1318">
        <v>0</v>
      </c>
    </row>
    <row r="1319" spans="1:14" x14ac:dyDescent="0.25">
      <c r="A1319">
        <v>916.94689600000004</v>
      </c>
      <c r="B1319" s="1">
        <f>DATE(2012,11,2) + TIME(22,43,31)</f>
        <v>41215.946886574071</v>
      </c>
      <c r="C1319">
        <v>80</v>
      </c>
      <c r="D1319">
        <v>79.615463257000002</v>
      </c>
      <c r="E1319">
        <v>50</v>
      </c>
      <c r="F1319">
        <v>48.405315399000003</v>
      </c>
      <c r="G1319">
        <v>1300.8804932</v>
      </c>
      <c r="H1319">
        <v>1288.5179443</v>
      </c>
      <c r="I1319">
        <v>1403.3023682</v>
      </c>
      <c r="J1319">
        <v>1382.6757812000001</v>
      </c>
      <c r="K1319">
        <v>0</v>
      </c>
      <c r="L1319">
        <v>2400</v>
      </c>
      <c r="M1319">
        <v>2400</v>
      </c>
      <c r="N1319">
        <v>0</v>
      </c>
    </row>
    <row r="1320" spans="1:14" x14ac:dyDescent="0.25">
      <c r="A1320">
        <v>917.14999</v>
      </c>
      <c r="B1320" s="1">
        <f>DATE(2012,11,3) + TIME(3,35,59)</f>
        <v>41216.149988425925</v>
      </c>
      <c r="C1320">
        <v>80</v>
      </c>
      <c r="D1320">
        <v>79.586654663000004</v>
      </c>
      <c r="E1320">
        <v>50</v>
      </c>
      <c r="F1320">
        <v>48.719768524000003</v>
      </c>
      <c r="G1320">
        <v>1300.8726807</v>
      </c>
      <c r="H1320">
        <v>1288.5090332</v>
      </c>
      <c r="I1320">
        <v>1403.0629882999999</v>
      </c>
      <c r="J1320">
        <v>1382.5325928</v>
      </c>
      <c r="K1320">
        <v>0</v>
      </c>
      <c r="L1320">
        <v>2400</v>
      </c>
      <c r="M1320">
        <v>2400</v>
      </c>
      <c r="N1320">
        <v>0</v>
      </c>
    </row>
    <row r="1321" spans="1:14" x14ac:dyDescent="0.25">
      <c r="A1321">
        <v>917.35954300000003</v>
      </c>
      <c r="B1321" s="1">
        <f>DATE(2012,11,3) + TIME(8,37,44)</f>
        <v>41216.359537037039</v>
      </c>
      <c r="C1321">
        <v>80</v>
      </c>
      <c r="D1321">
        <v>79.557182311999995</v>
      </c>
      <c r="E1321">
        <v>50</v>
      </c>
      <c r="F1321">
        <v>48.977001190000003</v>
      </c>
      <c r="G1321">
        <v>1300.8647461</v>
      </c>
      <c r="H1321">
        <v>1288.4997559000001</v>
      </c>
      <c r="I1321">
        <v>1402.8492432</v>
      </c>
      <c r="J1321">
        <v>1382.3979492000001</v>
      </c>
      <c r="K1321">
        <v>0</v>
      </c>
      <c r="L1321">
        <v>2400</v>
      </c>
      <c r="M1321">
        <v>2400</v>
      </c>
      <c r="N1321">
        <v>0</v>
      </c>
    </row>
    <row r="1322" spans="1:14" x14ac:dyDescent="0.25">
      <c r="A1322">
        <v>917.57758899999999</v>
      </c>
      <c r="B1322" s="1">
        <f>DATE(2012,11,3) + TIME(13,51,43)</f>
        <v>41216.577581018515</v>
      </c>
      <c r="C1322">
        <v>80</v>
      </c>
      <c r="D1322">
        <v>79.526832580999994</v>
      </c>
      <c r="E1322">
        <v>50</v>
      </c>
      <c r="F1322">
        <v>49.187416077000002</v>
      </c>
      <c r="G1322">
        <v>1300.8564452999999</v>
      </c>
      <c r="H1322">
        <v>1288.4902344</v>
      </c>
      <c r="I1322">
        <v>1402.6557617000001</v>
      </c>
      <c r="J1322">
        <v>1382.2698975000001</v>
      </c>
      <c r="K1322">
        <v>0</v>
      </c>
      <c r="L1322">
        <v>2400</v>
      </c>
      <c r="M1322">
        <v>2400</v>
      </c>
      <c r="N1322">
        <v>0</v>
      </c>
    </row>
    <row r="1323" spans="1:14" x14ac:dyDescent="0.25">
      <c r="A1323">
        <v>917.80631800000003</v>
      </c>
      <c r="B1323" s="1">
        <f>DATE(2012,11,3) + TIME(19,21,5)</f>
        <v>41216.806307870371</v>
      </c>
      <c r="C1323">
        <v>80</v>
      </c>
      <c r="D1323">
        <v>79.495368958</v>
      </c>
      <c r="E1323">
        <v>50</v>
      </c>
      <c r="F1323">
        <v>49.359138489000003</v>
      </c>
      <c r="G1323">
        <v>1300.8479004000001</v>
      </c>
      <c r="H1323">
        <v>1288.4804687999999</v>
      </c>
      <c r="I1323">
        <v>1402.4785156</v>
      </c>
      <c r="J1323">
        <v>1382.1468506000001</v>
      </c>
      <c r="K1323">
        <v>0</v>
      </c>
      <c r="L1323">
        <v>2400</v>
      </c>
      <c r="M1323">
        <v>2400</v>
      </c>
      <c r="N1323">
        <v>0</v>
      </c>
    </row>
    <row r="1324" spans="1:14" x14ac:dyDescent="0.25">
      <c r="A1324">
        <v>918.048224</v>
      </c>
      <c r="B1324" s="1">
        <f>DATE(2012,11,4) + TIME(1,9,26)</f>
        <v>41217.048217592594</v>
      </c>
      <c r="C1324">
        <v>80</v>
      </c>
      <c r="D1324">
        <v>79.462532042999996</v>
      </c>
      <c r="E1324">
        <v>50</v>
      </c>
      <c r="F1324">
        <v>49.498672485</v>
      </c>
      <c r="G1324">
        <v>1300.8388672000001</v>
      </c>
      <c r="H1324">
        <v>1288.4700928</v>
      </c>
      <c r="I1324">
        <v>1402.3140868999999</v>
      </c>
      <c r="J1324">
        <v>1382.0273437999999</v>
      </c>
      <c r="K1324">
        <v>0</v>
      </c>
      <c r="L1324">
        <v>2400</v>
      </c>
      <c r="M1324">
        <v>2400</v>
      </c>
      <c r="N1324">
        <v>0</v>
      </c>
    </row>
    <row r="1325" spans="1:14" x14ac:dyDescent="0.25">
      <c r="A1325">
        <v>918.30625899999995</v>
      </c>
      <c r="B1325" s="1">
        <f>DATE(2012,11,4) + TIME(7,21,0)</f>
        <v>41217.306250000001</v>
      </c>
      <c r="C1325">
        <v>80</v>
      </c>
      <c r="D1325">
        <v>79.428001404</v>
      </c>
      <c r="E1325">
        <v>50</v>
      </c>
      <c r="F1325">
        <v>49.611312865999999</v>
      </c>
      <c r="G1325">
        <v>1300.8294678</v>
      </c>
      <c r="H1325">
        <v>1288.4591064000001</v>
      </c>
      <c r="I1325">
        <v>1402.1595459</v>
      </c>
      <c r="J1325">
        <v>1381.9102783000001</v>
      </c>
      <c r="K1325">
        <v>0</v>
      </c>
      <c r="L1325">
        <v>2400</v>
      </c>
      <c r="M1325">
        <v>2400</v>
      </c>
      <c r="N1325">
        <v>0</v>
      </c>
    </row>
    <row r="1326" spans="1:14" x14ac:dyDescent="0.25">
      <c r="A1326">
        <v>918.583978</v>
      </c>
      <c r="B1326" s="1">
        <f>DATE(2012,11,4) + TIME(14,0,55)</f>
        <v>41217.583969907406</v>
      </c>
      <c r="C1326">
        <v>80</v>
      </c>
      <c r="D1326">
        <v>79.391418457</v>
      </c>
      <c r="E1326">
        <v>50</v>
      </c>
      <c r="F1326">
        <v>49.701438904</v>
      </c>
      <c r="G1326">
        <v>1300.8193358999999</v>
      </c>
      <c r="H1326">
        <v>1288.4473877</v>
      </c>
      <c r="I1326">
        <v>1402.0125731999999</v>
      </c>
      <c r="J1326">
        <v>1381.7943115</v>
      </c>
      <c r="K1326">
        <v>0</v>
      </c>
      <c r="L1326">
        <v>2400</v>
      </c>
      <c r="M1326">
        <v>2400</v>
      </c>
      <c r="N1326">
        <v>0</v>
      </c>
    </row>
    <row r="1327" spans="1:14" x14ac:dyDescent="0.25">
      <c r="A1327">
        <v>918.88599099999999</v>
      </c>
      <c r="B1327" s="1">
        <f>DATE(2012,11,4) + TIME(21,15,49)</f>
        <v>41217.885983796295</v>
      </c>
      <c r="C1327">
        <v>80</v>
      </c>
      <c r="D1327">
        <v>79.352325438999998</v>
      </c>
      <c r="E1327">
        <v>50</v>
      </c>
      <c r="F1327">
        <v>49.772754669000001</v>
      </c>
      <c r="G1327">
        <v>1300.8083495999999</v>
      </c>
      <c r="H1327">
        <v>1288.4348144999999</v>
      </c>
      <c r="I1327">
        <v>1401.8707274999999</v>
      </c>
      <c r="J1327">
        <v>1381.6785889</v>
      </c>
      <c r="K1327">
        <v>0</v>
      </c>
      <c r="L1327">
        <v>2400</v>
      </c>
      <c r="M1327">
        <v>2400</v>
      </c>
      <c r="N1327">
        <v>0</v>
      </c>
    </row>
    <row r="1328" spans="1:14" x14ac:dyDescent="0.25">
      <c r="A1328">
        <v>919.21335899999997</v>
      </c>
      <c r="B1328" s="1">
        <f>DATE(2012,11,5) + TIME(5,7,14)</f>
        <v>41218.213356481479</v>
      </c>
      <c r="C1328">
        <v>80</v>
      </c>
      <c r="D1328">
        <v>79.310577393000003</v>
      </c>
      <c r="E1328">
        <v>50</v>
      </c>
      <c r="F1328">
        <v>49.827804565000001</v>
      </c>
      <c r="G1328">
        <v>1300.7965088000001</v>
      </c>
      <c r="H1328">
        <v>1288.4212646000001</v>
      </c>
      <c r="I1328">
        <v>1401.7321777</v>
      </c>
      <c r="J1328">
        <v>1381.5618896000001</v>
      </c>
      <c r="K1328">
        <v>0</v>
      </c>
      <c r="L1328">
        <v>2400</v>
      </c>
      <c r="M1328">
        <v>2400</v>
      </c>
      <c r="N1328">
        <v>0</v>
      </c>
    </row>
    <row r="1329" spans="1:14" x14ac:dyDescent="0.25">
      <c r="A1329">
        <v>919.5702</v>
      </c>
      <c r="B1329" s="1">
        <f>DATE(2012,11,5) + TIME(13,41,5)</f>
        <v>41218.570196759261</v>
      </c>
      <c r="C1329">
        <v>80</v>
      </c>
      <c r="D1329">
        <v>79.265785217000001</v>
      </c>
      <c r="E1329">
        <v>50</v>
      </c>
      <c r="F1329">
        <v>49.869525908999996</v>
      </c>
      <c r="G1329">
        <v>1300.7836914</v>
      </c>
      <c r="H1329">
        <v>1288.4063721</v>
      </c>
      <c r="I1329">
        <v>1401.5964355000001</v>
      </c>
      <c r="J1329">
        <v>1381.4443358999999</v>
      </c>
      <c r="K1329">
        <v>0</v>
      </c>
      <c r="L1329">
        <v>2400</v>
      </c>
      <c r="M1329">
        <v>2400</v>
      </c>
      <c r="N1329">
        <v>0</v>
      </c>
    </row>
    <row r="1330" spans="1:14" x14ac:dyDescent="0.25">
      <c r="A1330">
        <v>919.96368099999995</v>
      </c>
      <c r="B1330" s="1">
        <f>DATE(2012,11,5) + TIME(23,7,42)</f>
        <v>41218.963680555556</v>
      </c>
      <c r="C1330">
        <v>80</v>
      </c>
      <c r="D1330">
        <v>79.217285156000003</v>
      </c>
      <c r="E1330">
        <v>50</v>
      </c>
      <c r="F1330">
        <v>49.900611877000003</v>
      </c>
      <c r="G1330">
        <v>1300.7696533000001</v>
      </c>
      <c r="H1330">
        <v>1288.3902588000001</v>
      </c>
      <c r="I1330">
        <v>1401.4617920000001</v>
      </c>
      <c r="J1330">
        <v>1381.3253173999999</v>
      </c>
      <c r="K1330">
        <v>0</v>
      </c>
      <c r="L1330">
        <v>2400</v>
      </c>
      <c r="M1330">
        <v>2400</v>
      </c>
      <c r="N1330">
        <v>0</v>
      </c>
    </row>
    <row r="1331" spans="1:14" x14ac:dyDescent="0.25">
      <c r="A1331">
        <v>920.37374199999999</v>
      </c>
      <c r="B1331" s="1">
        <f>DATE(2012,11,6) + TIME(8,58,11)</f>
        <v>41219.373738425929</v>
      </c>
      <c r="C1331">
        <v>80</v>
      </c>
      <c r="D1331">
        <v>79.166625976999995</v>
      </c>
      <c r="E1331">
        <v>50</v>
      </c>
      <c r="F1331">
        <v>49.922267914000003</v>
      </c>
      <c r="G1331">
        <v>1300.7539062000001</v>
      </c>
      <c r="H1331">
        <v>1288.3725586</v>
      </c>
      <c r="I1331">
        <v>1401.3269043</v>
      </c>
      <c r="J1331">
        <v>1381.2037353999999</v>
      </c>
      <c r="K1331">
        <v>0</v>
      </c>
      <c r="L1331">
        <v>2400</v>
      </c>
      <c r="M1331">
        <v>2400</v>
      </c>
      <c r="N1331">
        <v>0</v>
      </c>
    </row>
    <row r="1332" spans="1:14" x14ac:dyDescent="0.25">
      <c r="A1332">
        <v>920.78955399999995</v>
      </c>
      <c r="B1332" s="1">
        <f>DATE(2012,11,6) + TIME(18,56,57)</f>
        <v>41219.789548611108</v>
      </c>
      <c r="C1332">
        <v>80</v>
      </c>
      <c r="D1332">
        <v>79.114860535000005</v>
      </c>
      <c r="E1332">
        <v>50</v>
      </c>
      <c r="F1332">
        <v>49.936935425000001</v>
      </c>
      <c r="G1332">
        <v>1300.7375488</v>
      </c>
      <c r="H1332">
        <v>1288.354126</v>
      </c>
      <c r="I1332">
        <v>1401.1977539</v>
      </c>
      <c r="J1332">
        <v>1381.0860596</v>
      </c>
      <c r="K1332">
        <v>0</v>
      </c>
      <c r="L1332">
        <v>2400</v>
      </c>
      <c r="M1332">
        <v>2400</v>
      </c>
      <c r="N1332">
        <v>0</v>
      </c>
    </row>
    <row r="1333" spans="1:14" x14ac:dyDescent="0.25">
      <c r="A1333">
        <v>921.21632899999997</v>
      </c>
      <c r="B1333" s="1">
        <f>DATE(2012,11,7) + TIME(5,11,30)</f>
        <v>41220.216319444444</v>
      </c>
      <c r="C1333">
        <v>80</v>
      </c>
      <c r="D1333">
        <v>79.061851501000007</v>
      </c>
      <c r="E1333">
        <v>50</v>
      </c>
      <c r="F1333">
        <v>49.946949005</v>
      </c>
      <c r="G1333">
        <v>1300.7210693</v>
      </c>
      <c r="H1333">
        <v>1288.3353271000001</v>
      </c>
      <c r="I1333">
        <v>1401.0765381000001</v>
      </c>
      <c r="J1333">
        <v>1380.9748535000001</v>
      </c>
      <c r="K1333">
        <v>0</v>
      </c>
      <c r="L1333">
        <v>2400</v>
      </c>
      <c r="M1333">
        <v>2400</v>
      </c>
      <c r="N1333">
        <v>0</v>
      </c>
    </row>
    <row r="1334" spans="1:14" x14ac:dyDescent="0.25">
      <c r="A1334">
        <v>921.65904999999998</v>
      </c>
      <c r="B1334" s="1">
        <f>DATE(2012,11,7) + TIME(15,49,1)</f>
        <v>41220.659039351849</v>
      </c>
      <c r="C1334">
        <v>80</v>
      </c>
      <c r="D1334">
        <v>79.007324218999997</v>
      </c>
      <c r="E1334">
        <v>50</v>
      </c>
      <c r="F1334">
        <v>49.953815460000001</v>
      </c>
      <c r="G1334">
        <v>1300.7041016000001</v>
      </c>
      <c r="H1334">
        <v>1288.3160399999999</v>
      </c>
      <c r="I1334">
        <v>1400.9604492000001</v>
      </c>
      <c r="J1334">
        <v>1380.8680420000001</v>
      </c>
      <c r="K1334">
        <v>0</v>
      </c>
      <c r="L1334">
        <v>2400</v>
      </c>
      <c r="M1334">
        <v>2400</v>
      </c>
      <c r="N1334">
        <v>0</v>
      </c>
    </row>
    <row r="1335" spans="1:14" x14ac:dyDescent="0.25">
      <c r="A1335">
        <v>922.12296300000003</v>
      </c>
      <c r="B1335" s="1">
        <f>DATE(2012,11,8) + TIME(2,57,3)</f>
        <v>41221.12295138889</v>
      </c>
      <c r="C1335">
        <v>80</v>
      </c>
      <c r="D1335">
        <v>78.950889587000006</v>
      </c>
      <c r="E1335">
        <v>50</v>
      </c>
      <c r="F1335">
        <v>49.958530426000003</v>
      </c>
      <c r="G1335">
        <v>1300.6864014</v>
      </c>
      <c r="H1335">
        <v>1288.2958983999999</v>
      </c>
      <c r="I1335">
        <v>1400.8479004000001</v>
      </c>
      <c r="J1335">
        <v>1380.7642822</v>
      </c>
      <c r="K1335">
        <v>0</v>
      </c>
      <c r="L1335">
        <v>2400</v>
      </c>
      <c r="M1335">
        <v>2400</v>
      </c>
      <c r="N1335">
        <v>0</v>
      </c>
    </row>
    <row r="1336" spans="1:14" x14ac:dyDescent="0.25">
      <c r="A1336">
        <v>922.60970299999997</v>
      </c>
      <c r="B1336" s="1">
        <f>DATE(2012,11,8) + TIME(14,37,58)</f>
        <v>41221.609699074077</v>
      </c>
      <c r="C1336">
        <v>80</v>
      </c>
      <c r="D1336">
        <v>78.892387389999996</v>
      </c>
      <c r="E1336">
        <v>50</v>
      </c>
      <c r="F1336">
        <v>49.961750031000001</v>
      </c>
      <c r="G1336">
        <v>1300.6679687999999</v>
      </c>
      <c r="H1336">
        <v>1288.2747803</v>
      </c>
      <c r="I1336">
        <v>1400.7373047000001</v>
      </c>
      <c r="J1336">
        <v>1380.6621094</v>
      </c>
      <c r="K1336">
        <v>0</v>
      </c>
      <c r="L1336">
        <v>2400</v>
      </c>
      <c r="M1336">
        <v>2400</v>
      </c>
      <c r="N1336">
        <v>0</v>
      </c>
    </row>
    <row r="1337" spans="1:14" x14ac:dyDescent="0.25">
      <c r="A1337">
        <v>923.12185199999999</v>
      </c>
      <c r="B1337" s="1">
        <f>DATE(2012,11,9) + TIME(2,55,28)</f>
        <v>41222.121851851851</v>
      </c>
      <c r="C1337">
        <v>80</v>
      </c>
      <c r="D1337">
        <v>78.831596375000004</v>
      </c>
      <c r="E1337">
        <v>50</v>
      </c>
      <c r="F1337">
        <v>49.963943481000001</v>
      </c>
      <c r="G1337">
        <v>1300.6484375</v>
      </c>
      <c r="H1337">
        <v>1288.2526855000001</v>
      </c>
      <c r="I1337">
        <v>1400.6282959</v>
      </c>
      <c r="J1337">
        <v>1380.5614014</v>
      </c>
      <c r="K1337">
        <v>0</v>
      </c>
      <c r="L1337">
        <v>2400</v>
      </c>
      <c r="M1337">
        <v>2400</v>
      </c>
      <c r="N1337">
        <v>0</v>
      </c>
    </row>
    <row r="1338" spans="1:14" x14ac:dyDescent="0.25">
      <c r="A1338">
        <v>923.66583900000001</v>
      </c>
      <c r="B1338" s="1">
        <f>DATE(2012,11,9) + TIME(15,58,48)</f>
        <v>41222.665833333333</v>
      </c>
      <c r="C1338">
        <v>80</v>
      </c>
      <c r="D1338">
        <v>78.768012999999996</v>
      </c>
      <c r="E1338">
        <v>50</v>
      </c>
      <c r="F1338">
        <v>49.965442656999997</v>
      </c>
      <c r="G1338">
        <v>1300.6279297000001</v>
      </c>
      <c r="H1338">
        <v>1288.2292480000001</v>
      </c>
      <c r="I1338">
        <v>1400.5202637</v>
      </c>
      <c r="J1338">
        <v>1380.4616699000001</v>
      </c>
      <c r="K1338">
        <v>0</v>
      </c>
      <c r="L1338">
        <v>2400</v>
      </c>
      <c r="M1338">
        <v>2400</v>
      </c>
      <c r="N1338">
        <v>0</v>
      </c>
    </row>
    <row r="1339" spans="1:14" x14ac:dyDescent="0.25">
      <c r="A1339">
        <v>924.24940400000003</v>
      </c>
      <c r="B1339" s="1">
        <f>DATE(2012,11,10) + TIME(5,59,8)</f>
        <v>41223.249398148146</v>
      </c>
      <c r="C1339">
        <v>80</v>
      </c>
      <c r="D1339">
        <v>78.700996399000005</v>
      </c>
      <c r="E1339">
        <v>50</v>
      </c>
      <c r="F1339">
        <v>49.966476440000001</v>
      </c>
      <c r="G1339">
        <v>1300.6062012</v>
      </c>
      <c r="H1339">
        <v>1288.2043457</v>
      </c>
      <c r="I1339">
        <v>1400.4121094</v>
      </c>
      <c r="J1339">
        <v>1380.3620605000001</v>
      </c>
      <c r="K1339">
        <v>0</v>
      </c>
      <c r="L1339">
        <v>2400</v>
      </c>
      <c r="M1339">
        <v>2400</v>
      </c>
      <c r="N1339">
        <v>0</v>
      </c>
    </row>
    <row r="1340" spans="1:14" x14ac:dyDescent="0.25">
      <c r="A1340">
        <v>924.88248799999997</v>
      </c>
      <c r="B1340" s="1">
        <f>DATE(2012,11,10) + TIME(21,10,46)</f>
        <v>41223.882476851853</v>
      </c>
      <c r="C1340">
        <v>80</v>
      </c>
      <c r="D1340">
        <v>78.629730225000003</v>
      </c>
      <c r="E1340">
        <v>50</v>
      </c>
      <c r="F1340">
        <v>49.967189789000003</v>
      </c>
      <c r="G1340">
        <v>1300.5827637</v>
      </c>
      <c r="H1340">
        <v>1288.1776123</v>
      </c>
      <c r="I1340">
        <v>1400.3028564000001</v>
      </c>
      <c r="J1340">
        <v>1380.2614745999999</v>
      </c>
      <c r="K1340">
        <v>0</v>
      </c>
      <c r="L1340">
        <v>2400</v>
      </c>
      <c r="M1340">
        <v>2400</v>
      </c>
      <c r="N1340">
        <v>0</v>
      </c>
    </row>
    <row r="1341" spans="1:14" x14ac:dyDescent="0.25">
      <c r="A1341">
        <v>925.53944100000001</v>
      </c>
      <c r="B1341" s="1">
        <f>DATE(2012,11,11) + TIME(12,56,47)</f>
        <v>41224.53943287037</v>
      </c>
      <c r="C1341">
        <v>80</v>
      </c>
      <c r="D1341">
        <v>78.555541992000002</v>
      </c>
      <c r="E1341">
        <v>50</v>
      </c>
      <c r="F1341">
        <v>49.967666626000003</v>
      </c>
      <c r="G1341">
        <v>1300.5571289</v>
      </c>
      <c r="H1341">
        <v>1288.1485596</v>
      </c>
      <c r="I1341">
        <v>1400.1911620999999</v>
      </c>
      <c r="J1341">
        <v>1380.1589355000001</v>
      </c>
      <c r="K1341">
        <v>0</v>
      </c>
      <c r="L1341">
        <v>2400</v>
      </c>
      <c r="M1341">
        <v>2400</v>
      </c>
      <c r="N1341">
        <v>0</v>
      </c>
    </row>
    <row r="1342" spans="1:14" x14ac:dyDescent="0.25">
      <c r="A1342">
        <v>926.20622900000001</v>
      </c>
      <c r="B1342" s="1">
        <f>DATE(2012,11,12) + TIME(4,56,58)</f>
        <v>41225.206226851849</v>
      </c>
      <c r="C1342">
        <v>80</v>
      </c>
      <c r="D1342">
        <v>78.479728699000006</v>
      </c>
      <c r="E1342">
        <v>50</v>
      </c>
      <c r="F1342">
        <v>49.967987061000002</v>
      </c>
      <c r="G1342">
        <v>1300.5303954999999</v>
      </c>
      <c r="H1342">
        <v>1288.1182861</v>
      </c>
      <c r="I1342">
        <v>1400.0819091999999</v>
      </c>
      <c r="J1342">
        <v>1380.0588379000001</v>
      </c>
      <c r="K1342">
        <v>0</v>
      </c>
      <c r="L1342">
        <v>2400</v>
      </c>
      <c r="M1342">
        <v>2400</v>
      </c>
      <c r="N1342">
        <v>0</v>
      </c>
    </row>
    <row r="1343" spans="1:14" x14ac:dyDescent="0.25">
      <c r="A1343">
        <v>926.890849</v>
      </c>
      <c r="B1343" s="1">
        <f>DATE(2012,11,12) + TIME(21,22,49)</f>
        <v>41225.890844907408</v>
      </c>
      <c r="C1343">
        <v>80</v>
      </c>
      <c r="D1343">
        <v>78.402351378999995</v>
      </c>
      <c r="E1343">
        <v>50</v>
      </c>
      <c r="F1343">
        <v>49.968204497999999</v>
      </c>
      <c r="G1343">
        <v>1300.5031738</v>
      </c>
      <c r="H1343">
        <v>1288.0874022999999</v>
      </c>
      <c r="I1343">
        <v>1399.9772949000001</v>
      </c>
      <c r="J1343">
        <v>1379.9631348</v>
      </c>
      <c r="K1343">
        <v>0</v>
      </c>
      <c r="L1343">
        <v>2400</v>
      </c>
      <c r="M1343">
        <v>2400</v>
      </c>
      <c r="N1343">
        <v>0</v>
      </c>
    </row>
    <row r="1344" spans="1:14" x14ac:dyDescent="0.25">
      <c r="A1344">
        <v>927.60125600000003</v>
      </c>
      <c r="B1344" s="1">
        <f>DATE(2012,11,13) + TIME(14,25,48)</f>
        <v>41226.60125</v>
      </c>
      <c r="C1344">
        <v>80</v>
      </c>
      <c r="D1344">
        <v>78.323097228999998</v>
      </c>
      <c r="E1344">
        <v>50</v>
      </c>
      <c r="F1344">
        <v>49.968360900999997</v>
      </c>
      <c r="G1344">
        <v>1300.4750977000001</v>
      </c>
      <c r="H1344">
        <v>1288.0554199000001</v>
      </c>
      <c r="I1344">
        <v>1399.8757324000001</v>
      </c>
      <c r="J1344">
        <v>1379.8704834</v>
      </c>
      <c r="K1344">
        <v>0</v>
      </c>
      <c r="L1344">
        <v>2400</v>
      </c>
      <c r="M1344">
        <v>2400</v>
      </c>
      <c r="N1344">
        <v>0</v>
      </c>
    </row>
    <row r="1345" spans="1:14" x14ac:dyDescent="0.25">
      <c r="A1345">
        <v>928.34606900000006</v>
      </c>
      <c r="B1345" s="1">
        <f>DATE(2012,11,14) + TIME(8,18,20)</f>
        <v>41227.346064814818</v>
      </c>
      <c r="C1345">
        <v>80</v>
      </c>
      <c r="D1345">
        <v>78.241394043</v>
      </c>
      <c r="E1345">
        <v>50</v>
      </c>
      <c r="F1345">
        <v>49.968475341999998</v>
      </c>
      <c r="G1345">
        <v>1300.4459228999999</v>
      </c>
      <c r="H1345">
        <v>1288.0220947</v>
      </c>
      <c r="I1345">
        <v>1399.7757568</v>
      </c>
      <c r="J1345">
        <v>1379.7795410000001</v>
      </c>
      <c r="K1345">
        <v>0</v>
      </c>
      <c r="L1345">
        <v>2400</v>
      </c>
      <c r="M1345">
        <v>2400</v>
      </c>
      <c r="N1345">
        <v>0</v>
      </c>
    </row>
    <row r="1346" spans="1:14" x14ac:dyDescent="0.25">
      <c r="A1346">
        <v>929.11727699999994</v>
      </c>
      <c r="B1346" s="1">
        <f>DATE(2012,11,15) + TIME(2,48,52)</f>
        <v>41228.117268518516</v>
      </c>
      <c r="C1346">
        <v>80</v>
      </c>
      <c r="D1346">
        <v>78.157508849999999</v>
      </c>
      <c r="E1346">
        <v>50</v>
      </c>
      <c r="F1346">
        <v>49.968559265000003</v>
      </c>
      <c r="G1346">
        <v>1300.4151611</v>
      </c>
      <c r="H1346">
        <v>1287.9870605000001</v>
      </c>
      <c r="I1346">
        <v>1399.6763916</v>
      </c>
      <c r="J1346">
        <v>1379.6892089999999</v>
      </c>
      <c r="K1346">
        <v>0</v>
      </c>
      <c r="L1346">
        <v>2400</v>
      </c>
      <c r="M1346">
        <v>2400</v>
      </c>
      <c r="N1346">
        <v>0</v>
      </c>
    </row>
    <row r="1347" spans="1:14" x14ac:dyDescent="0.25">
      <c r="A1347">
        <v>929.92371000000003</v>
      </c>
      <c r="B1347" s="1">
        <f>DATE(2012,11,15) + TIME(22,10,8)</f>
        <v>41228.923703703702</v>
      </c>
      <c r="C1347">
        <v>80</v>
      </c>
      <c r="D1347">
        <v>78.071052550999994</v>
      </c>
      <c r="E1347">
        <v>50</v>
      </c>
      <c r="F1347">
        <v>49.968624114999997</v>
      </c>
      <c r="G1347">
        <v>1300.3831786999999</v>
      </c>
      <c r="H1347">
        <v>1287.9505615</v>
      </c>
      <c r="I1347">
        <v>1399.5787353999999</v>
      </c>
      <c r="J1347">
        <v>1379.6005858999999</v>
      </c>
      <c r="K1347">
        <v>0</v>
      </c>
      <c r="L1347">
        <v>2400</v>
      </c>
      <c r="M1347">
        <v>2400</v>
      </c>
      <c r="N1347">
        <v>0</v>
      </c>
    </row>
    <row r="1348" spans="1:14" x14ac:dyDescent="0.25">
      <c r="A1348">
        <v>930.77507000000003</v>
      </c>
      <c r="B1348" s="1">
        <f>DATE(2012,11,16) + TIME(18,36,6)</f>
        <v>41229.775069444448</v>
      </c>
      <c r="C1348">
        <v>80</v>
      </c>
      <c r="D1348">
        <v>77.981391907000003</v>
      </c>
      <c r="E1348">
        <v>50</v>
      </c>
      <c r="F1348">
        <v>49.968673705999997</v>
      </c>
      <c r="G1348">
        <v>1300.3496094</v>
      </c>
      <c r="H1348">
        <v>1287.9119873</v>
      </c>
      <c r="I1348">
        <v>1399.4815673999999</v>
      </c>
      <c r="J1348">
        <v>1379.5126952999999</v>
      </c>
      <c r="K1348">
        <v>0</v>
      </c>
      <c r="L1348">
        <v>2400</v>
      </c>
      <c r="M1348">
        <v>2400</v>
      </c>
      <c r="N1348">
        <v>0</v>
      </c>
    </row>
    <row r="1349" spans="1:14" x14ac:dyDescent="0.25">
      <c r="A1349">
        <v>931.66633000000002</v>
      </c>
      <c r="B1349" s="1">
        <f>DATE(2012,11,17) + TIME(15,59,30)</f>
        <v>41230.666319444441</v>
      </c>
      <c r="C1349">
        <v>80</v>
      </c>
      <c r="D1349">
        <v>77.888526916999993</v>
      </c>
      <c r="E1349">
        <v>50</v>
      </c>
      <c r="F1349">
        <v>49.968711853000002</v>
      </c>
      <c r="G1349">
        <v>1300.3138428</v>
      </c>
      <c r="H1349">
        <v>1287.8710937999999</v>
      </c>
      <c r="I1349">
        <v>1399.3841553</v>
      </c>
      <c r="J1349">
        <v>1379.4246826000001</v>
      </c>
      <c r="K1349">
        <v>0</v>
      </c>
      <c r="L1349">
        <v>2400</v>
      </c>
      <c r="M1349">
        <v>2400</v>
      </c>
      <c r="N1349">
        <v>0</v>
      </c>
    </row>
    <row r="1350" spans="1:14" x14ac:dyDescent="0.25">
      <c r="A1350">
        <v>932.57246099999998</v>
      </c>
      <c r="B1350" s="1">
        <f>DATE(2012,11,18) + TIME(13,44,20)</f>
        <v>41231.572453703702</v>
      </c>
      <c r="C1350">
        <v>80</v>
      </c>
      <c r="D1350">
        <v>77.793746948000006</v>
      </c>
      <c r="E1350">
        <v>50</v>
      </c>
      <c r="F1350">
        <v>49.968742370999998</v>
      </c>
      <c r="G1350">
        <v>1300.276001</v>
      </c>
      <c r="H1350">
        <v>1287.8280029</v>
      </c>
      <c r="I1350">
        <v>1399.2869873</v>
      </c>
      <c r="J1350">
        <v>1379.3371582</v>
      </c>
      <c r="K1350">
        <v>0</v>
      </c>
      <c r="L1350">
        <v>2400</v>
      </c>
      <c r="M1350">
        <v>2400</v>
      </c>
      <c r="N1350">
        <v>0</v>
      </c>
    </row>
    <row r="1351" spans="1:14" x14ac:dyDescent="0.25">
      <c r="A1351">
        <v>933.50436999999999</v>
      </c>
      <c r="B1351" s="1">
        <f>DATE(2012,11,19) + TIME(12,6,17)</f>
        <v>41232.504363425927</v>
      </c>
      <c r="C1351">
        <v>80</v>
      </c>
      <c r="D1351">
        <v>77.697273253999995</v>
      </c>
      <c r="E1351">
        <v>50</v>
      </c>
      <c r="F1351">
        <v>49.968769072999997</v>
      </c>
      <c r="G1351">
        <v>1300.2374268000001</v>
      </c>
      <c r="H1351">
        <v>1287.7836914</v>
      </c>
      <c r="I1351">
        <v>1399.1931152</v>
      </c>
      <c r="J1351">
        <v>1379.2525635</v>
      </c>
      <c r="K1351">
        <v>0</v>
      </c>
      <c r="L1351">
        <v>2400</v>
      </c>
      <c r="M1351">
        <v>2400</v>
      </c>
      <c r="N1351">
        <v>0</v>
      </c>
    </row>
    <row r="1352" spans="1:14" x14ac:dyDescent="0.25">
      <c r="A1352">
        <v>934.47326299999997</v>
      </c>
      <c r="B1352" s="1">
        <f>DATE(2012,11,20) + TIME(11,21,29)</f>
        <v>41233.473252314812</v>
      </c>
      <c r="C1352">
        <v>80</v>
      </c>
      <c r="D1352">
        <v>77.598655700999998</v>
      </c>
      <c r="E1352">
        <v>50</v>
      </c>
      <c r="F1352">
        <v>49.968795776</v>
      </c>
      <c r="G1352">
        <v>1300.1973877</v>
      </c>
      <c r="H1352">
        <v>1287.7375488</v>
      </c>
      <c r="I1352">
        <v>1399.1010742000001</v>
      </c>
      <c r="J1352">
        <v>1379.1697998</v>
      </c>
      <c r="K1352">
        <v>0</v>
      </c>
      <c r="L1352">
        <v>2400</v>
      </c>
      <c r="M1352">
        <v>2400</v>
      </c>
      <c r="N1352">
        <v>0</v>
      </c>
    </row>
    <row r="1353" spans="1:14" x14ac:dyDescent="0.25">
      <c r="A1353">
        <v>935.49160800000004</v>
      </c>
      <c r="B1353" s="1">
        <f>DATE(2012,11,21) + TIME(11,47,54)</f>
        <v>41234.491597222222</v>
      </c>
      <c r="C1353">
        <v>80</v>
      </c>
      <c r="D1353">
        <v>77.497093200999998</v>
      </c>
      <c r="E1353">
        <v>50</v>
      </c>
      <c r="F1353">
        <v>49.968818665000001</v>
      </c>
      <c r="G1353">
        <v>1300.1553954999999</v>
      </c>
      <c r="H1353">
        <v>1287.6892089999999</v>
      </c>
      <c r="I1353">
        <v>1399.0097656</v>
      </c>
      <c r="J1353">
        <v>1379.0877685999999</v>
      </c>
      <c r="K1353">
        <v>0</v>
      </c>
      <c r="L1353">
        <v>2400</v>
      </c>
      <c r="M1353">
        <v>2400</v>
      </c>
      <c r="N1353">
        <v>0</v>
      </c>
    </row>
    <row r="1354" spans="1:14" x14ac:dyDescent="0.25">
      <c r="A1354">
        <v>936.54842499999995</v>
      </c>
      <c r="B1354" s="1">
        <f>DATE(2012,11,22) + TIME(13,9,43)</f>
        <v>41235.548414351855</v>
      </c>
      <c r="C1354">
        <v>80</v>
      </c>
      <c r="D1354">
        <v>77.392669678000004</v>
      </c>
      <c r="E1354">
        <v>50</v>
      </c>
      <c r="F1354">
        <v>49.968841552999997</v>
      </c>
      <c r="G1354">
        <v>1300.1107178</v>
      </c>
      <c r="H1354">
        <v>1287.6378173999999</v>
      </c>
      <c r="I1354">
        <v>1398.9180908000001</v>
      </c>
      <c r="J1354">
        <v>1379.0056152</v>
      </c>
      <c r="K1354">
        <v>0</v>
      </c>
      <c r="L1354">
        <v>2400</v>
      </c>
      <c r="M1354">
        <v>2400</v>
      </c>
      <c r="N1354">
        <v>0</v>
      </c>
    </row>
    <row r="1355" spans="1:14" x14ac:dyDescent="0.25">
      <c r="A1355">
        <v>937.64464599999997</v>
      </c>
      <c r="B1355" s="1">
        <f>DATE(2012,11,23) + TIME(15,28,17)</f>
        <v>41236.644641203704</v>
      </c>
      <c r="C1355">
        <v>80</v>
      </c>
      <c r="D1355">
        <v>77.285522460999999</v>
      </c>
      <c r="E1355">
        <v>50</v>
      </c>
      <c r="F1355">
        <v>49.968864441000001</v>
      </c>
      <c r="G1355">
        <v>1300.0640868999999</v>
      </c>
      <c r="H1355">
        <v>1287.5838623</v>
      </c>
      <c r="I1355">
        <v>1398.8271483999999</v>
      </c>
      <c r="J1355">
        <v>1378.9243164</v>
      </c>
      <c r="K1355">
        <v>0</v>
      </c>
      <c r="L1355">
        <v>2400</v>
      </c>
      <c r="M1355">
        <v>2400</v>
      </c>
      <c r="N1355">
        <v>0</v>
      </c>
    </row>
    <row r="1356" spans="1:14" x14ac:dyDescent="0.25">
      <c r="A1356">
        <v>938.79319899999996</v>
      </c>
      <c r="B1356" s="1">
        <f>DATE(2012,11,24) + TIME(19,2,12)</f>
        <v>41237.793194444443</v>
      </c>
      <c r="C1356">
        <v>80</v>
      </c>
      <c r="D1356">
        <v>77.175247192</v>
      </c>
      <c r="E1356">
        <v>50</v>
      </c>
      <c r="F1356">
        <v>49.968887328999998</v>
      </c>
      <c r="G1356">
        <v>1300.0150146000001</v>
      </c>
      <c r="H1356">
        <v>1287.5269774999999</v>
      </c>
      <c r="I1356">
        <v>1398.7371826000001</v>
      </c>
      <c r="J1356">
        <v>1378.8438721</v>
      </c>
      <c r="K1356">
        <v>0</v>
      </c>
      <c r="L1356">
        <v>2400</v>
      </c>
      <c r="M1356">
        <v>2400</v>
      </c>
      <c r="N1356">
        <v>0</v>
      </c>
    </row>
    <row r="1357" spans="1:14" x14ac:dyDescent="0.25">
      <c r="A1357">
        <v>939.97588199999996</v>
      </c>
      <c r="B1357" s="1">
        <f>DATE(2012,11,25) + TIME(23,25,16)</f>
        <v>41238.97587962963</v>
      </c>
      <c r="C1357">
        <v>80</v>
      </c>
      <c r="D1357">
        <v>77.062278747999997</v>
      </c>
      <c r="E1357">
        <v>50</v>
      </c>
      <c r="F1357">
        <v>49.968910217000001</v>
      </c>
      <c r="G1357">
        <v>1299.9630127</v>
      </c>
      <c r="H1357">
        <v>1287.4666748</v>
      </c>
      <c r="I1357">
        <v>1398.6469727000001</v>
      </c>
      <c r="J1357">
        <v>1378.7633057</v>
      </c>
      <c r="K1357">
        <v>0</v>
      </c>
      <c r="L1357">
        <v>2400</v>
      </c>
      <c r="M1357">
        <v>2400</v>
      </c>
      <c r="N1357">
        <v>0</v>
      </c>
    </row>
    <row r="1358" spans="1:14" x14ac:dyDescent="0.25">
      <c r="A1358">
        <v>941.18868399999997</v>
      </c>
      <c r="B1358" s="1">
        <f>DATE(2012,11,27) + TIME(4,31,42)</f>
        <v>41240.188680555555</v>
      </c>
      <c r="C1358">
        <v>80</v>
      </c>
      <c r="D1358">
        <v>76.947296143000003</v>
      </c>
      <c r="E1358">
        <v>50</v>
      </c>
      <c r="F1358">
        <v>49.968933104999998</v>
      </c>
      <c r="G1358">
        <v>1299.9088135</v>
      </c>
      <c r="H1358">
        <v>1287.4035644999999</v>
      </c>
      <c r="I1358">
        <v>1398.5582274999999</v>
      </c>
      <c r="J1358">
        <v>1378.684082</v>
      </c>
      <c r="K1358">
        <v>0</v>
      </c>
      <c r="L1358">
        <v>2400</v>
      </c>
      <c r="M1358">
        <v>2400</v>
      </c>
      <c r="N1358">
        <v>0</v>
      </c>
    </row>
    <row r="1359" spans="1:14" x14ac:dyDescent="0.25">
      <c r="A1359">
        <v>942.44593599999996</v>
      </c>
      <c r="B1359" s="1">
        <f>DATE(2012,11,28) + TIME(10,42,8)</f>
        <v>41241.445925925924</v>
      </c>
      <c r="C1359">
        <v>80</v>
      </c>
      <c r="D1359">
        <v>76.830154418999996</v>
      </c>
      <c r="E1359">
        <v>50</v>
      </c>
      <c r="F1359">
        <v>49.968959808000001</v>
      </c>
      <c r="G1359">
        <v>1299.8525391000001</v>
      </c>
      <c r="H1359">
        <v>1287.3377685999999</v>
      </c>
      <c r="I1359">
        <v>1398.4710693</v>
      </c>
      <c r="J1359">
        <v>1378.6064452999999</v>
      </c>
      <c r="K1359">
        <v>0</v>
      </c>
      <c r="L1359">
        <v>2400</v>
      </c>
      <c r="M1359">
        <v>2400</v>
      </c>
      <c r="N1359">
        <v>0</v>
      </c>
    </row>
    <row r="1360" spans="1:14" x14ac:dyDescent="0.25">
      <c r="A1360">
        <v>943.75283300000001</v>
      </c>
      <c r="B1360" s="1">
        <f>DATE(2012,11,29) + TIME(18,4,4)</f>
        <v>41242.752824074072</v>
      </c>
      <c r="C1360">
        <v>80</v>
      </c>
      <c r="D1360">
        <v>76.710418700999995</v>
      </c>
      <c r="E1360">
        <v>50</v>
      </c>
      <c r="F1360">
        <v>49.968986510999997</v>
      </c>
      <c r="G1360">
        <v>1299.7932129000001</v>
      </c>
      <c r="H1360">
        <v>1287.2683105000001</v>
      </c>
      <c r="I1360">
        <v>1398.3845214999999</v>
      </c>
      <c r="J1360">
        <v>1378.5294189000001</v>
      </c>
      <c r="K1360">
        <v>0</v>
      </c>
      <c r="L1360">
        <v>2400</v>
      </c>
      <c r="M1360">
        <v>2400</v>
      </c>
      <c r="N1360">
        <v>0</v>
      </c>
    </row>
    <row r="1361" spans="1:14" x14ac:dyDescent="0.25">
      <c r="A1361">
        <v>945</v>
      </c>
      <c r="B1361" s="1">
        <f>DATE(2012,12,1) + TIME(0,0,0)</f>
        <v>41244</v>
      </c>
      <c r="C1361">
        <v>80</v>
      </c>
      <c r="D1361">
        <v>76.591918945000003</v>
      </c>
      <c r="E1361">
        <v>50</v>
      </c>
      <c r="F1361">
        <v>49.969009399000001</v>
      </c>
      <c r="G1361">
        <v>1299.7305908000001</v>
      </c>
      <c r="H1361">
        <v>1287.1949463000001</v>
      </c>
      <c r="I1361">
        <v>1398.2983397999999</v>
      </c>
      <c r="J1361">
        <v>1378.4527588000001</v>
      </c>
      <c r="K1361">
        <v>0</v>
      </c>
      <c r="L1361">
        <v>2400</v>
      </c>
      <c r="M1361">
        <v>2400</v>
      </c>
      <c r="N1361">
        <v>0</v>
      </c>
    </row>
    <row r="1362" spans="1:14" x14ac:dyDescent="0.25">
      <c r="A1362">
        <v>946.37363100000005</v>
      </c>
      <c r="B1362" s="1">
        <f>DATE(2012,12,2) + TIME(8,58,1)</f>
        <v>41245.373622685183</v>
      </c>
      <c r="C1362">
        <v>80</v>
      </c>
      <c r="D1362">
        <v>76.471351623999993</v>
      </c>
      <c r="E1362">
        <v>50</v>
      </c>
      <c r="F1362">
        <v>49.969039917000003</v>
      </c>
      <c r="G1362">
        <v>1299.6700439000001</v>
      </c>
      <c r="H1362">
        <v>1287.1228027</v>
      </c>
      <c r="I1362">
        <v>1398.2194824000001</v>
      </c>
      <c r="J1362">
        <v>1378.3826904</v>
      </c>
      <c r="K1362">
        <v>0</v>
      </c>
      <c r="L1362">
        <v>2400</v>
      </c>
      <c r="M1362">
        <v>2400</v>
      </c>
      <c r="N1362">
        <v>0</v>
      </c>
    </row>
    <row r="1363" spans="1:14" x14ac:dyDescent="0.25">
      <c r="A1363">
        <v>947.82530199999997</v>
      </c>
      <c r="B1363" s="1">
        <f>DATE(2012,12,3) + TIME(19,48,26)</f>
        <v>41246.825300925928</v>
      </c>
      <c r="C1363">
        <v>80</v>
      </c>
      <c r="D1363">
        <v>76.345893860000004</v>
      </c>
      <c r="E1363">
        <v>50</v>
      </c>
      <c r="F1363">
        <v>49.969070434999999</v>
      </c>
      <c r="G1363">
        <v>1299.6021728999999</v>
      </c>
      <c r="H1363">
        <v>1287.0424805</v>
      </c>
      <c r="I1363">
        <v>1398.1359863</v>
      </c>
      <c r="J1363">
        <v>1378.3084716999999</v>
      </c>
      <c r="K1363">
        <v>0</v>
      </c>
      <c r="L1363">
        <v>2400</v>
      </c>
      <c r="M1363">
        <v>2400</v>
      </c>
      <c r="N1363">
        <v>0</v>
      </c>
    </row>
    <row r="1364" spans="1:14" x14ac:dyDescent="0.25">
      <c r="A1364">
        <v>949.302144</v>
      </c>
      <c r="B1364" s="1">
        <f>DATE(2012,12,5) + TIME(7,15,5)</f>
        <v>41248.302141203705</v>
      </c>
      <c r="C1364">
        <v>80</v>
      </c>
      <c r="D1364">
        <v>76.217048645000006</v>
      </c>
      <c r="E1364">
        <v>50</v>
      </c>
      <c r="F1364">
        <v>49.969100951999998</v>
      </c>
      <c r="G1364">
        <v>1299.5291748</v>
      </c>
      <c r="H1364">
        <v>1286.9558105000001</v>
      </c>
      <c r="I1364">
        <v>1398.0511475000001</v>
      </c>
      <c r="J1364">
        <v>1378.2332764</v>
      </c>
      <c r="K1364">
        <v>0</v>
      </c>
      <c r="L1364">
        <v>2400</v>
      </c>
      <c r="M1364">
        <v>2400</v>
      </c>
      <c r="N1364">
        <v>0</v>
      </c>
    </row>
    <row r="1365" spans="1:14" x14ac:dyDescent="0.25">
      <c r="A1365">
        <v>950.81570099999999</v>
      </c>
      <c r="B1365" s="1">
        <f>DATE(2012,12,6) + TIME(19,34,36)</f>
        <v>41249.815694444442</v>
      </c>
      <c r="C1365">
        <v>80</v>
      </c>
      <c r="D1365">
        <v>76.086341857999997</v>
      </c>
      <c r="E1365">
        <v>50</v>
      </c>
      <c r="F1365">
        <v>49.969131470000001</v>
      </c>
      <c r="G1365">
        <v>1299.4534911999999</v>
      </c>
      <c r="H1365">
        <v>1286.8653564000001</v>
      </c>
      <c r="I1365">
        <v>1397.9683838000001</v>
      </c>
      <c r="J1365">
        <v>1378.1597899999999</v>
      </c>
      <c r="K1365">
        <v>0</v>
      </c>
      <c r="L1365">
        <v>2400</v>
      </c>
      <c r="M1365">
        <v>2400</v>
      </c>
      <c r="N1365">
        <v>0</v>
      </c>
    </row>
    <row r="1366" spans="1:14" x14ac:dyDescent="0.25">
      <c r="A1366">
        <v>952.38408900000002</v>
      </c>
      <c r="B1366" s="1">
        <f>DATE(2012,12,8) + TIME(9,13,5)</f>
        <v>41251.384085648147</v>
      </c>
      <c r="C1366">
        <v>80</v>
      </c>
      <c r="D1366">
        <v>75.953559874999996</v>
      </c>
      <c r="E1366">
        <v>50</v>
      </c>
      <c r="F1366">
        <v>49.969165801999999</v>
      </c>
      <c r="G1366">
        <v>1299.3743896000001</v>
      </c>
      <c r="H1366">
        <v>1286.7703856999999</v>
      </c>
      <c r="I1366">
        <v>1397.8869629000001</v>
      </c>
      <c r="J1366">
        <v>1378.0875243999999</v>
      </c>
      <c r="K1366">
        <v>0</v>
      </c>
      <c r="L1366">
        <v>2400</v>
      </c>
      <c r="M1366">
        <v>2400</v>
      </c>
      <c r="N1366">
        <v>0</v>
      </c>
    </row>
    <row r="1367" spans="1:14" x14ac:dyDescent="0.25">
      <c r="A1367">
        <v>954.02749800000004</v>
      </c>
      <c r="B1367" s="1">
        <f>DATE(2012,12,10) + TIME(0,39,35)</f>
        <v>41253.027488425927</v>
      </c>
      <c r="C1367">
        <v>80</v>
      </c>
      <c r="D1367">
        <v>75.817672728999995</v>
      </c>
      <c r="E1367">
        <v>50</v>
      </c>
      <c r="F1367">
        <v>49.969200133999998</v>
      </c>
      <c r="G1367">
        <v>1299.2907714999999</v>
      </c>
      <c r="H1367">
        <v>1286.6694336</v>
      </c>
      <c r="I1367">
        <v>1397.8057861</v>
      </c>
      <c r="J1367">
        <v>1378.015625</v>
      </c>
      <c r="K1367">
        <v>0</v>
      </c>
      <c r="L1367">
        <v>2400</v>
      </c>
      <c r="M1367">
        <v>2400</v>
      </c>
      <c r="N1367">
        <v>0</v>
      </c>
    </row>
    <row r="1368" spans="1:14" x14ac:dyDescent="0.25">
      <c r="A1368">
        <v>955.74021600000003</v>
      </c>
      <c r="B1368" s="1">
        <f>DATE(2012,12,11) + TIME(17,45,54)</f>
        <v>41254.740208333336</v>
      </c>
      <c r="C1368">
        <v>80</v>
      </c>
      <c r="D1368">
        <v>75.678039550999998</v>
      </c>
      <c r="E1368">
        <v>50</v>
      </c>
      <c r="F1368">
        <v>49.969238281000003</v>
      </c>
      <c r="G1368">
        <v>1299.2012939000001</v>
      </c>
      <c r="H1368">
        <v>1286.5609131000001</v>
      </c>
      <c r="I1368">
        <v>1397.723999</v>
      </c>
      <c r="J1368">
        <v>1377.9431152</v>
      </c>
      <c r="K1368">
        <v>0</v>
      </c>
      <c r="L1368">
        <v>2400</v>
      </c>
      <c r="M1368">
        <v>2400</v>
      </c>
      <c r="N1368">
        <v>0</v>
      </c>
    </row>
    <row r="1369" spans="1:14" x14ac:dyDescent="0.25">
      <c r="A1369">
        <v>957.49598600000002</v>
      </c>
      <c r="B1369" s="1">
        <f>DATE(2012,12,13) + TIME(11,54,13)</f>
        <v>41256.495983796296</v>
      </c>
      <c r="C1369">
        <v>80</v>
      </c>
      <c r="D1369">
        <v>75.535377502000003</v>
      </c>
      <c r="E1369">
        <v>50</v>
      </c>
      <c r="F1369">
        <v>49.969276428000001</v>
      </c>
      <c r="G1369">
        <v>1299.1058350000001</v>
      </c>
      <c r="H1369">
        <v>1286.4449463000001</v>
      </c>
      <c r="I1369">
        <v>1397.6419678</v>
      </c>
      <c r="J1369">
        <v>1377.8704834</v>
      </c>
      <c r="K1369">
        <v>0</v>
      </c>
      <c r="L1369">
        <v>2400</v>
      </c>
      <c r="M1369">
        <v>2400</v>
      </c>
      <c r="N1369">
        <v>0</v>
      </c>
    </row>
    <row r="1370" spans="1:14" x14ac:dyDescent="0.25">
      <c r="A1370">
        <v>959.28281400000003</v>
      </c>
      <c r="B1370" s="1">
        <f>DATE(2012,12,15) + TIME(6,47,15)</f>
        <v>41258.282812500001</v>
      </c>
      <c r="C1370">
        <v>80</v>
      </c>
      <c r="D1370">
        <v>75.391052246000001</v>
      </c>
      <c r="E1370">
        <v>50</v>
      </c>
      <c r="F1370">
        <v>49.969318389999998</v>
      </c>
      <c r="G1370">
        <v>1299.0057373</v>
      </c>
      <c r="H1370">
        <v>1286.3223877</v>
      </c>
      <c r="I1370">
        <v>1397.5611572</v>
      </c>
      <c r="J1370">
        <v>1377.7989502</v>
      </c>
      <c r="K1370">
        <v>0</v>
      </c>
      <c r="L1370">
        <v>2400</v>
      </c>
      <c r="M1370">
        <v>2400</v>
      </c>
      <c r="N1370">
        <v>0</v>
      </c>
    </row>
    <row r="1371" spans="1:14" x14ac:dyDescent="0.25">
      <c r="A1371">
        <v>961.11396000000002</v>
      </c>
      <c r="B1371" s="1">
        <f>DATE(2012,12,17) + TIME(2,44,6)</f>
        <v>41260.113958333335</v>
      </c>
      <c r="C1371">
        <v>80</v>
      </c>
      <c r="D1371">
        <v>75.245513915999993</v>
      </c>
      <c r="E1371">
        <v>50</v>
      </c>
      <c r="F1371">
        <v>49.969356537000003</v>
      </c>
      <c r="G1371">
        <v>1298.9012451000001</v>
      </c>
      <c r="H1371">
        <v>1286.1937256000001</v>
      </c>
      <c r="I1371">
        <v>1397.4820557</v>
      </c>
      <c r="J1371">
        <v>1377.7288818</v>
      </c>
      <c r="K1371">
        <v>0</v>
      </c>
      <c r="L1371">
        <v>2400</v>
      </c>
      <c r="M1371">
        <v>2400</v>
      </c>
      <c r="N1371">
        <v>0</v>
      </c>
    </row>
    <row r="1372" spans="1:14" x14ac:dyDescent="0.25">
      <c r="A1372">
        <v>963.01192700000001</v>
      </c>
      <c r="B1372" s="1">
        <f>DATE(2012,12,19) + TIME(0,17,10)</f>
        <v>41262.011921296296</v>
      </c>
      <c r="C1372">
        <v>80</v>
      </c>
      <c r="D1372">
        <v>75.098030089999995</v>
      </c>
      <c r="E1372">
        <v>50</v>
      </c>
      <c r="F1372">
        <v>49.969398499</v>
      </c>
      <c r="G1372">
        <v>1298.7915039</v>
      </c>
      <c r="H1372">
        <v>1286.0579834</v>
      </c>
      <c r="I1372">
        <v>1397.4039307</v>
      </c>
      <c r="J1372">
        <v>1377.659668</v>
      </c>
      <c r="K1372">
        <v>0</v>
      </c>
      <c r="L1372">
        <v>2400</v>
      </c>
      <c r="M1372">
        <v>2400</v>
      </c>
      <c r="N1372">
        <v>0</v>
      </c>
    </row>
    <row r="1373" spans="1:14" x14ac:dyDescent="0.25">
      <c r="A1373">
        <v>964.99012900000002</v>
      </c>
      <c r="B1373" s="1">
        <f>DATE(2012,12,20) + TIME(23,45,47)</f>
        <v>41263.990127314813</v>
      </c>
      <c r="C1373">
        <v>80</v>
      </c>
      <c r="D1373">
        <v>74.947448730000005</v>
      </c>
      <c r="E1373">
        <v>50</v>
      </c>
      <c r="F1373">
        <v>49.969444275000001</v>
      </c>
      <c r="G1373">
        <v>1298.6750488</v>
      </c>
      <c r="H1373">
        <v>1285.9130858999999</v>
      </c>
      <c r="I1373">
        <v>1397.3259277</v>
      </c>
      <c r="J1373">
        <v>1377.5906981999999</v>
      </c>
      <c r="K1373">
        <v>0</v>
      </c>
      <c r="L1373">
        <v>2400</v>
      </c>
      <c r="M1373">
        <v>2400</v>
      </c>
      <c r="N1373">
        <v>0</v>
      </c>
    </row>
    <row r="1374" spans="1:14" x14ac:dyDescent="0.25">
      <c r="A1374">
        <v>967.00669600000003</v>
      </c>
      <c r="B1374" s="1">
        <f>DATE(2012,12,23) + TIME(0,9,38)</f>
        <v>41266.006689814814</v>
      </c>
      <c r="C1374">
        <v>80</v>
      </c>
      <c r="D1374">
        <v>74.793914795000006</v>
      </c>
      <c r="E1374">
        <v>50</v>
      </c>
      <c r="F1374">
        <v>49.969490051000001</v>
      </c>
      <c r="G1374">
        <v>1298.5504149999999</v>
      </c>
      <c r="H1374">
        <v>1285.7575684000001</v>
      </c>
      <c r="I1374">
        <v>1397.2475586</v>
      </c>
      <c r="J1374">
        <v>1377.5212402</v>
      </c>
      <c r="K1374">
        <v>0</v>
      </c>
      <c r="L1374">
        <v>2400</v>
      </c>
      <c r="M1374">
        <v>2400</v>
      </c>
      <c r="N1374">
        <v>0</v>
      </c>
    </row>
    <row r="1375" spans="1:14" x14ac:dyDescent="0.25">
      <c r="A1375">
        <v>969.04933500000004</v>
      </c>
      <c r="B1375" s="1">
        <f>DATE(2012,12,25) + TIME(1,11,2)</f>
        <v>41268.049328703702</v>
      </c>
      <c r="C1375">
        <v>80</v>
      </c>
      <c r="D1375">
        <v>74.639114379999995</v>
      </c>
      <c r="E1375">
        <v>50</v>
      </c>
      <c r="F1375">
        <v>49.969535827999998</v>
      </c>
      <c r="G1375">
        <v>1298.4200439000001</v>
      </c>
      <c r="H1375">
        <v>1285.59375</v>
      </c>
      <c r="I1375">
        <v>1397.1706543</v>
      </c>
      <c r="J1375">
        <v>1377.4530029</v>
      </c>
      <c r="K1375">
        <v>0</v>
      </c>
      <c r="L1375">
        <v>2400</v>
      </c>
      <c r="M1375">
        <v>2400</v>
      </c>
      <c r="N1375">
        <v>0</v>
      </c>
    </row>
    <row r="1376" spans="1:14" x14ac:dyDescent="0.25">
      <c r="A1376">
        <v>971.11265200000003</v>
      </c>
      <c r="B1376" s="1">
        <f>DATE(2012,12,27) + TIME(2,42,13)</f>
        <v>41270.112650462965</v>
      </c>
      <c r="C1376">
        <v>80</v>
      </c>
      <c r="D1376">
        <v>74.483993530000006</v>
      </c>
      <c r="E1376">
        <v>50</v>
      </c>
      <c r="F1376">
        <v>49.969581603999998</v>
      </c>
      <c r="G1376">
        <v>1298.2841797000001</v>
      </c>
      <c r="H1376">
        <v>1285.4221190999999</v>
      </c>
      <c r="I1376">
        <v>1397.0953368999999</v>
      </c>
      <c r="J1376">
        <v>1377.3863524999999</v>
      </c>
      <c r="K1376">
        <v>0</v>
      </c>
      <c r="L1376">
        <v>2400</v>
      </c>
      <c r="M1376">
        <v>2400</v>
      </c>
      <c r="N1376">
        <v>0</v>
      </c>
    </row>
    <row r="1377" spans="1:14" x14ac:dyDescent="0.25">
      <c r="A1377">
        <v>973.2011</v>
      </c>
      <c r="B1377" s="1">
        <f>DATE(2012,12,29) + TIME(4,49,35)</f>
        <v>41272.201099537036</v>
      </c>
      <c r="C1377">
        <v>80</v>
      </c>
      <c r="D1377">
        <v>74.328826903999996</v>
      </c>
      <c r="E1377">
        <v>50</v>
      </c>
      <c r="F1377">
        <v>49.969631194999998</v>
      </c>
      <c r="G1377">
        <v>1298.1433105000001</v>
      </c>
      <c r="H1377">
        <v>1285.2431641000001</v>
      </c>
      <c r="I1377">
        <v>1397.0219727000001</v>
      </c>
      <c r="J1377">
        <v>1377.3212891000001</v>
      </c>
      <c r="K1377">
        <v>0</v>
      </c>
      <c r="L1377">
        <v>2400</v>
      </c>
      <c r="M1377">
        <v>2400</v>
      </c>
      <c r="N1377">
        <v>0</v>
      </c>
    </row>
    <row r="1378" spans="1:14" x14ac:dyDescent="0.25">
      <c r="A1378">
        <v>975.31892700000003</v>
      </c>
      <c r="B1378" s="1">
        <f>DATE(2012,12,31) + TIME(7,39,15)</f>
        <v>41274.318923611114</v>
      </c>
      <c r="C1378">
        <v>80</v>
      </c>
      <c r="D1378">
        <v>74.173393250000004</v>
      </c>
      <c r="E1378">
        <v>50</v>
      </c>
      <c r="F1378">
        <v>49.969676970999998</v>
      </c>
      <c r="G1378">
        <v>1297.9968262</v>
      </c>
      <c r="H1378">
        <v>1285.0562743999999</v>
      </c>
      <c r="I1378">
        <v>1396.9501952999999</v>
      </c>
      <c r="J1378">
        <v>1377.2576904</v>
      </c>
      <c r="K1378">
        <v>0</v>
      </c>
      <c r="L1378">
        <v>2400</v>
      </c>
      <c r="M1378">
        <v>2400</v>
      </c>
      <c r="N1378">
        <v>0</v>
      </c>
    </row>
    <row r="1379" spans="1:14" x14ac:dyDescent="0.25">
      <c r="A1379">
        <v>976</v>
      </c>
      <c r="B1379" s="1">
        <f>DATE(2013,1,1) + TIME(0,0,0)</f>
        <v>41275</v>
      </c>
      <c r="C1379">
        <v>80</v>
      </c>
      <c r="D1379">
        <v>74.076812743999994</v>
      </c>
      <c r="E1379">
        <v>50</v>
      </c>
      <c r="F1379">
        <v>49.969688415999997</v>
      </c>
      <c r="G1379">
        <v>1297.8479004000001</v>
      </c>
      <c r="H1379">
        <v>1284.8752440999999</v>
      </c>
      <c r="I1379">
        <v>1396.8791504000001</v>
      </c>
      <c r="J1379">
        <v>1377.1947021000001</v>
      </c>
      <c r="K1379">
        <v>0</v>
      </c>
      <c r="L1379">
        <v>2400</v>
      </c>
      <c r="M1379">
        <v>2400</v>
      </c>
      <c r="N1379">
        <v>0</v>
      </c>
    </row>
    <row r="1380" spans="1:14" x14ac:dyDescent="0.25">
      <c r="A1380">
        <v>978.14709200000004</v>
      </c>
      <c r="B1380" s="1">
        <f>DATE(2013,1,3) + TIME(3,31,48)</f>
        <v>41277.147083333337</v>
      </c>
      <c r="C1380">
        <v>80</v>
      </c>
      <c r="D1380">
        <v>73.954338074000006</v>
      </c>
      <c r="E1380">
        <v>50</v>
      </c>
      <c r="F1380">
        <v>49.969741821</v>
      </c>
      <c r="G1380">
        <v>1297.7895507999999</v>
      </c>
      <c r="H1380">
        <v>1284.7866211</v>
      </c>
      <c r="I1380">
        <v>1396.8576660000001</v>
      </c>
      <c r="J1380">
        <v>1377.1755370999999</v>
      </c>
      <c r="K1380">
        <v>0</v>
      </c>
      <c r="L1380">
        <v>2400</v>
      </c>
      <c r="M1380">
        <v>2400</v>
      </c>
      <c r="N1380">
        <v>0</v>
      </c>
    </row>
    <row r="1381" spans="1:14" x14ac:dyDescent="0.25">
      <c r="A1381">
        <v>980.32554600000003</v>
      </c>
      <c r="B1381" s="1">
        <f>DATE(2013,1,5) + TIME(7,48,47)</f>
        <v>41279.325543981482</v>
      </c>
      <c r="C1381">
        <v>80</v>
      </c>
      <c r="D1381">
        <v>73.807426453000005</v>
      </c>
      <c r="E1381">
        <v>50</v>
      </c>
      <c r="F1381">
        <v>49.969795226999999</v>
      </c>
      <c r="G1381">
        <v>1297.6329346</v>
      </c>
      <c r="H1381">
        <v>1284.5869141000001</v>
      </c>
      <c r="I1381">
        <v>1396.7893065999999</v>
      </c>
      <c r="J1381">
        <v>1377.1149902</v>
      </c>
      <c r="K1381">
        <v>0</v>
      </c>
      <c r="L1381">
        <v>2400</v>
      </c>
      <c r="M1381">
        <v>2400</v>
      </c>
      <c r="N1381">
        <v>0</v>
      </c>
    </row>
    <row r="1382" spans="1:14" x14ac:dyDescent="0.25">
      <c r="A1382">
        <v>982.53204500000004</v>
      </c>
      <c r="B1382" s="1">
        <f>DATE(2013,1,7) + TIME(12,46,8)</f>
        <v>41281.532037037039</v>
      </c>
      <c r="C1382">
        <v>80</v>
      </c>
      <c r="D1382">
        <v>73.652786254999995</v>
      </c>
      <c r="E1382">
        <v>50</v>
      </c>
      <c r="F1382">
        <v>49.969844817999999</v>
      </c>
      <c r="G1382">
        <v>1297.4674072</v>
      </c>
      <c r="H1382">
        <v>1284.3728027</v>
      </c>
      <c r="I1382">
        <v>1396.7219238</v>
      </c>
      <c r="J1382">
        <v>1377.0551757999999</v>
      </c>
      <c r="K1382">
        <v>0</v>
      </c>
      <c r="L1382">
        <v>2400</v>
      </c>
      <c r="M1382">
        <v>2400</v>
      </c>
      <c r="N1382">
        <v>0</v>
      </c>
    </row>
    <row r="1383" spans="1:14" x14ac:dyDescent="0.25">
      <c r="A1383">
        <v>984.771344</v>
      </c>
      <c r="B1383" s="1">
        <f>DATE(2013,1,9) + TIME(18,30,44)</f>
        <v>41283.77134259259</v>
      </c>
      <c r="C1383">
        <v>80</v>
      </c>
      <c r="D1383">
        <v>73.495094299000002</v>
      </c>
      <c r="E1383">
        <v>50</v>
      </c>
      <c r="F1383">
        <v>49.969894408999998</v>
      </c>
      <c r="G1383">
        <v>1297.2946777</v>
      </c>
      <c r="H1383">
        <v>1284.1479492000001</v>
      </c>
      <c r="I1383">
        <v>1396.6558838000001</v>
      </c>
      <c r="J1383">
        <v>1376.9964600000001</v>
      </c>
      <c r="K1383">
        <v>0</v>
      </c>
      <c r="L1383">
        <v>2400</v>
      </c>
      <c r="M1383">
        <v>2400</v>
      </c>
      <c r="N1383">
        <v>0</v>
      </c>
    </row>
    <row r="1384" spans="1:14" x14ac:dyDescent="0.25">
      <c r="A1384">
        <v>987.043769</v>
      </c>
      <c r="B1384" s="1">
        <f>DATE(2013,1,12) + TIME(1,3,1)</f>
        <v>41286.043761574074</v>
      </c>
      <c r="C1384">
        <v>80</v>
      </c>
      <c r="D1384">
        <v>73.335395813000005</v>
      </c>
      <c r="E1384">
        <v>50</v>
      </c>
      <c r="F1384">
        <v>49.969947814999998</v>
      </c>
      <c r="G1384">
        <v>1297.1147461</v>
      </c>
      <c r="H1384">
        <v>1283.9127197</v>
      </c>
      <c r="I1384">
        <v>1396.5908202999999</v>
      </c>
      <c r="J1384">
        <v>1376.9387207</v>
      </c>
      <c r="K1384">
        <v>0</v>
      </c>
      <c r="L1384">
        <v>2400</v>
      </c>
      <c r="M1384">
        <v>2400</v>
      </c>
      <c r="N1384">
        <v>0</v>
      </c>
    </row>
    <row r="1385" spans="1:14" x14ac:dyDescent="0.25">
      <c r="A1385">
        <v>989.338705</v>
      </c>
      <c r="B1385" s="1">
        <f>DATE(2013,1,14) + TIME(8,7,44)</f>
        <v>41288.338703703703</v>
      </c>
      <c r="C1385">
        <v>80</v>
      </c>
      <c r="D1385">
        <v>73.174026488999999</v>
      </c>
      <c r="E1385">
        <v>50</v>
      </c>
      <c r="F1385">
        <v>49.970001220999997</v>
      </c>
      <c r="G1385">
        <v>1296.9276123</v>
      </c>
      <c r="H1385">
        <v>1283.6668701000001</v>
      </c>
      <c r="I1385">
        <v>1396.5266113</v>
      </c>
      <c r="J1385">
        <v>1376.8815918</v>
      </c>
      <c r="K1385">
        <v>0</v>
      </c>
      <c r="L1385">
        <v>2400</v>
      </c>
      <c r="M1385">
        <v>2400</v>
      </c>
      <c r="N1385">
        <v>0</v>
      </c>
    </row>
    <row r="1386" spans="1:14" x14ac:dyDescent="0.25">
      <c r="A1386">
        <v>991.65535299999999</v>
      </c>
      <c r="B1386" s="1">
        <f>DATE(2013,1,16) + TIME(15,43,42)</f>
        <v>41290.655347222222</v>
      </c>
      <c r="C1386">
        <v>80</v>
      </c>
      <c r="D1386">
        <v>73.011268615999995</v>
      </c>
      <c r="E1386">
        <v>50</v>
      </c>
      <c r="F1386">
        <v>49.970054626</v>
      </c>
      <c r="G1386">
        <v>1296.7340088000001</v>
      </c>
      <c r="H1386">
        <v>1283.4112548999999</v>
      </c>
      <c r="I1386">
        <v>1396.4637451000001</v>
      </c>
      <c r="J1386">
        <v>1376.8256836</v>
      </c>
      <c r="K1386">
        <v>0</v>
      </c>
      <c r="L1386">
        <v>2400</v>
      </c>
      <c r="M1386">
        <v>2400</v>
      </c>
      <c r="N1386">
        <v>0</v>
      </c>
    </row>
    <row r="1387" spans="1:14" x14ac:dyDescent="0.25">
      <c r="A1387">
        <v>993.99859200000003</v>
      </c>
      <c r="B1387" s="1">
        <f>DATE(2013,1,18) + TIME(23,57,58)</f>
        <v>41292.99858796296</v>
      </c>
      <c r="C1387">
        <v>80</v>
      </c>
      <c r="D1387">
        <v>72.846961974999999</v>
      </c>
      <c r="E1387">
        <v>50</v>
      </c>
      <c r="F1387">
        <v>49.970108031999999</v>
      </c>
      <c r="G1387">
        <v>1296.5336914</v>
      </c>
      <c r="H1387">
        <v>1283.145874</v>
      </c>
      <c r="I1387">
        <v>1396.4019774999999</v>
      </c>
      <c r="J1387">
        <v>1376.7706298999999</v>
      </c>
      <c r="K1387">
        <v>0</v>
      </c>
      <c r="L1387">
        <v>2400</v>
      </c>
      <c r="M1387">
        <v>2400</v>
      </c>
      <c r="N1387">
        <v>0</v>
      </c>
    </row>
    <row r="1388" spans="1:14" x14ac:dyDescent="0.25">
      <c r="A1388">
        <v>996.37314200000003</v>
      </c>
      <c r="B1388" s="1">
        <f>DATE(2013,1,21) + TIME(8,57,19)</f>
        <v>41295.373136574075</v>
      </c>
      <c r="C1388">
        <v>80</v>
      </c>
      <c r="D1388">
        <v>72.680603027000004</v>
      </c>
      <c r="E1388">
        <v>50</v>
      </c>
      <c r="F1388">
        <v>49.970161437999998</v>
      </c>
      <c r="G1388">
        <v>1296.3264160000001</v>
      </c>
      <c r="H1388">
        <v>1282.8701172000001</v>
      </c>
      <c r="I1388">
        <v>1396.3411865</v>
      </c>
      <c r="J1388">
        <v>1376.7165527</v>
      </c>
      <c r="K1388">
        <v>0</v>
      </c>
      <c r="L1388">
        <v>2400</v>
      </c>
      <c r="M1388">
        <v>2400</v>
      </c>
      <c r="N1388">
        <v>0</v>
      </c>
    </row>
    <row r="1389" spans="1:14" x14ac:dyDescent="0.25">
      <c r="A1389">
        <v>998.77810099999999</v>
      </c>
      <c r="B1389" s="1">
        <f>DATE(2013,1,23) + TIME(18,40,27)</f>
        <v>41297.778090277781</v>
      </c>
      <c r="C1389">
        <v>80</v>
      </c>
      <c r="D1389">
        <v>72.51171875</v>
      </c>
      <c r="E1389">
        <v>50</v>
      </c>
      <c r="F1389">
        <v>49.970214843999997</v>
      </c>
      <c r="G1389">
        <v>1296.1116943</v>
      </c>
      <c r="H1389">
        <v>1282.583374</v>
      </c>
      <c r="I1389">
        <v>1396.28125</v>
      </c>
      <c r="J1389">
        <v>1376.6630858999999</v>
      </c>
      <c r="K1389">
        <v>0</v>
      </c>
      <c r="L1389">
        <v>2400</v>
      </c>
      <c r="M1389">
        <v>2400</v>
      </c>
      <c r="N1389">
        <v>0</v>
      </c>
    </row>
    <row r="1390" spans="1:14" x14ac:dyDescent="0.25">
      <c r="A1390">
        <v>1001.212765</v>
      </c>
      <c r="B1390" s="1">
        <f>DATE(2013,1,26) + TIME(5,6,22)</f>
        <v>41300.212754629632</v>
      </c>
      <c r="C1390">
        <v>80</v>
      </c>
      <c r="D1390">
        <v>72.339981078999998</v>
      </c>
      <c r="E1390">
        <v>50</v>
      </c>
      <c r="F1390">
        <v>49.970272064</v>
      </c>
      <c r="G1390">
        <v>1295.8894043</v>
      </c>
      <c r="H1390">
        <v>1282.2852783000001</v>
      </c>
      <c r="I1390">
        <v>1396.2220459</v>
      </c>
      <c r="J1390">
        <v>1376.6102295000001</v>
      </c>
      <c r="K1390">
        <v>0</v>
      </c>
      <c r="L1390">
        <v>2400</v>
      </c>
      <c r="M1390">
        <v>2400</v>
      </c>
      <c r="N1390">
        <v>0</v>
      </c>
    </row>
    <row r="1391" spans="1:14" x14ac:dyDescent="0.25">
      <c r="A1391">
        <v>1003.681931</v>
      </c>
      <c r="B1391" s="1">
        <f>DATE(2013,1,28) + TIME(16,21,58)</f>
        <v>41302.681921296295</v>
      </c>
      <c r="C1391">
        <v>80</v>
      </c>
      <c r="D1391">
        <v>72.164985657000003</v>
      </c>
      <c r="E1391">
        <v>50</v>
      </c>
      <c r="F1391">
        <v>49.970329284999998</v>
      </c>
      <c r="G1391">
        <v>1295.6593018000001</v>
      </c>
      <c r="H1391">
        <v>1281.9758300999999</v>
      </c>
      <c r="I1391">
        <v>1396.1636963000001</v>
      </c>
      <c r="J1391">
        <v>1376.5581055</v>
      </c>
      <c r="K1391">
        <v>0</v>
      </c>
      <c r="L1391">
        <v>2400</v>
      </c>
      <c r="M1391">
        <v>2400</v>
      </c>
      <c r="N1391">
        <v>0</v>
      </c>
    </row>
    <row r="1392" spans="1:14" x14ac:dyDescent="0.25">
      <c r="A1392">
        <v>1006.190275</v>
      </c>
      <c r="B1392" s="1">
        <f>DATE(2013,1,31) + TIME(4,33,59)</f>
        <v>41305.190266203703</v>
      </c>
      <c r="C1392">
        <v>80</v>
      </c>
      <c r="D1392">
        <v>71.986106872999997</v>
      </c>
      <c r="E1392">
        <v>50</v>
      </c>
      <c r="F1392">
        <v>49.970386505</v>
      </c>
      <c r="G1392">
        <v>1295.4211425999999</v>
      </c>
      <c r="H1392">
        <v>1281.6542969</v>
      </c>
      <c r="I1392">
        <v>1396.1058350000001</v>
      </c>
      <c r="J1392">
        <v>1376.5065918</v>
      </c>
      <c r="K1392">
        <v>0</v>
      </c>
      <c r="L1392">
        <v>2400</v>
      </c>
      <c r="M1392">
        <v>2400</v>
      </c>
      <c r="N1392">
        <v>0</v>
      </c>
    </row>
    <row r="1393" spans="1:14" x14ac:dyDescent="0.25">
      <c r="A1393">
        <v>1007</v>
      </c>
      <c r="B1393" s="1">
        <f>DATE(2013,2,1) + TIME(0,0,0)</f>
        <v>41306</v>
      </c>
      <c r="C1393">
        <v>80</v>
      </c>
      <c r="D1393">
        <v>71.866027832</v>
      </c>
      <c r="E1393">
        <v>50</v>
      </c>
      <c r="F1393">
        <v>49.970397949000002</v>
      </c>
      <c r="G1393">
        <v>1295.1849365</v>
      </c>
      <c r="H1393">
        <v>1281.3485106999999</v>
      </c>
      <c r="I1393">
        <v>1396.0479736</v>
      </c>
      <c r="J1393">
        <v>1376.4547118999999</v>
      </c>
      <c r="K1393">
        <v>0</v>
      </c>
      <c r="L1393">
        <v>2400</v>
      </c>
      <c r="M1393">
        <v>2400</v>
      </c>
      <c r="N1393">
        <v>0</v>
      </c>
    </row>
    <row r="1394" spans="1:14" x14ac:dyDescent="0.25">
      <c r="A1394">
        <v>1009.533645</v>
      </c>
      <c r="B1394" s="1">
        <f>DATE(2013,2,3) + TIME(12,48,26)</f>
        <v>41308.533634259256</v>
      </c>
      <c r="C1394">
        <v>80</v>
      </c>
      <c r="D1394">
        <v>71.727943420000003</v>
      </c>
      <c r="E1394">
        <v>50</v>
      </c>
      <c r="F1394">
        <v>49.970458983999997</v>
      </c>
      <c r="G1394">
        <v>1295.0820312000001</v>
      </c>
      <c r="H1394">
        <v>1281.1887207</v>
      </c>
      <c r="I1394">
        <v>1396.0303954999999</v>
      </c>
      <c r="J1394">
        <v>1376.4390868999999</v>
      </c>
      <c r="K1394">
        <v>0</v>
      </c>
      <c r="L1394">
        <v>2400</v>
      </c>
      <c r="M1394">
        <v>2400</v>
      </c>
      <c r="N1394">
        <v>0</v>
      </c>
    </row>
    <row r="1395" spans="1:14" x14ac:dyDescent="0.25">
      <c r="A1395">
        <v>1012.108174</v>
      </c>
      <c r="B1395" s="1">
        <f>DATE(2013,2,6) + TIME(2,35,46)</f>
        <v>41311.108171296299</v>
      </c>
      <c r="C1395">
        <v>80</v>
      </c>
      <c r="D1395">
        <v>71.550819396999998</v>
      </c>
      <c r="E1395">
        <v>50</v>
      </c>
      <c r="F1395">
        <v>49.970520020000002</v>
      </c>
      <c r="G1395">
        <v>1294.8345947</v>
      </c>
      <c r="H1395">
        <v>1280.8562012</v>
      </c>
      <c r="I1395">
        <v>1395.9744873</v>
      </c>
      <c r="J1395">
        <v>1376.3889160000001</v>
      </c>
      <c r="K1395">
        <v>0</v>
      </c>
      <c r="L1395">
        <v>2400</v>
      </c>
      <c r="M1395">
        <v>2400</v>
      </c>
      <c r="N1395">
        <v>0</v>
      </c>
    </row>
    <row r="1396" spans="1:14" x14ac:dyDescent="0.25">
      <c r="A1396">
        <v>1014.717439</v>
      </c>
      <c r="B1396" s="1">
        <f>DATE(2013,2,8) + TIME(17,13,6)</f>
        <v>41313.717430555553</v>
      </c>
      <c r="C1396">
        <v>80</v>
      </c>
      <c r="D1396">
        <v>71.359687804999993</v>
      </c>
      <c r="E1396">
        <v>50</v>
      </c>
      <c r="F1396">
        <v>49.970577239999997</v>
      </c>
      <c r="G1396">
        <v>1294.5716553</v>
      </c>
      <c r="H1396">
        <v>1280.4982910000001</v>
      </c>
      <c r="I1396">
        <v>1395.9188231999999</v>
      </c>
      <c r="J1396">
        <v>1376.3391113</v>
      </c>
      <c r="K1396">
        <v>0</v>
      </c>
      <c r="L1396">
        <v>2400</v>
      </c>
      <c r="M1396">
        <v>2400</v>
      </c>
      <c r="N1396">
        <v>0</v>
      </c>
    </row>
    <row r="1397" spans="1:14" x14ac:dyDescent="0.25">
      <c r="A1397">
        <v>1017.3570549999999</v>
      </c>
      <c r="B1397" s="1">
        <f>DATE(2013,2,11) + TIME(8,34,9)</f>
        <v>41316.357048611113</v>
      </c>
      <c r="C1397">
        <v>80</v>
      </c>
      <c r="D1397">
        <v>71.160720824999999</v>
      </c>
      <c r="E1397">
        <v>50</v>
      </c>
      <c r="F1397">
        <v>49.970634459999999</v>
      </c>
      <c r="G1397">
        <v>1294.2987060999999</v>
      </c>
      <c r="H1397">
        <v>1280.1245117000001</v>
      </c>
      <c r="I1397">
        <v>1395.8636475000001</v>
      </c>
      <c r="J1397">
        <v>1376.2896728999999</v>
      </c>
      <c r="K1397">
        <v>0</v>
      </c>
      <c r="L1397">
        <v>2400</v>
      </c>
      <c r="M1397">
        <v>2400</v>
      </c>
      <c r="N1397">
        <v>0</v>
      </c>
    </row>
    <row r="1398" spans="1:14" x14ac:dyDescent="0.25">
      <c r="A1398">
        <v>1020.0306880000001</v>
      </c>
      <c r="B1398" s="1">
        <f>DATE(2013,2,14) + TIME(0,44,11)</f>
        <v>41319.030682870369</v>
      </c>
      <c r="C1398">
        <v>80</v>
      </c>
      <c r="D1398">
        <v>70.955169678000004</v>
      </c>
      <c r="E1398">
        <v>50</v>
      </c>
      <c r="F1398">
        <v>49.970695495999998</v>
      </c>
      <c r="G1398">
        <v>1294.0172118999999</v>
      </c>
      <c r="H1398">
        <v>1279.7376709</v>
      </c>
      <c r="I1398">
        <v>1395.809082</v>
      </c>
      <c r="J1398">
        <v>1376.2407227000001</v>
      </c>
      <c r="K1398">
        <v>0</v>
      </c>
      <c r="L1398">
        <v>2400</v>
      </c>
      <c r="M1398">
        <v>2400</v>
      </c>
      <c r="N1398">
        <v>0</v>
      </c>
    </row>
    <row r="1399" spans="1:14" x14ac:dyDescent="0.25">
      <c r="A1399">
        <v>1022.730367</v>
      </c>
      <c r="B1399" s="1">
        <f>DATE(2013,2,16) + TIME(17,31,43)</f>
        <v>41321.730358796296</v>
      </c>
      <c r="C1399">
        <v>80</v>
      </c>
      <c r="D1399">
        <v>70.742927550999994</v>
      </c>
      <c r="E1399">
        <v>50</v>
      </c>
      <c r="F1399">
        <v>49.970756530999999</v>
      </c>
      <c r="G1399">
        <v>1293.7271728999999</v>
      </c>
      <c r="H1399">
        <v>1279.3378906</v>
      </c>
      <c r="I1399">
        <v>1395.7550048999999</v>
      </c>
      <c r="J1399">
        <v>1376.1921387</v>
      </c>
      <c r="K1399">
        <v>0</v>
      </c>
      <c r="L1399">
        <v>2400</v>
      </c>
      <c r="M1399">
        <v>2400</v>
      </c>
      <c r="N1399">
        <v>0</v>
      </c>
    </row>
    <row r="1400" spans="1:14" x14ac:dyDescent="0.25">
      <c r="A1400">
        <v>1025.4554760000001</v>
      </c>
      <c r="B1400" s="1">
        <f>DATE(2013,2,19) + TIME(10,55,53)</f>
        <v>41324.455474537041</v>
      </c>
      <c r="C1400">
        <v>80</v>
      </c>
      <c r="D1400">
        <v>70.523902892999999</v>
      </c>
      <c r="E1400">
        <v>50</v>
      </c>
      <c r="F1400">
        <v>49.970817566000001</v>
      </c>
      <c r="G1400">
        <v>1293.4294434000001</v>
      </c>
      <c r="H1400">
        <v>1278.9260254000001</v>
      </c>
      <c r="I1400">
        <v>1395.7015381000001</v>
      </c>
      <c r="J1400">
        <v>1376.144043</v>
      </c>
      <c r="K1400">
        <v>0</v>
      </c>
      <c r="L1400">
        <v>2400</v>
      </c>
      <c r="M1400">
        <v>2400</v>
      </c>
      <c r="N1400">
        <v>0</v>
      </c>
    </row>
    <row r="1401" spans="1:14" x14ac:dyDescent="0.25">
      <c r="A1401">
        <v>1028.2115429999999</v>
      </c>
      <c r="B1401" s="1">
        <f>DATE(2013,2,22) + TIME(5,4,37)</f>
        <v>41327.211539351854</v>
      </c>
      <c r="C1401">
        <v>80</v>
      </c>
      <c r="D1401">
        <v>70.297615050999994</v>
      </c>
      <c r="E1401">
        <v>50</v>
      </c>
      <c r="F1401">
        <v>49.970878601000003</v>
      </c>
      <c r="G1401">
        <v>1293.1241454999999</v>
      </c>
      <c r="H1401">
        <v>1278.5023193</v>
      </c>
      <c r="I1401">
        <v>1395.6485596</v>
      </c>
      <c r="J1401">
        <v>1376.0965576000001</v>
      </c>
      <c r="K1401">
        <v>0</v>
      </c>
      <c r="L1401">
        <v>2400</v>
      </c>
      <c r="M1401">
        <v>2400</v>
      </c>
      <c r="N1401">
        <v>0</v>
      </c>
    </row>
    <row r="1402" spans="1:14" x14ac:dyDescent="0.25">
      <c r="A1402">
        <v>1031.0000199999999</v>
      </c>
      <c r="B1402" s="1">
        <f>DATE(2013,2,25) + TIME(0,0,1)</f>
        <v>41330.000011574077</v>
      </c>
      <c r="C1402">
        <v>80</v>
      </c>
      <c r="D1402">
        <v>70.063392639</v>
      </c>
      <c r="E1402">
        <v>50</v>
      </c>
      <c r="F1402">
        <v>49.970939635999997</v>
      </c>
      <c r="G1402">
        <v>1292.8107910000001</v>
      </c>
      <c r="H1402">
        <v>1278.0662841999999</v>
      </c>
      <c r="I1402">
        <v>1395.5960693</v>
      </c>
      <c r="J1402">
        <v>1376.0493164</v>
      </c>
      <c r="K1402">
        <v>0</v>
      </c>
      <c r="L1402">
        <v>2400</v>
      </c>
      <c r="M1402">
        <v>2400</v>
      </c>
      <c r="N1402">
        <v>0</v>
      </c>
    </row>
    <row r="1403" spans="1:14" x14ac:dyDescent="0.25">
      <c r="A1403">
        <v>1033.8231949999999</v>
      </c>
      <c r="B1403" s="1">
        <f>DATE(2013,2,27) + TIME(19,45,24)</f>
        <v>41332.823194444441</v>
      </c>
      <c r="C1403">
        <v>80</v>
      </c>
      <c r="D1403">
        <v>69.820175171000002</v>
      </c>
      <c r="E1403">
        <v>50</v>
      </c>
      <c r="F1403">
        <v>49.971000670999999</v>
      </c>
      <c r="G1403">
        <v>1292.4892577999999</v>
      </c>
      <c r="H1403">
        <v>1277.6174315999999</v>
      </c>
      <c r="I1403">
        <v>1395.5440673999999</v>
      </c>
      <c r="J1403">
        <v>1376.0023193</v>
      </c>
      <c r="K1403">
        <v>0</v>
      </c>
      <c r="L1403">
        <v>2400</v>
      </c>
      <c r="M1403">
        <v>2400</v>
      </c>
      <c r="N1403">
        <v>0</v>
      </c>
    </row>
    <row r="1404" spans="1:14" x14ac:dyDescent="0.25">
      <c r="A1404">
        <v>1035</v>
      </c>
      <c r="B1404" s="1">
        <f>DATE(2013,3,1) + TIME(0,0,0)</f>
        <v>41334</v>
      </c>
      <c r="C1404">
        <v>80</v>
      </c>
      <c r="D1404">
        <v>69.627037048000005</v>
      </c>
      <c r="E1404">
        <v>50</v>
      </c>
      <c r="F1404">
        <v>49.971019745</v>
      </c>
      <c r="G1404">
        <v>1292.1705322</v>
      </c>
      <c r="H1404">
        <v>1277.1865233999999</v>
      </c>
      <c r="I1404">
        <v>1395.4915771000001</v>
      </c>
      <c r="J1404">
        <v>1375.9550781</v>
      </c>
      <c r="K1404">
        <v>0</v>
      </c>
      <c r="L1404">
        <v>2400</v>
      </c>
      <c r="M1404">
        <v>2400</v>
      </c>
      <c r="N1404">
        <v>0</v>
      </c>
    </row>
    <row r="1405" spans="1:14" x14ac:dyDescent="0.25">
      <c r="A1405">
        <v>1037.8631009999999</v>
      </c>
      <c r="B1405" s="1">
        <f>DATE(2013,3,3) + TIME(20,42,51)</f>
        <v>41336.86309027778</v>
      </c>
      <c r="C1405">
        <v>80</v>
      </c>
      <c r="D1405">
        <v>69.439598083000007</v>
      </c>
      <c r="E1405">
        <v>50</v>
      </c>
      <c r="F1405">
        <v>49.971088408999996</v>
      </c>
      <c r="G1405">
        <v>1292.0042725000001</v>
      </c>
      <c r="H1405">
        <v>1276.9293213000001</v>
      </c>
      <c r="I1405">
        <v>1395.4709473</v>
      </c>
      <c r="J1405">
        <v>1375.9364014</v>
      </c>
      <c r="K1405">
        <v>0</v>
      </c>
      <c r="L1405">
        <v>2400</v>
      </c>
      <c r="M1405">
        <v>2400</v>
      </c>
      <c r="N1405">
        <v>0</v>
      </c>
    </row>
    <row r="1406" spans="1:14" x14ac:dyDescent="0.25">
      <c r="A1406">
        <v>1040.7795599999999</v>
      </c>
      <c r="B1406" s="1">
        <f>DATE(2013,3,6) + TIME(18,42,34)</f>
        <v>41339.779560185183</v>
      </c>
      <c r="C1406">
        <v>80</v>
      </c>
      <c r="D1406">
        <v>69.187324524000005</v>
      </c>
      <c r="E1406">
        <v>50</v>
      </c>
      <c r="F1406">
        <v>49.971149445000002</v>
      </c>
      <c r="G1406">
        <v>1291.6765137</v>
      </c>
      <c r="H1406">
        <v>1276.4747314000001</v>
      </c>
      <c r="I1406">
        <v>1395.4197998</v>
      </c>
      <c r="J1406">
        <v>1375.8901367000001</v>
      </c>
      <c r="K1406">
        <v>0</v>
      </c>
      <c r="L1406">
        <v>2400</v>
      </c>
      <c r="M1406">
        <v>2400</v>
      </c>
      <c r="N1406">
        <v>0</v>
      </c>
    </row>
    <row r="1407" spans="1:14" x14ac:dyDescent="0.25">
      <c r="A1407">
        <v>1043.733884</v>
      </c>
      <c r="B1407" s="1">
        <f>DATE(2013,3,9) + TIME(17,36,47)</f>
        <v>41342.733877314815</v>
      </c>
      <c r="C1407">
        <v>80</v>
      </c>
      <c r="D1407">
        <v>68.910743713000002</v>
      </c>
      <c r="E1407">
        <v>50</v>
      </c>
      <c r="F1407">
        <v>49.971214293999999</v>
      </c>
      <c r="G1407">
        <v>1291.3287353999999</v>
      </c>
      <c r="H1407">
        <v>1275.9855957</v>
      </c>
      <c r="I1407">
        <v>1395.3685303</v>
      </c>
      <c r="J1407">
        <v>1375.8438721</v>
      </c>
      <c r="K1407">
        <v>0</v>
      </c>
      <c r="L1407">
        <v>2400</v>
      </c>
      <c r="M1407">
        <v>2400</v>
      </c>
      <c r="N1407">
        <v>0</v>
      </c>
    </row>
    <row r="1408" spans="1:14" x14ac:dyDescent="0.25">
      <c r="A1408">
        <v>1046.731716</v>
      </c>
      <c r="B1408" s="1">
        <f>DATE(2013,3,12) + TIME(17,33,40)</f>
        <v>41345.731712962966</v>
      </c>
      <c r="C1408">
        <v>80</v>
      </c>
      <c r="D1408">
        <v>68.619094849000007</v>
      </c>
      <c r="E1408">
        <v>50</v>
      </c>
      <c r="F1408">
        <v>49.971279144</v>
      </c>
      <c r="G1408">
        <v>1290.9700928</v>
      </c>
      <c r="H1408">
        <v>1275.4785156</v>
      </c>
      <c r="I1408">
        <v>1395.3173827999999</v>
      </c>
      <c r="J1408">
        <v>1375.7976074000001</v>
      </c>
      <c r="K1408">
        <v>0</v>
      </c>
      <c r="L1408">
        <v>2400</v>
      </c>
      <c r="M1408">
        <v>2400</v>
      </c>
      <c r="N1408">
        <v>0</v>
      </c>
    </row>
    <row r="1409" spans="1:14" x14ac:dyDescent="0.25">
      <c r="A1409">
        <v>1049.776423</v>
      </c>
      <c r="B1409" s="1">
        <f>DATE(2013,3,15) + TIME(18,38,2)</f>
        <v>41348.776412037034</v>
      </c>
      <c r="C1409">
        <v>80</v>
      </c>
      <c r="D1409">
        <v>68.313407897999994</v>
      </c>
      <c r="E1409">
        <v>50</v>
      </c>
      <c r="F1409">
        <v>49.971343994000001</v>
      </c>
      <c r="G1409">
        <v>1290.6020507999999</v>
      </c>
      <c r="H1409">
        <v>1274.9562988</v>
      </c>
      <c r="I1409">
        <v>1395.2664795000001</v>
      </c>
      <c r="J1409">
        <v>1375.7514647999999</v>
      </c>
      <c r="K1409">
        <v>0</v>
      </c>
      <c r="L1409">
        <v>2400</v>
      </c>
      <c r="M1409">
        <v>2400</v>
      </c>
      <c r="N1409">
        <v>0</v>
      </c>
    </row>
    <row r="1410" spans="1:14" x14ac:dyDescent="0.25">
      <c r="A1410">
        <v>1052.8615580000001</v>
      </c>
      <c r="B1410" s="1">
        <f>DATE(2013,3,18) + TIME(20,40,38)</f>
        <v>41351.861550925925</v>
      </c>
      <c r="C1410">
        <v>80</v>
      </c>
      <c r="D1410">
        <v>67.993278502999999</v>
      </c>
      <c r="E1410">
        <v>50</v>
      </c>
      <c r="F1410">
        <v>49.971408844000003</v>
      </c>
      <c r="G1410">
        <v>1290.2247314000001</v>
      </c>
      <c r="H1410">
        <v>1274.4189452999999</v>
      </c>
      <c r="I1410">
        <v>1395.2154541</v>
      </c>
      <c r="J1410">
        <v>1375.7052002</v>
      </c>
      <c r="K1410">
        <v>0</v>
      </c>
      <c r="L1410">
        <v>2400</v>
      </c>
      <c r="M1410">
        <v>2400</v>
      </c>
      <c r="N1410">
        <v>0</v>
      </c>
    </row>
    <row r="1411" spans="1:14" x14ac:dyDescent="0.25">
      <c r="A1411">
        <v>1055.9834800000001</v>
      </c>
      <c r="B1411" s="1">
        <f>DATE(2013,3,21) + TIME(23,36,12)</f>
        <v>41354.983472222222</v>
      </c>
      <c r="C1411">
        <v>80</v>
      </c>
      <c r="D1411">
        <v>67.658576964999995</v>
      </c>
      <c r="E1411">
        <v>50</v>
      </c>
      <c r="F1411">
        <v>49.971473693999997</v>
      </c>
      <c r="G1411">
        <v>1289.8388672000001</v>
      </c>
      <c r="H1411">
        <v>1273.8679199000001</v>
      </c>
      <c r="I1411">
        <v>1395.1645507999999</v>
      </c>
      <c r="J1411">
        <v>1375.6589355000001</v>
      </c>
      <c r="K1411">
        <v>0</v>
      </c>
      <c r="L1411">
        <v>2400</v>
      </c>
      <c r="M1411">
        <v>2400</v>
      </c>
      <c r="N1411">
        <v>0</v>
      </c>
    </row>
    <row r="1412" spans="1:14" x14ac:dyDescent="0.25">
      <c r="A1412">
        <v>1059.145008</v>
      </c>
      <c r="B1412" s="1">
        <f>DATE(2013,3,25) + TIME(3,28,48)</f>
        <v>41358.144999999997</v>
      </c>
      <c r="C1412">
        <v>80</v>
      </c>
      <c r="D1412">
        <v>67.308990479000002</v>
      </c>
      <c r="E1412">
        <v>50</v>
      </c>
      <c r="F1412">
        <v>49.971538543999998</v>
      </c>
      <c r="G1412">
        <v>1289.4451904</v>
      </c>
      <c r="H1412">
        <v>1273.3039550999999</v>
      </c>
      <c r="I1412">
        <v>1395.1137695</v>
      </c>
      <c r="J1412">
        <v>1375.612793</v>
      </c>
      <c r="K1412">
        <v>0</v>
      </c>
      <c r="L1412">
        <v>2400</v>
      </c>
      <c r="M1412">
        <v>2400</v>
      </c>
      <c r="N1412">
        <v>0</v>
      </c>
    </row>
    <row r="1413" spans="1:14" x14ac:dyDescent="0.25">
      <c r="A1413">
        <v>1062.352052</v>
      </c>
      <c r="B1413" s="1">
        <f>DATE(2013,3,28) + TIME(8,26,57)</f>
        <v>41361.352048611108</v>
      </c>
      <c r="C1413">
        <v>80</v>
      </c>
      <c r="D1413">
        <v>66.943717957000004</v>
      </c>
      <c r="E1413">
        <v>50</v>
      </c>
      <c r="F1413">
        <v>49.971607208000002</v>
      </c>
      <c r="G1413">
        <v>1289.0437012</v>
      </c>
      <c r="H1413">
        <v>1272.7268065999999</v>
      </c>
      <c r="I1413">
        <v>1395.0631103999999</v>
      </c>
      <c r="J1413">
        <v>1375.5667725000001</v>
      </c>
      <c r="K1413">
        <v>0</v>
      </c>
      <c r="L1413">
        <v>2400</v>
      </c>
      <c r="M1413">
        <v>2400</v>
      </c>
      <c r="N1413">
        <v>0</v>
      </c>
    </row>
    <row r="1414" spans="1:14" x14ac:dyDescent="0.25">
      <c r="A1414">
        <v>1065.610637</v>
      </c>
      <c r="B1414" s="1">
        <f>DATE(2013,3,31) + TIME(14,39,19)</f>
        <v>41364.610636574071</v>
      </c>
      <c r="C1414">
        <v>80</v>
      </c>
      <c r="D1414">
        <v>66.561599731000001</v>
      </c>
      <c r="E1414">
        <v>50</v>
      </c>
      <c r="F1414">
        <v>49.971672058000003</v>
      </c>
      <c r="G1414">
        <v>1288.6339111</v>
      </c>
      <c r="H1414">
        <v>1272.1358643000001</v>
      </c>
      <c r="I1414">
        <v>1395.0123291</v>
      </c>
      <c r="J1414">
        <v>1375.5205077999999</v>
      </c>
      <c r="K1414">
        <v>0</v>
      </c>
      <c r="L1414">
        <v>2400</v>
      </c>
      <c r="M1414">
        <v>2400</v>
      </c>
      <c r="N1414">
        <v>0</v>
      </c>
    </row>
    <row r="1415" spans="1:14" x14ac:dyDescent="0.25">
      <c r="A1415">
        <v>1066</v>
      </c>
      <c r="B1415" s="1">
        <f>DATE(2013,4,1) + TIME(0,0,0)</f>
        <v>41365</v>
      </c>
      <c r="C1415">
        <v>80</v>
      </c>
      <c r="D1415">
        <v>66.393363953000005</v>
      </c>
      <c r="E1415">
        <v>50</v>
      </c>
      <c r="F1415">
        <v>49.971675873000002</v>
      </c>
      <c r="G1415">
        <v>1288.2475586</v>
      </c>
      <c r="H1415">
        <v>1271.6403809000001</v>
      </c>
      <c r="I1415">
        <v>1394.9611815999999</v>
      </c>
      <c r="J1415">
        <v>1375.4737548999999</v>
      </c>
      <c r="K1415">
        <v>0</v>
      </c>
      <c r="L1415">
        <v>2400</v>
      </c>
      <c r="M1415">
        <v>2400</v>
      </c>
      <c r="N1415">
        <v>0</v>
      </c>
    </row>
    <row r="1416" spans="1:14" x14ac:dyDescent="0.25">
      <c r="A1416">
        <v>1069.3163480000001</v>
      </c>
      <c r="B1416" s="1">
        <f>DATE(2013,4,4) + TIME(7,35,32)</f>
        <v>41368.316342592596</v>
      </c>
      <c r="C1416">
        <v>80</v>
      </c>
      <c r="D1416">
        <v>66.089996338000006</v>
      </c>
      <c r="E1416">
        <v>50</v>
      </c>
      <c r="F1416">
        <v>49.971748351999999</v>
      </c>
      <c r="G1416">
        <v>1288.1491699000001</v>
      </c>
      <c r="H1416">
        <v>1271.4248047000001</v>
      </c>
      <c r="I1416">
        <v>1394.9553223</v>
      </c>
      <c r="J1416">
        <v>1375.4685059000001</v>
      </c>
      <c r="K1416">
        <v>0</v>
      </c>
      <c r="L1416">
        <v>2400</v>
      </c>
      <c r="M1416">
        <v>2400</v>
      </c>
      <c r="N1416">
        <v>0</v>
      </c>
    </row>
    <row r="1417" spans="1:14" x14ac:dyDescent="0.25">
      <c r="A1417">
        <v>1072.689159</v>
      </c>
      <c r="B1417" s="1">
        <f>DATE(2013,4,7) + TIME(16,32,23)</f>
        <v>41371.689155092594</v>
      </c>
      <c r="C1417">
        <v>80</v>
      </c>
      <c r="D1417">
        <v>65.687248229999994</v>
      </c>
      <c r="E1417">
        <v>50</v>
      </c>
      <c r="F1417">
        <v>49.971817016999999</v>
      </c>
      <c r="G1417">
        <v>1287.7341309000001</v>
      </c>
      <c r="H1417">
        <v>1270.8297118999999</v>
      </c>
      <c r="I1417">
        <v>1394.9042969</v>
      </c>
      <c r="J1417">
        <v>1375.421875</v>
      </c>
      <c r="K1417">
        <v>0</v>
      </c>
      <c r="L1417">
        <v>2400</v>
      </c>
      <c r="M1417">
        <v>2400</v>
      </c>
      <c r="N1417">
        <v>0</v>
      </c>
    </row>
    <row r="1418" spans="1:14" x14ac:dyDescent="0.25">
      <c r="A1418">
        <v>1076.110224</v>
      </c>
      <c r="B1418" s="1">
        <f>DATE(2013,4,11) + TIME(2,38,43)</f>
        <v>41375.110219907408</v>
      </c>
      <c r="C1418">
        <v>80</v>
      </c>
      <c r="D1418">
        <v>65.249877929999997</v>
      </c>
      <c r="E1418">
        <v>50</v>
      </c>
      <c r="F1418">
        <v>49.971885681000003</v>
      </c>
      <c r="G1418">
        <v>1287.2998047000001</v>
      </c>
      <c r="H1418">
        <v>1270.1982422000001</v>
      </c>
      <c r="I1418">
        <v>1394.8529053</v>
      </c>
      <c r="J1418">
        <v>1375.3748779</v>
      </c>
      <c r="K1418">
        <v>0</v>
      </c>
      <c r="L1418">
        <v>2400</v>
      </c>
      <c r="M1418">
        <v>2400</v>
      </c>
      <c r="N1418">
        <v>0</v>
      </c>
    </row>
    <row r="1419" spans="1:14" x14ac:dyDescent="0.25">
      <c r="A1419">
        <v>1079.586092</v>
      </c>
      <c r="B1419" s="1">
        <f>DATE(2013,4,14) + TIME(14,3,58)</f>
        <v>41378.586087962962</v>
      </c>
      <c r="C1419">
        <v>80</v>
      </c>
      <c r="D1419">
        <v>64.790725707999997</v>
      </c>
      <c r="E1419">
        <v>50</v>
      </c>
      <c r="F1419">
        <v>49.971954345999997</v>
      </c>
      <c r="G1419">
        <v>1286.8558350000001</v>
      </c>
      <c r="H1419">
        <v>1269.5493164</v>
      </c>
      <c r="I1419">
        <v>1394.8013916</v>
      </c>
      <c r="J1419">
        <v>1375.3277588000001</v>
      </c>
      <c r="K1419">
        <v>0</v>
      </c>
      <c r="L1419">
        <v>2400</v>
      </c>
      <c r="M1419">
        <v>2400</v>
      </c>
      <c r="N1419">
        <v>0</v>
      </c>
    </row>
    <row r="1420" spans="1:14" x14ac:dyDescent="0.25">
      <c r="A1420">
        <v>1083.1237470000001</v>
      </c>
      <c r="B1420" s="1">
        <f>DATE(2013,4,18) + TIME(2,58,11)</f>
        <v>41382.123738425929</v>
      </c>
      <c r="C1420">
        <v>80</v>
      </c>
      <c r="D1420">
        <v>64.311058044000006</v>
      </c>
      <c r="E1420">
        <v>50</v>
      </c>
      <c r="F1420">
        <v>49.972026825</v>
      </c>
      <c r="G1420">
        <v>1286.4035644999999</v>
      </c>
      <c r="H1420">
        <v>1268.8856201000001</v>
      </c>
      <c r="I1420">
        <v>1394.7495117000001</v>
      </c>
      <c r="J1420">
        <v>1375.2802733999999</v>
      </c>
      <c r="K1420">
        <v>0</v>
      </c>
      <c r="L1420">
        <v>2400</v>
      </c>
      <c r="M1420">
        <v>2400</v>
      </c>
      <c r="N1420">
        <v>0</v>
      </c>
    </row>
    <row r="1421" spans="1:14" x14ac:dyDescent="0.25">
      <c r="A1421">
        <v>1086.7306289999999</v>
      </c>
      <c r="B1421" s="1">
        <f>DATE(2013,4,21) + TIME(17,32,6)</f>
        <v>41385.730624999997</v>
      </c>
      <c r="C1421">
        <v>80</v>
      </c>
      <c r="D1421">
        <v>63.810073852999999</v>
      </c>
      <c r="E1421">
        <v>50</v>
      </c>
      <c r="F1421">
        <v>49.972099303999997</v>
      </c>
      <c r="G1421">
        <v>1285.9428711</v>
      </c>
      <c r="H1421">
        <v>1268.2070312000001</v>
      </c>
      <c r="I1421">
        <v>1394.6973877</v>
      </c>
      <c r="J1421">
        <v>1375.2322998</v>
      </c>
      <c r="K1421">
        <v>0</v>
      </c>
      <c r="L1421">
        <v>2400</v>
      </c>
      <c r="M1421">
        <v>2400</v>
      </c>
      <c r="N1421">
        <v>0</v>
      </c>
    </row>
    <row r="1422" spans="1:14" x14ac:dyDescent="0.25">
      <c r="A1422">
        <v>1090.3962590000001</v>
      </c>
      <c r="B1422" s="1">
        <f>DATE(2013,4,25) + TIME(9,30,36)</f>
        <v>41389.396249999998</v>
      </c>
      <c r="C1422">
        <v>80</v>
      </c>
      <c r="D1422">
        <v>63.287147521999998</v>
      </c>
      <c r="E1422">
        <v>50</v>
      </c>
      <c r="F1422">
        <v>49.972167968999997</v>
      </c>
      <c r="G1422">
        <v>1285.4735106999999</v>
      </c>
      <c r="H1422">
        <v>1267.5131836</v>
      </c>
      <c r="I1422">
        <v>1394.6446533000001</v>
      </c>
      <c r="J1422">
        <v>1375.1838379000001</v>
      </c>
      <c r="K1422">
        <v>0</v>
      </c>
      <c r="L1422">
        <v>2400</v>
      </c>
      <c r="M1422">
        <v>2400</v>
      </c>
      <c r="N1422">
        <v>0</v>
      </c>
    </row>
    <row r="1423" spans="1:14" x14ac:dyDescent="0.25">
      <c r="A1423">
        <v>1094.1210659999999</v>
      </c>
      <c r="B1423" s="1">
        <f>DATE(2013,4,29) + TIME(2,54,20)</f>
        <v>41393.121064814812</v>
      </c>
      <c r="C1423">
        <v>80</v>
      </c>
      <c r="D1423">
        <v>62.743278502999999</v>
      </c>
      <c r="E1423">
        <v>50</v>
      </c>
      <c r="F1423">
        <v>49.972240448000001</v>
      </c>
      <c r="G1423">
        <v>1284.9969481999999</v>
      </c>
      <c r="H1423">
        <v>1266.8060303</v>
      </c>
      <c r="I1423">
        <v>1394.5915527</v>
      </c>
      <c r="J1423">
        <v>1375.1350098</v>
      </c>
      <c r="K1423">
        <v>0</v>
      </c>
      <c r="L1423">
        <v>2400</v>
      </c>
      <c r="M1423">
        <v>2400</v>
      </c>
      <c r="N1423">
        <v>0</v>
      </c>
    </row>
    <row r="1424" spans="1:14" x14ac:dyDescent="0.25">
      <c r="A1424">
        <v>1096</v>
      </c>
      <c r="B1424" s="1">
        <f>DATE(2013,5,1) + TIME(0,0,0)</f>
        <v>41395</v>
      </c>
      <c r="C1424">
        <v>80</v>
      </c>
      <c r="D1424">
        <v>62.257293701000002</v>
      </c>
      <c r="E1424">
        <v>50</v>
      </c>
      <c r="F1424">
        <v>49.972274779999999</v>
      </c>
      <c r="G1424">
        <v>1284.5218506000001</v>
      </c>
      <c r="H1424">
        <v>1266.1220702999999</v>
      </c>
      <c r="I1424">
        <v>1394.5375977000001</v>
      </c>
      <c r="J1424">
        <v>1375.0852050999999</v>
      </c>
      <c r="K1424">
        <v>0</v>
      </c>
      <c r="L1424">
        <v>2400</v>
      </c>
      <c r="M1424">
        <v>2400</v>
      </c>
      <c r="N1424">
        <v>0</v>
      </c>
    </row>
    <row r="1425" spans="1:14" x14ac:dyDescent="0.25">
      <c r="A1425">
        <v>1096.0000010000001</v>
      </c>
      <c r="B1425" s="1">
        <f>DATE(2013,5,1) + TIME(0,0,0)</f>
        <v>41395</v>
      </c>
      <c r="C1425">
        <v>80</v>
      </c>
      <c r="D1425">
        <v>62.257453918000003</v>
      </c>
      <c r="E1425">
        <v>50</v>
      </c>
      <c r="F1425">
        <v>49.972164153999998</v>
      </c>
      <c r="G1425">
        <v>1304.4509277</v>
      </c>
      <c r="H1425">
        <v>1285.5462646000001</v>
      </c>
      <c r="I1425">
        <v>1374.2108154</v>
      </c>
      <c r="J1425">
        <v>1355.3220214999999</v>
      </c>
      <c r="K1425">
        <v>2400</v>
      </c>
      <c r="L1425">
        <v>0</v>
      </c>
      <c r="M1425">
        <v>0</v>
      </c>
      <c r="N1425">
        <v>2400</v>
      </c>
    </row>
    <row r="1426" spans="1:14" x14ac:dyDescent="0.25">
      <c r="A1426">
        <v>1096.000004</v>
      </c>
      <c r="B1426" s="1">
        <f>DATE(2013,5,1) + TIME(0,0,0)</f>
        <v>41395</v>
      </c>
      <c r="C1426">
        <v>80</v>
      </c>
      <c r="D1426">
        <v>62.257881165000001</v>
      </c>
      <c r="E1426">
        <v>50</v>
      </c>
      <c r="F1426">
        <v>49.971870422000002</v>
      </c>
      <c r="G1426">
        <v>1306.8309326000001</v>
      </c>
      <c r="H1426">
        <v>1288.2017822</v>
      </c>
      <c r="I1426">
        <v>1371.878418</v>
      </c>
      <c r="J1426">
        <v>1352.9888916</v>
      </c>
      <c r="K1426">
        <v>2400</v>
      </c>
      <c r="L1426">
        <v>0</v>
      </c>
      <c r="M1426">
        <v>0</v>
      </c>
      <c r="N1426">
        <v>2400</v>
      </c>
    </row>
    <row r="1427" spans="1:14" x14ac:dyDescent="0.25">
      <c r="A1427">
        <v>1096.0000130000001</v>
      </c>
      <c r="B1427" s="1">
        <f>DATE(2013,5,1) + TIME(0,0,1)</f>
        <v>41395.000011574077</v>
      </c>
      <c r="C1427">
        <v>80</v>
      </c>
      <c r="D1427">
        <v>62.258850098000003</v>
      </c>
      <c r="E1427">
        <v>50</v>
      </c>
      <c r="F1427">
        <v>49.971210480000003</v>
      </c>
      <c r="G1427">
        <v>1312.0942382999999</v>
      </c>
      <c r="H1427">
        <v>1293.8432617000001</v>
      </c>
      <c r="I1427">
        <v>1366.6462402</v>
      </c>
      <c r="J1427">
        <v>1347.7556152</v>
      </c>
      <c r="K1427">
        <v>2400</v>
      </c>
      <c r="L1427">
        <v>0</v>
      </c>
      <c r="M1427">
        <v>0</v>
      </c>
      <c r="N1427">
        <v>2400</v>
      </c>
    </row>
    <row r="1428" spans="1:14" x14ac:dyDescent="0.25">
      <c r="A1428">
        <v>1096.0000399999999</v>
      </c>
      <c r="B1428" s="1">
        <f>DATE(2013,5,1) + TIME(0,0,3)</f>
        <v>41395.000034722223</v>
      </c>
      <c r="C1428">
        <v>80</v>
      </c>
      <c r="D1428">
        <v>62.260684967000003</v>
      </c>
      <c r="E1428">
        <v>50</v>
      </c>
      <c r="F1428">
        <v>49.970108031999999</v>
      </c>
      <c r="G1428">
        <v>1320.7618408000001</v>
      </c>
      <c r="H1428">
        <v>1302.6784668</v>
      </c>
      <c r="I1428">
        <v>1357.9022216999999</v>
      </c>
      <c r="J1428">
        <v>1339.0124512</v>
      </c>
      <c r="K1428">
        <v>2400</v>
      </c>
      <c r="L1428">
        <v>0</v>
      </c>
      <c r="M1428">
        <v>0</v>
      </c>
      <c r="N1428">
        <v>2400</v>
      </c>
    </row>
    <row r="1429" spans="1:14" x14ac:dyDescent="0.25">
      <c r="A1429">
        <v>1096.000121</v>
      </c>
      <c r="B1429" s="1">
        <f>DATE(2013,5,1) + TIME(0,0,10)</f>
        <v>41395.000115740739</v>
      </c>
      <c r="C1429">
        <v>80</v>
      </c>
      <c r="D1429">
        <v>62.264060974000003</v>
      </c>
      <c r="E1429">
        <v>50</v>
      </c>
      <c r="F1429">
        <v>49.968753814999999</v>
      </c>
      <c r="G1429">
        <v>1331.2999268000001</v>
      </c>
      <c r="H1429">
        <v>1313.105957</v>
      </c>
      <c r="I1429">
        <v>1347.2277832</v>
      </c>
      <c r="J1429">
        <v>1328.3433838000001</v>
      </c>
      <c r="K1429">
        <v>2400</v>
      </c>
      <c r="L1429">
        <v>0</v>
      </c>
      <c r="M1429">
        <v>0</v>
      </c>
      <c r="N1429">
        <v>2400</v>
      </c>
    </row>
    <row r="1430" spans="1:14" x14ac:dyDescent="0.25">
      <c r="A1430">
        <v>1096.000364</v>
      </c>
      <c r="B1430" s="1">
        <f>DATE(2013,5,1) + TIME(0,0,31)</f>
        <v>41395.000358796293</v>
      </c>
      <c r="C1430">
        <v>80</v>
      </c>
      <c r="D1430">
        <v>62.271514893000003</v>
      </c>
      <c r="E1430">
        <v>50</v>
      </c>
      <c r="F1430">
        <v>49.967342377000001</v>
      </c>
      <c r="G1430">
        <v>1342.2674560999999</v>
      </c>
      <c r="H1430">
        <v>1323.9110106999999</v>
      </c>
      <c r="I1430">
        <v>1336.2380370999999</v>
      </c>
      <c r="J1430">
        <v>1317.3637695</v>
      </c>
      <c r="K1430">
        <v>2400</v>
      </c>
      <c r="L1430">
        <v>0</v>
      </c>
      <c r="M1430">
        <v>0</v>
      </c>
      <c r="N1430">
        <v>2400</v>
      </c>
    </row>
    <row r="1431" spans="1:14" x14ac:dyDescent="0.25">
      <c r="A1431">
        <v>1096.0010930000001</v>
      </c>
      <c r="B1431" s="1">
        <f>DATE(2013,5,1) + TIME(0,1,34)</f>
        <v>41395.001087962963</v>
      </c>
      <c r="C1431">
        <v>80</v>
      </c>
      <c r="D1431">
        <v>62.291217803999999</v>
      </c>
      <c r="E1431">
        <v>50</v>
      </c>
      <c r="F1431">
        <v>49.965869904000002</v>
      </c>
      <c r="G1431">
        <v>1353.5632324000001</v>
      </c>
      <c r="H1431">
        <v>1335.0299072</v>
      </c>
      <c r="I1431">
        <v>1325.2484131000001</v>
      </c>
      <c r="J1431">
        <v>1306.3863524999999</v>
      </c>
      <c r="K1431">
        <v>2400</v>
      </c>
      <c r="L1431">
        <v>0</v>
      </c>
      <c r="M1431">
        <v>0</v>
      </c>
      <c r="N1431">
        <v>2400</v>
      </c>
    </row>
    <row r="1432" spans="1:14" x14ac:dyDescent="0.25">
      <c r="A1432">
        <v>1096.0032799999999</v>
      </c>
      <c r="B1432" s="1">
        <f>DATE(2013,5,1) + TIME(0,4,43)</f>
        <v>41395.003275462965</v>
      </c>
      <c r="C1432">
        <v>80</v>
      </c>
      <c r="D1432">
        <v>62.347938538000001</v>
      </c>
      <c r="E1432">
        <v>50</v>
      </c>
      <c r="F1432">
        <v>49.964183806999998</v>
      </c>
      <c r="G1432">
        <v>1365.6419678</v>
      </c>
      <c r="H1432">
        <v>1346.9035644999999</v>
      </c>
      <c r="I1432">
        <v>1314.0574951000001</v>
      </c>
      <c r="J1432">
        <v>1295.1849365</v>
      </c>
      <c r="K1432">
        <v>2400</v>
      </c>
      <c r="L1432">
        <v>0</v>
      </c>
      <c r="M1432">
        <v>0</v>
      </c>
      <c r="N1432">
        <v>2400</v>
      </c>
    </row>
    <row r="1433" spans="1:14" x14ac:dyDescent="0.25">
      <c r="A1433">
        <v>1096.0098410000001</v>
      </c>
      <c r="B1433" s="1">
        <f>DATE(2013,5,1) + TIME(0,14,10)</f>
        <v>41395.009837962964</v>
      </c>
      <c r="C1433">
        <v>80</v>
      </c>
      <c r="D1433">
        <v>62.515380858999997</v>
      </c>
      <c r="E1433">
        <v>50</v>
      </c>
      <c r="F1433">
        <v>49.961914061999998</v>
      </c>
      <c r="G1433">
        <v>1378.3624268000001</v>
      </c>
      <c r="H1433">
        <v>1359.4511719</v>
      </c>
      <c r="I1433">
        <v>1302.5393065999999</v>
      </c>
      <c r="J1433">
        <v>1283.6131591999999</v>
      </c>
      <c r="K1433">
        <v>2400</v>
      </c>
      <c r="L1433">
        <v>0</v>
      </c>
      <c r="M1433">
        <v>0</v>
      </c>
      <c r="N1433">
        <v>2400</v>
      </c>
    </row>
    <row r="1434" spans="1:14" x14ac:dyDescent="0.25">
      <c r="A1434">
        <v>1096.029524</v>
      </c>
      <c r="B1434" s="1">
        <f>DATE(2013,5,1) + TIME(0,42,30)</f>
        <v>41395.029513888891</v>
      </c>
      <c r="C1434">
        <v>80</v>
      </c>
      <c r="D1434">
        <v>63.003887177000003</v>
      </c>
      <c r="E1434">
        <v>50</v>
      </c>
      <c r="F1434">
        <v>49.958244323999999</v>
      </c>
      <c r="G1434">
        <v>1389.3212891000001</v>
      </c>
      <c r="H1434">
        <v>1370.4020995999999</v>
      </c>
      <c r="I1434">
        <v>1292.7254639</v>
      </c>
      <c r="J1434">
        <v>1273.746582</v>
      </c>
      <c r="K1434">
        <v>2400</v>
      </c>
      <c r="L1434">
        <v>0</v>
      </c>
      <c r="M1434">
        <v>0</v>
      </c>
      <c r="N1434">
        <v>2400</v>
      </c>
    </row>
    <row r="1435" spans="1:14" x14ac:dyDescent="0.25">
      <c r="A1435">
        <v>1096.055709</v>
      </c>
      <c r="B1435" s="1">
        <f>DATE(2013,5,1) + TIME(1,20,13)</f>
        <v>41395.055706018517</v>
      </c>
      <c r="C1435">
        <v>80</v>
      </c>
      <c r="D1435">
        <v>63.630241394000002</v>
      </c>
      <c r="E1435">
        <v>50</v>
      </c>
      <c r="F1435">
        <v>49.954547882</v>
      </c>
      <c r="G1435">
        <v>1393.9862060999999</v>
      </c>
      <c r="H1435">
        <v>1375.1884766000001</v>
      </c>
      <c r="I1435">
        <v>1288.8918457</v>
      </c>
      <c r="J1435">
        <v>1269.8941649999999</v>
      </c>
      <c r="K1435">
        <v>2400</v>
      </c>
      <c r="L1435">
        <v>0</v>
      </c>
      <c r="M1435">
        <v>0</v>
      </c>
      <c r="N1435">
        <v>2400</v>
      </c>
    </row>
    <row r="1436" spans="1:14" x14ac:dyDescent="0.25">
      <c r="A1436">
        <v>1096.082533</v>
      </c>
      <c r="B1436" s="1">
        <f>DATE(2013,5,1) + TIME(1,58,50)</f>
        <v>41395.08252314815</v>
      </c>
      <c r="C1436">
        <v>80</v>
      </c>
      <c r="D1436">
        <v>64.248039246000005</v>
      </c>
      <c r="E1436">
        <v>50</v>
      </c>
      <c r="F1436">
        <v>49.951126099</v>
      </c>
      <c r="G1436">
        <v>1395.6861572</v>
      </c>
      <c r="H1436">
        <v>1377.0339355000001</v>
      </c>
      <c r="I1436">
        <v>1287.7185059000001</v>
      </c>
      <c r="J1436">
        <v>1268.7145995999999</v>
      </c>
      <c r="K1436">
        <v>2400</v>
      </c>
      <c r="L1436">
        <v>0</v>
      </c>
      <c r="M1436">
        <v>0</v>
      </c>
      <c r="N1436">
        <v>2400</v>
      </c>
    </row>
    <row r="1437" spans="1:14" x14ac:dyDescent="0.25">
      <c r="A1437">
        <v>1096.1099260000001</v>
      </c>
      <c r="B1437" s="1">
        <f>DATE(2013,5,1) + TIME(2,38,17)</f>
        <v>41395.109918981485</v>
      </c>
      <c r="C1437">
        <v>80</v>
      </c>
      <c r="D1437">
        <v>64.854904175000001</v>
      </c>
      <c r="E1437">
        <v>50</v>
      </c>
      <c r="F1437">
        <v>49.947769164999997</v>
      </c>
      <c r="G1437">
        <v>1396.2769774999999</v>
      </c>
      <c r="H1437">
        <v>1377.7751464999999</v>
      </c>
      <c r="I1437">
        <v>1287.4038086</v>
      </c>
      <c r="J1437">
        <v>1268.3977050999999</v>
      </c>
      <c r="K1437">
        <v>2400</v>
      </c>
      <c r="L1437">
        <v>0</v>
      </c>
      <c r="M1437">
        <v>0</v>
      </c>
      <c r="N1437">
        <v>2400</v>
      </c>
    </row>
    <row r="1438" spans="1:14" x14ac:dyDescent="0.25">
      <c r="A1438">
        <v>1096.137884</v>
      </c>
      <c r="B1438" s="1">
        <f>DATE(2013,5,1) + TIME(3,18,33)</f>
        <v>41395.137881944444</v>
      </c>
      <c r="C1438">
        <v>80</v>
      </c>
      <c r="D1438">
        <v>65.450271606000001</v>
      </c>
      <c r="E1438">
        <v>50</v>
      </c>
      <c r="F1438">
        <v>49.944412231000001</v>
      </c>
      <c r="G1438">
        <v>1396.4167480000001</v>
      </c>
      <c r="H1438">
        <v>1378.0633545000001</v>
      </c>
      <c r="I1438">
        <v>1287.3553466999999</v>
      </c>
      <c r="J1438">
        <v>1268.3483887</v>
      </c>
      <c r="K1438">
        <v>2400</v>
      </c>
      <c r="L1438">
        <v>0</v>
      </c>
      <c r="M1438">
        <v>0</v>
      </c>
      <c r="N1438">
        <v>2400</v>
      </c>
    </row>
    <row r="1439" spans="1:14" x14ac:dyDescent="0.25">
      <c r="A1439">
        <v>1096.166424</v>
      </c>
      <c r="B1439" s="1">
        <f>DATE(2013,5,1) + TIME(3,59,39)</f>
        <v>41395.16642361111</v>
      </c>
      <c r="C1439">
        <v>80</v>
      </c>
      <c r="D1439">
        <v>66.033927917</v>
      </c>
      <c r="E1439">
        <v>50</v>
      </c>
      <c r="F1439">
        <v>49.941024779999999</v>
      </c>
      <c r="G1439">
        <v>1396.3629149999999</v>
      </c>
      <c r="H1439">
        <v>1378.1539307</v>
      </c>
      <c r="I1439">
        <v>1287.3768310999999</v>
      </c>
      <c r="J1439">
        <v>1268.3693848</v>
      </c>
      <c r="K1439">
        <v>2400</v>
      </c>
      <c r="L1439">
        <v>0</v>
      </c>
      <c r="M1439">
        <v>0</v>
      </c>
      <c r="N1439">
        <v>2400</v>
      </c>
    </row>
    <row r="1440" spans="1:14" x14ac:dyDescent="0.25">
      <c r="A1440">
        <v>1096.195573</v>
      </c>
      <c r="B1440" s="1">
        <f>DATE(2013,5,1) + TIME(4,41,37)</f>
        <v>41395.195567129631</v>
      </c>
      <c r="C1440">
        <v>80</v>
      </c>
      <c r="D1440">
        <v>66.605834960999999</v>
      </c>
      <c r="E1440">
        <v>50</v>
      </c>
      <c r="F1440">
        <v>49.937602996999999</v>
      </c>
      <c r="G1440">
        <v>1396.2237548999999</v>
      </c>
      <c r="H1440">
        <v>1378.1544189000001</v>
      </c>
      <c r="I1440">
        <v>1287.4072266000001</v>
      </c>
      <c r="J1440">
        <v>1268.3994141000001</v>
      </c>
      <c r="K1440">
        <v>2400</v>
      </c>
      <c r="L1440">
        <v>0</v>
      </c>
      <c r="M1440">
        <v>0</v>
      </c>
      <c r="N1440">
        <v>2400</v>
      </c>
    </row>
    <row r="1441" spans="1:14" x14ac:dyDescent="0.25">
      <c r="A1441">
        <v>1096.225359</v>
      </c>
      <c r="B1441" s="1">
        <f>DATE(2013,5,1) + TIME(5,24,30)</f>
        <v>41395.225347222222</v>
      </c>
      <c r="C1441">
        <v>80</v>
      </c>
      <c r="D1441">
        <v>67.166000366000006</v>
      </c>
      <c r="E1441">
        <v>50</v>
      </c>
      <c r="F1441">
        <v>49.934135437000002</v>
      </c>
      <c r="G1441">
        <v>1396.0471190999999</v>
      </c>
      <c r="H1441">
        <v>1378.1126709</v>
      </c>
      <c r="I1441">
        <v>1287.4310303</v>
      </c>
      <c r="J1441">
        <v>1268.4229736</v>
      </c>
      <c r="K1441">
        <v>2400</v>
      </c>
      <c r="L1441">
        <v>0</v>
      </c>
      <c r="M1441">
        <v>0</v>
      </c>
      <c r="N1441">
        <v>2400</v>
      </c>
    </row>
    <row r="1442" spans="1:14" x14ac:dyDescent="0.25">
      <c r="A1442">
        <v>1096.255815</v>
      </c>
      <c r="B1442" s="1">
        <f>DATE(2013,5,1) + TIME(6,8,22)</f>
        <v>41395.255810185183</v>
      </c>
      <c r="C1442">
        <v>80</v>
      </c>
      <c r="D1442">
        <v>67.714500427000004</v>
      </c>
      <c r="E1442">
        <v>50</v>
      </c>
      <c r="F1442">
        <v>49.930625915999997</v>
      </c>
      <c r="G1442">
        <v>1395.8549805</v>
      </c>
      <c r="H1442">
        <v>1378.0506591999999</v>
      </c>
      <c r="I1442">
        <v>1287.4467772999999</v>
      </c>
      <c r="J1442">
        <v>1268.4383545000001</v>
      </c>
      <c r="K1442">
        <v>2400</v>
      </c>
      <c r="L1442">
        <v>0</v>
      </c>
      <c r="M1442">
        <v>0</v>
      </c>
      <c r="N1442">
        <v>2400</v>
      </c>
    </row>
    <row r="1443" spans="1:14" x14ac:dyDescent="0.25">
      <c r="A1443">
        <v>1096.2869820000001</v>
      </c>
      <c r="B1443" s="1">
        <f>DATE(2013,5,1) + TIME(6,53,15)</f>
        <v>41395.286979166667</v>
      </c>
      <c r="C1443">
        <v>80</v>
      </c>
      <c r="D1443">
        <v>68.251464843999997</v>
      </c>
      <c r="E1443">
        <v>50</v>
      </c>
      <c r="F1443">
        <v>49.927066803000002</v>
      </c>
      <c r="G1443">
        <v>1395.6580810999999</v>
      </c>
      <c r="H1443">
        <v>1377.9792480000001</v>
      </c>
      <c r="I1443">
        <v>1287.4562988</v>
      </c>
      <c r="J1443">
        <v>1268.4476318</v>
      </c>
      <c r="K1443">
        <v>2400</v>
      </c>
      <c r="L1443">
        <v>0</v>
      </c>
      <c r="M1443">
        <v>0</v>
      </c>
      <c r="N1443">
        <v>2400</v>
      </c>
    </row>
    <row r="1444" spans="1:14" x14ac:dyDescent="0.25">
      <c r="A1444">
        <v>1096.3189010000001</v>
      </c>
      <c r="B1444" s="1">
        <f>DATE(2013,5,1) + TIME(7,39,13)</f>
        <v>41395.31890046296</v>
      </c>
      <c r="C1444">
        <v>80</v>
      </c>
      <c r="D1444">
        <v>68.776962280000006</v>
      </c>
      <c r="E1444">
        <v>50</v>
      </c>
      <c r="F1444">
        <v>49.923454284999998</v>
      </c>
      <c r="G1444">
        <v>1395.4616699000001</v>
      </c>
      <c r="H1444">
        <v>1377.9038086</v>
      </c>
      <c r="I1444">
        <v>1287.4617920000001</v>
      </c>
      <c r="J1444">
        <v>1268.4527588000001</v>
      </c>
      <c r="K1444">
        <v>2400</v>
      </c>
      <c r="L1444">
        <v>0</v>
      </c>
      <c r="M1444">
        <v>0</v>
      </c>
      <c r="N1444">
        <v>2400</v>
      </c>
    </row>
    <row r="1445" spans="1:14" x14ac:dyDescent="0.25">
      <c r="A1445">
        <v>1096.351615</v>
      </c>
      <c r="B1445" s="1">
        <f>DATE(2013,5,1) + TIME(8,26,19)</f>
        <v>41395.3516087963</v>
      </c>
      <c r="C1445">
        <v>80</v>
      </c>
      <c r="D1445">
        <v>69.291061400999993</v>
      </c>
      <c r="E1445">
        <v>50</v>
      </c>
      <c r="F1445">
        <v>49.919792174999998</v>
      </c>
      <c r="G1445">
        <v>1395.2681885</v>
      </c>
      <c r="H1445">
        <v>1377.8271483999999</v>
      </c>
      <c r="I1445">
        <v>1287.4647216999999</v>
      </c>
      <c r="J1445">
        <v>1268.4553223</v>
      </c>
      <c r="K1445">
        <v>2400</v>
      </c>
      <c r="L1445">
        <v>0</v>
      </c>
      <c r="M1445">
        <v>0</v>
      </c>
      <c r="N1445">
        <v>2400</v>
      </c>
    </row>
    <row r="1446" spans="1:14" x14ac:dyDescent="0.25">
      <c r="A1446">
        <v>1096.385172</v>
      </c>
      <c r="B1446" s="1">
        <f>DATE(2013,5,1) + TIME(9,14,38)</f>
        <v>41395.385162037041</v>
      </c>
      <c r="C1446">
        <v>80</v>
      </c>
      <c r="D1446">
        <v>69.793807982999994</v>
      </c>
      <c r="E1446">
        <v>50</v>
      </c>
      <c r="F1446">
        <v>49.916069030999999</v>
      </c>
      <c r="G1446">
        <v>1395.0791016000001</v>
      </c>
      <c r="H1446">
        <v>1377.7507324000001</v>
      </c>
      <c r="I1446">
        <v>1287.4661865</v>
      </c>
      <c r="J1446">
        <v>1268.4564209</v>
      </c>
      <c r="K1446">
        <v>2400</v>
      </c>
      <c r="L1446">
        <v>0</v>
      </c>
      <c r="M1446">
        <v>0</v>
      </c>
      <c r="N1446">
        <v>2400</v>
      </c>
    </row>
    <row r="1447" spans="1:14" x14ac:dyDescent="0.25">
      <c r="A1447">
        <v>1096.419623</v>
      </c>
      <c r="B1447" s="1">
        <f>DATE(2013,5,1) + TIME(10,4,15)</f>
        <v>41395.419618055559</v>
      </c>
      <c r="C1447">
        <v>80</v>
      </c>
      <c r="D1447">
        <v>70.285034179999997</v>
      </c>
      <c r="E1447">
        <v>50</v>
      </c>
      <c r="F1447">
        <v>49.912284851000003</v>
      </c>
      <c r="G1447">
        <v>1394.8948975000001</v>
      </c>
      <c r="H1447">
        <v>1377.6751709</v>
      </c>
      <c r="I1447">
        <v>1287.4667969</v>
      </c>
      <c r="J1447">
        <v>1268.4567870999999</v>
      </c>
      <c r="K1447">
        <v>2400</v>
      </c>
      <c r="L1447">
        <v>0</v>
      </c>
      <c r="M1447">
        <v>0</v>
      </c>
      <c r="N1447">
        <v>2400</v>
      </c>
    </row>
    <row r="1448" spans="1:14" x14ac:dyDescent="0.25">
      <c r="A1448">
        <v>1096.4550240000001</v>
      </c>
      <c r="B1448" s="1">
        <f>DATE(2013,5,1) + TIME(10,55,14)</f>
        <v>41395.455023148148</v>
      </c>
      <c r="C1448">
        <v>80</v>
      </c>
      <c r="D1448">
        <v>70.764831543</v>
      </c>
      <c r="E1448">
        <v>50</v>
      </c>
      <c r="F1448">
        <v>49.908435822000001</v>
      </c>
      <c r="G1448">
        <v>1394.7156981999999</v>
      </c>
      <c r="H1448">
        <v>1377.6008300999999</v>
      </c>
      <c r="I1448">
        <v>1287.4669189000001</v>
      </c>
      <c r="J1448">
        <v>1268.456543</v>
      </c>
      <c r="K1448">
        <v>2400</v>
      </c>
      <c r="L1448">
        <v>0</v>
      </c>
      <c r="M1448">
        <v>0</v>
      </c>
      <c r="N1448">
        <v>2400</v>
      </c>
    </row>
    <row r="1449" spans="1:14" x14ac:dyDescent="0.25">
      <c r="A1449">
        <v>1096.491434</v>
      </c>
      <c r="B1449" s="1">
        <f>DATE(2013,5,1) + TIME(11,47,39)</f>
        <v>41395.491423611114</v>
      </c>
      <c r="C1449">
        <v>80</v>
      </c>
      <c r="D1449">
        <v>71.233352660999998</v>
      </c>
      <c r="E1449">
        <v>50</v>
      </c>
      <c r="F1449">
        <v>49.904514313</v>
      </c>
      <c r="G1449">
        <v>1394.5415039</v>
      </c>
      <c r="H1449">
        <v>1377.527832</v>
      </c>
      <c r="I1449">
        <v>1287.4667969</v>
      </c>
      <c r="J1449">
        <v>1268.4559326000001</v>
      </c>
      <c r="K1449">
        <v>2400</v>
      </c>
      <c r="L1449">
        <v>0</v>
      </c>
      <c r="M1449">
        <v>0</v>
      </c>
      <c r="N1449">
        <v>2400</v>
      </c>
    </row>
    <row r="1450" spans="1:14" x14ac:dyDescent="0.25">
      <c r="A1450">
        <v>1096.5289210000001</v>
      </c>
      <c r="B1450" s="1">
        <f>DATE(2013,5,1) + TIME(12,41,38)</f>
        <v>41395.528912037036</v>
      </c>
      <c r="C1450">
        <v>80</v>
      </c>
      <c r="D1450">
        <v>71.690620421999995</v>
      </c>
      <c r="E1450">
        <v>50</v>
      </c>
      <c r="F1450">
        <v>49.900516510000003</v>
      </c>
      <c r="G1450">
        <v>1394.3721923999999</v>
      </c>
      <c r="H1450">
        <v>1377.4561768000001</v>
      </c>
      <c r="I1450">
        <v>1287.4664307</v>
      </c>
      <c r="J1450">
        <v>1268.4552002</v>
      </c>
      <c r="K1450">
        <v>2400</v>
      </c>
      <c r="L1450">
        <v>0</v>
      </c>
      <c r="M1450">
        <v>0</v>
      </c>
      <c r="N1450">
        <v>2400</v>
      </c>
    </row>
    <row r="1451" spans="1:14" x14ac:dyDescent="0.25">
      <c r="A1451">
        <v>1096.5675590000001</v>
      </c>
      <c r="B1451" s="1">
        <f>DATE(2013,5,1) + TIME(13,37,17)</f>
        <v>41395.567557870374</v>
      </c>
      <c r="C1451">
        <v>80</v>
      </c>
      <c r="D1451">
        <v>72.136688231999997</v>
      </c>
      <c r="E1451">
        <v>50</v>
      </c>
      <c r="F1451">
        <v>49.896438599</v>
      </c>
      <c r="G1451">
        <v>1394.2076416</v>
      </c>
      <c r="H1451">
        <v>1377.3857422000001</v>
      </c>
      <c r="I1451">
        <v>1287.4659423999999</v>
      </c>
      <c r="J1451">
        <v>1268.4544678</v>
      </c>
      <c r="K1451">
        <v>2400</v>
      </c>
      <c r="L1451">
        <v>0</v>
      </c>
      <c r="M1451">
        <v>0</v>
      </c>
      <c r="N1451">
        <v>2400</v>
      </c>
    </row>
    <row r="1452" spans="1:14" x14ac:dyDescent="0.25">
      <c r="A1452">
        <v>1096.60744</v>
      </c>
      <c r="B1452" s="1">
        <f>DATE(2013,5,1) + TIME(14,34,42)</f>
        <v>41395.607430555552</v>
      </c>
      <c r="C1452">
        <v>80</v>
      </c>
      <c r="D1452">
        <v>72.571640015</v>
      </c>
      <c r="E1452">
        <v>50</v>
      </c>
      <c r="F1452">
        <v>49.892269134999999</v>
      </c>
      <c r="G1452">
        <v>1394.0474853999999</v>
      </c>
      <c r="H1452">
        <v>1377.3165283000001</v>
      </c>
      <c r="I1452">
        <v>1287.465332</v>
      </c>
      <c r="J1452">
        <v>1268.4534911999999</v>
      </c>
      <c r="K1452">
        <v>2400</v>
      </c>
      <c r="L1452">
        <v>0</v>
      </c>
      <c r="M1452">
        <v>0</v>
      </c>
      <c r="N1452">
        <v>2400</v>
      </c>
    </row>
    <row r="1453" spans="1:14" x14ac:dyDescent="0.25">
      <c r="A1453">
        <v>1096.6486359999999</v>
      </c>
      <c r="B1453" s="1">
        <f>DATE(2013,5,1) + TIME(15,34,2)</f>
        <v>41395.648634259262</v>
      </c>
      <c r="C1453">
        <v>80</v>
      </c>
      <c r="D1453">
        <v>72.995315551999994</v>
      </c>
      <c r="E1453">
        <v>50</v>
      </c>
      <c r="F1453">
        <v>49.888008118000002</v>
      </c>
      <c r="G1453">
        <v>1393.8916016000001</v>
      </c>
      <c r="H1453">
        <v>1377.2485352000001</v>
      </c>
      <c r="I1453">
        <v>1287.4647216999999</v>
      </c>
      <c r="J1453">
        <v>1268.4525146000001</v>
      </c>
      <c r="K1453">
        <v>2400</v>
      </c>
      <c r="L1453">
        <v>0</v>
      </c>
      <c r="M1453">
        <v>0</v>
      </c>
      <c r="N1453">
        <v>2400</v>
      </c>
    </row>
    <row r="1454" spans="1:14" x14ac:dyDescent="0.25">
      <c r="A1454">
        <v>1096.6912440000001</v>
      </c>
      <c r="B1454" s="1">
        <f>DATE(2013,5,1) + TIME(16,35,23)</f>
        <v>41395.691238425927</v>
      </c>
      <c r="C1454">
        <v>80</v>
      </c>
      <c r="D1454">
        <v>73.407684325999995</v>
      </c>
      <c r="E1454">
        <v>50</v>
      </c>
      <c r="F1454">
        <v>49.883644103999998</v>
      </c>
      <c r="G1454">
        <v>1393.7397461</v>
      </c>
      <c r="H1454">
        <v>1377.1813964999999</v>
      </c>
      <c r="I1454">
        <v>1287.4641113</v>
      </c>
      <c r="J1454">
        <v>1268.4514160000001</v>
      </c>
      <c r="K1454">
        <v>2400</v>
      </c>
      <c r="L1454">
        <v>0</v>
      </c>
      <c r="M1454">
        <v>0</v>
      </c>
      <c r="N1454">
        <v>2400</v>
      </c>
    </row>
    <row r="1455" spans="1:14" x14ac:dyDescent="0.25">
      <c r="A1455">
        <v>1096.735371</v>
      </c>
      <c r="B1455" s="1">
        <f>DATE(2013,5,1) + TIME(17,38,56)</f>
        <v>41395.73537037037</v>
      </c>
      <c r="C1455">
        <v>80</v>
      </c>
      <c r="D1455">
        <v>73.808715820000003</v>
      </c>
      <c r="E1455">
        <v>50</v>
      </c>
      <c r="F1455">
        <v>49.879169464</v>
      </c>
      <c r="G1455">
        <v>1393.5917969</v>
      </c>
      <c r="H1455">
        <v>1377.1152344</v>
      </c>
      <c r="I1455">
        <v>1287.4633789</v>
      </c>
      <c r="J1455">
        <v>1268.4503173999999</v>
      </c>
      <c r="K1455">
        <v>2400</v>
      </c>
      <c r="L1455">
        <v>0</v>
      </c>
      <c r="M1455">
        <v>0</v>
      </c>
      <c r="N1455">
        <v>2400</v>
      </c>
    </row>
    <row r="1456" spans="1:14" x14ac:dyDescent="0.25">
      <c r="A1456">
        <v>1096.781133</v>
      </c>
      <c r="B1456" s="1">
        <f>DATE(2013,5,1) + TIME(18,44,49)</f>
        <v>41395.781122685185</v>
      </c>
      <c r="C1456">
        <v>80</v>
      </c>
      <c r="D1456">
        <v>74.198356627999999</v>
      </c>
      <c r="E1456">
        <v>50</v>
      </c>
      <c r="F1456">
        <v>49.874576568999998</v>
      </c>
      <c r="G1456">
        <v>1393.4475098</v>
      </c>
      <c r="H1456">
        <v>1377.0499268000001</v>
      </c>
      <c r="I1456">
        <v>1287.4625243999999</v>
      </c>
      <c r="J1456">
        <v>1268.4490966999999</v>
      </c>
      <c r="K1456">
        <v>2400</v>
      </c>
      <c r="L1456">
        <v>0</v>
      </c>
      <c r="M1456">
        <v>0</v>
      </c>
      <c r="N1456">
        <v>2400</v>
      </c>
    </row>
    <row r="1457" spans="1:14" x14ac:dyDescent="0.25">
      <c r="A1457">
        <v>1096.828663</v>
      </c>
      <c r="B1457" s="1">
        <f>DATE(2013,5,1) + TIME(19,53,16)</f>
        <v>41395.828657407408</v>
      </c>
      <c r="C1457">
        <v>80</v>
      </c>
      <c r="D1457">
        <v>74.576560974000003</v>
      </c>
      <c r="E1457">
        <v>50</v>
      </c>
      <c r="F1457">
        <v>49.869853972999998</v>
      </c>
      <c r="G1457">
        <v>1393.3065185999999</v>
      </c>
      <c r="H1457">
        <v>1376.9851074000001</v>
      </c>
      <c r="I1457">
        <v>1287.4616699000001</v>
      </c>
      <c r="J1457">
        <v>1268.447876</v>
      </c>
      <c r="K1457">
        <v>2400</v>
      </c>
      <c r="L1457">
        <v>0</v>
      </c>
      <c r="M1457">
        <v>0</v>
      </c>
      <c r="N1457">
        <v>2400</v>
      </c>
    </row>
    <row r="1458" spans="1:14" x14ac:dyDescent="0.25">
      <c r="A1458">
        <v>1096.878109</v>
      </c>
      <c r="B1458" s="1">
        <f>DATE(2013,5,1) + TIME(21,4,28)</f>
        <v>41395.878101851849</v>
      </c>
      <c r="C1458">
        <v>80</v>
      </c>
      <c r="D1458">
        <v>74.943260193</v>
      </c>
      <c r="E1458">
        <v>50</v>
      </c>
      <c r="F1458">
        <v>49.864994049000003</v>
      </c>
      <c r="G1458">
        <v>1393.1688231999999</v>
      </c>
      <c r="H1458">
        <v>1376.9208983999999</v>
      </c>
      <c r="I1458">
        <v>1287.4608154</v>
      </c>
      <c r="J1458">
        <v>1268.4465332</v>
      </c>
      <c r="K1458">
        <v>2400</v>
      </c>
      <c r="L1458">
        <v>0</v>
      </c>
      <c r="M1458">
        <v>0</v>
      </c>
      <c r="N1458">
        <v>2400</v>
      </c>
    </row>
    <row r="1459" spans="1:14" x14ac:dyDescent="0.25">
      <c r="A1459">
        <v>1096.9296360000001</v>
      </c>
      <c r="B1459" s="1">
        <f>DATE(2013,5,1) + TIME(22,18,40)</f>
        <v>41395.929629629631</v>
      </c>
      <c r="C1459">
        <v>80</v>
      </c>
      <c r="D1459">
        <v>75.298156738000003</v>
      </c>
      <c r="E1459">
        <v>50</v>
      </c>
      <c r="F1459">
        <v>49.859981537000003</v>
      </c>
      <c r="G1459">
        <v>1393.0341797000001</v>
      </c>
      <c r="H1459">
        <v>1376.8571777</v>
      </c>
      <c r="I1459">
        <v>1287.4598389</v>
      </c>
      <c r="J1459">
        <v>1268.4450684000001</v>
      </c>
      <c r="K1459">
        <v>2400</v>
      </c>
      <c r="L1459">
        <v>0</v>
      </c>
      <c r="M1459">
        <v>0</v>
      </c>
      <c r="N1459">
        <v>2400</v>
      </c>
    </row>
    <row r="1460" spans="1:14" x14ac:dyDescent="0.25">
      <c r="A1460">
        <v>1096.9834310000001</v>
      </c>
      <c r="B1460" s="1">
        <f>DATE(2013,5,1) + TIME(23,36,8)</f>
        <v>41395.983425925922</v>
      </c>
      <c r="C1460">
        <v>80</v>
      </c>
      <c r="D1460">
        <v>75.641349792</v>
      </c>
      <c r="E1460">
        <v>50</v>
      </c>
      <c r="F1460">
        <v>49.854801178000002</v>
      </c>
      <c r="G1460">
        <v>1392.9023437999999</v>
      </c>
      <c r="H1460">
        <v>1376.7937012</v>
      </c>
      <c r="I1460">
        <v>1287.4588623</v>
      </c>
      <c r="J1460">
        <v>1268.4436035000001</v>
      </c>
      <c r="K1460">
        <v>2400</v>
      </c>
      <c r="L1460">
        <v>0</v>
      </c>
      <c r="M1460">
        <v>0</v>
      </c>
      <c r="N1460">
        <v>2400</v>
      </c>
    </row>
    <row r="1461" spans="1:14" x14ac:dyDescent="0.25">
      <c r="A1461">
        <v>1097.039708</v>
      </c>
      <c r="B1461" s="1">
        <f>DATE(2013,5,2) + TIME(0,57,10)</f>
        <v>41396.039699074077</v>
      </c>
      <c r="C1461">
        <v>80</v>
      </c>
      <c r="D1461">
        <v>75.972770690999994</v>
      </c>
      <c r="E1461">
        <v>50</v>
      </c>
      <c r="F1461">
        <v>49.849441528</v>
      </c>
      <c r="G1461">
        <v>1392.7729492000001</v>
      </c>
      <c r="H1461">
        <v>1376.7303466999999</v>
      </c>
      <c r="I1461">
        <v>1287.4577637</v>
      </c>
      <c r="J1461">
        <v>1268.4421387</v>
      </c>
      <c r="K1461">
        <v>2400</v>
      </c>
      <c r="L1461">
        <v>0</v>
      </c>
      <c r="M1461">
        <v>0</v>
      </c>
      <c r="N1461">
        <v>2400</v>
      </c>
    </row>
    <row r="1462" spans="1:14" x14ac:dyDescent="0.25">
      <c r="A1462">
        <v>1097.098747</v>
      </c>
      <c r="B1462" s="1">
        <f>DATE(2013,5,2) + TIME(2,22,11)</f>
        <v>41396.098738425928</v>
      </c>
      <c r="C1462">
        <v>80</v>
      </c>
      <c r="D1462">
        <v>76.292510985999996</v>
      </c>
      <c r="E1462">
        <v>50</v>
      </c>
      <c r="F1462">
        <v>49.843879700000002</v>
      </c>
      <c r="G1462">
        <v>1392.6459961</v>
      </c>
      <c r="H1462">
        <v>1376.6669922000001</v>
      </c>
      <c r="I1462">
        <v>1287.4566649999999</v>
      </c>
      <c r="J1462">
        <v>1268.4405518000001</v>
      </c>
      <c r="K1462">
        <v>2400</v>
      </c>
      <c r="L1462">
        <v>0</v>
      </c>
      <c r="M1462">
        <v>0</v>
      </c>
      <c r="N1462">
        <v>2400</v>
      </c>
    </row>
    <row r="1463" spans="1:14" x14ac:dyDescent="0.25">
      <c r="A1463">
        <v>1097.160805</v>
      </c>
      <c r="B1463" s="1">
        <f>DATE(2013,5,2) + TIME(3,51,33)</f>
        <v>41396.160798611112</v>
      </c>
      <c r="C1463">
        <v>80</v>
      </c>
      <c r="D1463">
        <v>76.600296021000005</v>
      </c>
      <c r="E1463">
        <v>50</v>
      </c>
      <c r="F1463">
        <v>49.838096618999998</v>
      </c>
      <c r="G1463">
        <v>1392.5211182</v>
      </c>
      <c r="H1463">
        <v>1376.6033935999999</v>
      </c>
      <c r="I1463">
        <v>1287.4554443</v>
      </c>
      <c r="J1463">
        <v>1268.4388428</v>
      </c>
      <c r="K1463">
        <v>2400</v>
      </c>
      <c r="L1463">
        <v>0</v>
      </c>
      <c r="M1463">
        <v>0</v>
      </c>
      <c r="N1463">
        <v>2400</v>
      </c>
    </row>
    <row r="1464" spans="1:14" x14ac:dyDescent="0.25">
      <c r="A1464">
        <v>1097.226199</v>
      </c>
      <c r="B1464" s="1">
        <f>DATE(2013,5,2) + TIME(5,25,43)</f>
        <v>41396.22619212963</v>
      </c>
      <c r="C1464">
        <v>80</v>
      </c>
      <c r="D1464">
        <v>76.895980835000003</v>
      </c>
      <c r="E1464">
        <v>50</v>
      </c>
      <c r="F1464">
        <v>49.832073211999997</v>
      </c>
      <c r="G1464">
        <v>1392.3981934000001</v>
      </c>
      <c r="H1464">
        <v>1376.5396728999999</v>
      </c>
      <c r="I1464">
        <v>1287.4542236</v>
      </c>
      <c r="J1464">
        <v>1268.4370117000001</v>
      </c>
      <c r="K1464">
        <v>2400</v>
      </c>
      <c r="L1464">
        <v>0</v>
      </c>
      <c r="M1464">
        <v>0</v>
      </c>
      <c r="N1464">
        <v>2400</v>
      </c>
    </row>
    <row r="1465" spans="1:14" x14ac:dyDescent="0.25">
      <c r="A1465">
        <v>1097.2953110000001</v>
      </c>
      <c r="B1465" s="1">
        <f>DATE(2013,5,2) + TIME(7,5,14)</f>
        <v>41396.295300925929</v>
      </c>
      <c r="C1465">
        <v>80</v>
      </c>
      <c r="D1465">
        <v>77.179420471</v>
      </c>
      <c r="E1465">
        <v>50</v>
      </c>
      <c r="F1465">
        <v>49.825775145999998</v>
      </c>
      <c r="G1465">
        <v>1392.2768555</v>
      </c>
      <c r="H1465">
        <v>1376.4754639</v>
      </c>
      <c r="I1465">
        <v>1287.4528809000001</v>
      </c>
      <c r="J1465">
        <v>1268.4351807</v>
      </c>
      <c r="K1465">
        <v>2400</v>
      </c>
      <c r="L1465">
        <v>0</v>
      </c>
      <c r="M1465">
        <v>0</v>
      </c>
      <c r="N1465">
        <v>2400</v>
      </c>
    </row>
    <row r="1466" spans="1:14" x14ac:dyDescent="0.25">
      <c r="A1466">
        <v>1097.3685840000001</v>
      </c>
      <c r="B1466" s="1">
        <f>DATE(2013,5,2) + TIME(8,50,45)</f>
        <v>41396.368576388886</v>
      </c>
      <c r="C1466">
        <v>80</v>
      </c>
      <c r="D1466">
        <v>77.450462341000005</v>
      </c>
      <c r="E1466">
        <v>50</v>
      </c>
      <c r="F1466">
        <v>49.819175719999997</v>
      </c>
      <c r="G1466">
        <v>1392.1571045000001</v>
      </c>
      <c r="H1466">
        <v>1376.4106445</v>
      </c>
      <c r="I1466">
        <v>1287.4514160000001</v>
      </c>
      <c r="J1466">
        <v>1268.4332274999999</v>
      </c>
      <c r="K1466">
        <v>2400</v>
      </c>
      <c r="L1466">
        <v>0</v>
      </c>
      <c r="M1466">
        <v>0</v>
      </c>
      <c r="N1466">
        <v>2400</v>
      </c>
    </row>
    <row r="1467" spans="1:14" x14ac:dyDescent="0.25">
      <c r="A1467">
        <v>1097.4465379999999</v>
      </c>
      <c r="B1467" s="1">
        <f>DATE(2013,5,2) + TIME(10,43,0)</f>
        <v>41396.446527777778</v>
      </c>
      <c r="C1467">
        <v>80</v>
      </c>
      <c r="D1467">
        <v>77.708930968999994</v>
      </c>
      <c r="E1467">
        <v>50</v>
      </c>
      <c r="F1467">
        <v>49.812240600999999</v>
      </c>
      <c r="G1467">
        <v>1392.0384521000001</v>
      </c>
      <c r="H1467">
        <v>1376.3449707</v>
      </c>
      <c r="I1467">
        <v>1287.4499512</v>
      </c>
      <c r="J1467">
        <v>1268.4311522999999</v>
      </c>
      <c r="K1467">
        <v>2400</v>
      </c>
      <c r="L1467">
        <v>0</v>
      </c>
      <c r="M1467">
        <v>0</v>
      </c>
      <c r="N1467">
        <v>2400</v>
      </c>
    </row>
    <row r="1468" spans="1:14" x14ac:dyDescent="0.25">
      <c r="A1468">
        <v>1097.529804</v>
      </c>
      <c r="B1468" s="1">
        <f>DATE(2013,5,2) + TIME(12,42,55)</f>
        <v>41396.529803240737</v>
      </c>
      <c r="C1468">
        <v>80</v>
      </c>
      <c r="D1468">
        <v>77.954643250000004</v>
      </c>
      <c r="E1468">
        <v>50</v>
      </c>
      <c r="F1468">
        <v>49.804916382000002</v>
      </c>
      <c r="G1468">
        <v>1391.9207764</v>
      </c>
      <c r="H1468">
        <v>1376.2783202999999</v>
      </c>
      <c r="I1468">
        <v>1287.4482422000001</v>
      </c>
      <c r="J1468">
        <v>1268.4288329999999</v>
      </c>
      <c r="K1468">
        <v>2400</v>
      </c>
      <c r="L1468">
        <v>0</v>
      </c>
      <c r="M1468">
        <v>0</v>
      </c>
      <c r="N1468">
        <v>2400</v>
      </c>
    </row>
    <row r="1469" spans="1:14" x14ac:dyDescent="0.25">
      <c r="A1469">
        <v>1097.6191550000001</v>
      </c>
      <c r="B1469" s="1">
        <f>DATE(2013,5,2) + TIME(14,51,34)</f>
        <v>41396.619143518517</v>
      </c>
      <c r="C1469">
        <v>80</v>
      </c>
      <c r="D1469">
        <v>78.187438964999998</v>
      </c>
      <c r="E1469">
        <v>50</v>
      </c>
      <c r="F1469">
        <v>49.797161101999997</v>
      </c>
      <c r="G1469">
        <v>1391.8035889</v>
      </c>
      <c r="H1469">
        <v>1376.2103271000001</v>
      </c>
      <c r="I1469">
        <v>1287.4465332</v>
      </c>
      <c r="J1469">
        <v>1268.4265137</v>
      </c>
      <c r="K1469">
        <v>2400</v>
      </c>
      <c r="L1469">
        <v>0</v>
      </c>
      <c r="M1469">
        <v>0</v>
      </c>
      <c r="N1469">
        <v>2400</v>
      </c>
    </row>
    <row r="1470" spans="1:14" x14ac:dyDescent="0.25">
      <c r="A1470">
        <v>1097.7155290000001</v>
      </c>
      <c r="B1470" s="1">
        <f>DATE(2013,5,2) + TIME(17,10,21)</f>
        <v>41396.715520833335</v>
      </c>
      <c r="C1470">
        <v>80</v>
      </c>
      <c r="D1470">
        <v>78.407127380000006</v>
      </c>
      <c r="E1470">
        <v>50</v>
      </c>
      <c r="F1470">
        <v>49.788902282999999</v>
      </c>
      <c r="G1470">
        <v>1391.6866454999999</v>
      </c>
      <c r="H1470">
        <v>1376.1407471</v>
      </c>
      <c r="I1470">
        <v>1287.4447021000001</v>
      </c>
      <c r="J1470">
        <v>1268.4239502</v>
      </c>
      <c r="K1470">
        <v>2400</v>
      </c>
      <c r="L1470">
        <v>0</v>
      </c>
      <c r="M1470">
        <v>0</v>
      </c>
      <c r="N1470">
        <v>2400</v>
      </c>
    </row>
    <row r="1471" spans="1:14" x14ac:dyDescent="0.25">
      <c r="A1471">
        <v>1097.820093</v>
      </c>
      <c r="B1471" s="1">
        <f>DATE(2013,5,2) + TIME(19,40,56)</f>
        <v>41396.820092592592</v>
      </c>
      <c r="C1471">
        <v>80</v>
      </c>
      <c r="D1471">
        <v>78.613471985000004</v>
      </c>
      <c r="E1471">
        <v>50</v>
      </c>
      <c r="F1471">
        <v>49.780063628999997</v>
      </c>
      <c r="G1471">
        <v>1391.5695800999999</v>
      </c>
      <c r="H1471">
        <v>1376.0694579999999</v>
      </c>
      <c r="I1471">
        <v>1287.4426269999999</v>
      </c>
      <c r="J1471">
        <v>1268.4212646000001</v>
      </c>
      <c r="K1471">
        <v>2400</v>
      </c>
      <c r="L1471">
        <v>0</v>
      </c>
      <c r="M1471">
        <v>0</v>
      </c>
      <c r="N1471">
        <v>2400</v>
      </c>
    </row>
    <row r="1472" spans="1:14" x14ac:dyDescent="0.25">
      <c r="A1472">
        <v>1097.932867</v>
      </c>
      <c r="B1472" s="1">
        <f>DATE(2013,5,2) + TIME(22,23,19)</f>
        <v>41396.932858796295</v>
      </c>
      <c r="C1472">
        <v>80</v>
      </c>
      <c r="D1472">
        <v>78.804138183999996</v>
      </c>
      <c r="E1472">
        <v>50</v>
      </c>
      <c r="F1472">
        <v>49.770648956000002</v>
      </c>
      <c r="G1472">
        <v>1391.4530029</v>
      </c>
      <c r="H1472">
        <v>1375.9963379000001</v>
      </c>
      <c r="I1472">
        <v>1287.4404297000001</v>
      </c>
      <c r="J1472">
        <v>1268.4182129000001</v>
      </c>
      <c r="K1472">
        <v>2400</v>
      </c>
      <c r="L1472">
        <v>0</v>
      </c>
      <c r="M1472">
        <v>0</v>
      </c>
      <c r="N1472">
        <v>2400</v>
      </c>
    </row>
    <row r="1473" spans="1:14" x14ac:dyDescent="0.25">
      <c r="A1473">
        <v>1098.0459470000001</v>
      </c>
      <c r="B1473" s="1">
        <f>DATE(2013,5,3) + TIME(1,6,9)</f>
        <v>41397.045937499999</v>
      </c>
      <c r="C1473">
        <v>80</v>
      </c>
      <c r="D1473">
        <v>78.967895507999998</v>
      </c>
      <c r="E1473">
        <v>50</v>
      </c>
      <c r="F1473">
        <v>49.761249542000002</v>
      </c>
      <c r="G1473">
        <v>1391.3430175999999</v>
      </c>
      <c r="H1473">
        <v>1375.9246826000001</v>
      </c>
      <c r="I1473">
        <v>1287.4379882999999</v>
      </c>
      <c r="J1473">
        <v>1268.4150391000001</v>
      </c>
      <c r="K1473">
        <v>2400</v>
      </c>
      <c r="L1473">
        <v>0</v>
      </c>
      <c r="M1473">
        <v>0</v>
      </c>
      <c r="N1473">
        <v>2400</v>
      </c>
    </row>
    <row r="1474" spans="1:14" x14ac:dyDescent="0.25">
      <c r="A1474">
        <v>1098.159813</v>
      </c>
      <c r="B1474" s="1">
        <f>DATE(2013,5,3) + TIME(3,50,7)</f>
        <v>41397.159803240742</v>
      </c>
      <c r="C1474">
        <v>80</v>
      </c>
      <c r="D1474">
        <v>79.109008789000001</v>
      </c>
      <c r="E1474">
        <v>50</v>
      </c>
      <c r="F1474">
        <v>49.751819611000002</v>
      </c>
      <c r="G1474">
        <v>1391.239624</v>
      </c>
      <c r="H1474">
        <v>1375.8558350000001</v>
      </c>
      <c r="I1474">
        <v>1287.4355469</v>
      </c>
      <c r="J1474">
        <v>1268.4119873</v>
      </c>
      <c r="K1474">
        <v>2400</v>
      </c>
      <c r="L1474">
        <v>0</v>
      </c>
      <c r="M1474">
        <v>0</v>
      </c>
      <c r="N1474">
        <v>2400</v>
      </c>
    </row>
    <row r="1475" spans="1:14" x14ac:dyDescent="0.25">
      <c r="A1475">
        <v>1098.274531</v>
      </c>
      <c r="B1475" s="1">
        <f>DATE(2013,5,3) + TIME(6,35,19)</f>
        <v>41397.274525462963</v>
      </c>
      <c r="C1475">
        <v>80</v>
      </c>
      <c r="D1475">
        <v>79.230545043999996</v>
      </c>
      <c r="E1475">
        <v>50</v>
      </c>
      <c r="F1475">
        <v>49.742362976000003</v>
      </c>
      <c r="G1475">
        <v>1391.1419678</v>
      </c>
      <c r="H1475">
        <v>1375.7894286999999</v>
      </c>
      <c r="I1475">
        <v>1287.4329834</v>
      </c>
      <c r="J1475">
        <v>1268.4086914</v>
      </c>
      <c r="K1475">
        <v>2400</v>
      </c>
      <c r="L1475">
        <v>0</v>
      </c>
      <c r="M1475">
        <v>0</v>
      </c>
      <c r="N1475">
        <v>2400</v>
      </c>
    </row>
    <row r="1476" spans="1:14" x14ac:dyDescent="0.25">
      <c r="A1476">
        <v>1098.390402</v>
      </c>
      <c r="B1476" s="1">
        <f>DATE(2013,5,3) + TIME(9,22,10)</f>
        <v>41397.390393518515</v>
      </c>
      <c r="C1476">
        <v>80</v>
      </c>
      <c r="D1476">
        <v>79.335365295000003</v>
      </c>
      <c r="E1476">
        <v>50</v>
      </c>
      <c r="F1476">
        <v>49.732852936</v>
      </c>
      <c r="G1476">
        <v>1391.0491943</v>
      </c>
      <c r="H1476">
        <v>1375.7252197</v>
      </c>
      <c r="I1476">
        <v>1287.4305420000001</v>
      </c>
      <c r="J1476">
        <v>1268.4055175999999</v>
      </c>
      <c r="K1476">
        <v>2400</v>
      </c>
      <c r="L1476">
        <v>0</v>
      </c>
      <c r="M1476">
        <v>0</v>
      </c>
      <c r="N1476">
        <v>2400</v>
      </c>
    </row>
    <row r="1477" spans="1:14" x14ac:dyDescent="0.25">
      <c r="A1477">
        <v>1098.507707</v>
      </c>
      <c r="B1477" s="1">
        <f>DATE(2013,5,3) + TIME(12,11,5)</f>
        <v>41397.507696759261</v>
      </c>
      <c r="C1477">
        <v>80</v>
      </c>
      <c r="D1477">
        <v>79.425827025999993</v>
      </c>
      <c r="E1477">
        <v>50</v>
      </c>
      <c r="F1477">
        <v>49.723270415999998</v>
      </c>
      <c r="G1477">
        <v>1390.9606934000001</v>
      </c>
      <c r="H1477">
        <v>1375.6628418</v>
      </c>
      <c r="I1477">
        <v>1287.4279785000001</v>
      </c>
      <c r="J1477">
        <v>1268.4022216999999</v>
      </c>
      <c r="K1477">
        <v>2400</v>
      </c>
      <c r="L1477">
        <v>0</v>
      </c>
      <c r="M1477">
        <v>0</v>
      </c>
      <c r="N1477">
        <v>2400</v>
      </c>
    </row>
    <row r="1478" spans="1:14" x14ac:dyDescent="0.25">
      <c r="A1478">
        <v>1098.6267250000001</v>
      </c>
      <c r="B1478" s="1">
        <f>DATE(2013,5,3) + TIME(15,2,29)</f>
        <v>41397.62672453704</v>
      </c>
      <c r="C1478">
        <v>80</v>
      </c>
      <c r="D1478">
        <v>79.50390625</v>
      </c>
      <c r="E1478">
        <v>50</v>
      </c>
      <c r="F1478">
        <v>49.713596344000003</v>
      </c>
      <c r="G1478">
        <v>1390.8759766000001</v>
      </c>
      <c r="H1478">
        <v>1375.6021728999999</v>
      </c>
      <c r="I1478">
        <v>1287.4254149999999</v>
      </c>
      <c r="J1478">
        <v>1268.3989257999999</v>
      </c>
      <c r="K1478">
        <v>2400</v>
      </c>
      <c r="L1478">
        <v>0</v>
      </c>
      <c r="M1478">
        <v>0</v>
      </c>
      <c r="N1478">
        <v>2400</v>
      </c>
    </row>
    <row r="1479" spans="1:14" x14ac:dyDescent="0.25">
      <c r="A1479">
        <v>1098.747785</v>
      </c>
      <c r="B1479" s="1">
        <f>DATE(2013,5,3) + TIME(17,56,48)</f>
        <v>41397.747777777775</v>
      </c>
      <c r="C1479">
        <v>80</v>
      </c>
      <c r="D1479">
        <v>79.571327209000003</v>
      </c>
      <c r="E1479">
        <v>50</v>
      </c>
      <c r="F1479">
        <v>49.703804015999999</v>
      </c>
      <c r="G1479">
        <v>1390.7945557</v>
      </c>
      <c r="H1479">
        <v>1375.5428466999999</v>
      </c>
      <c r="I1479">
        <v>1287.4227295000001</v>
      </c>
      <c r="J1479">
        <v>1268.3956298999999</v>
      </c>
      <c r="K1479">
        <v>2400</v>
      </c>
      <c r="L1479">
        <v>0</v>
      </c>
      <c r="M1479">
        <v>0</v>
      </c>
      <c r="N1479">
        <v>2400</v>
      </c>
    </row>
    <row r="1480" spans="1:14" x14ac:dyDescent="0.25">
      <c r="A1480">
        <v>1098.8711310000001</v>
      </c>
      <c r="B1480" s="1">
        <f>DATE(2013,5,3) + TIME(20,54,25)</f>
        <v>41397.871122685188</v>
      </c>
      <c r="C1480">
        <v>80</v>
      </c>
      <c r="D1480">
        <v>79.629478454999997</v>
      </c>
      <c r="E1480">
        <v>50</v>
      </c>
      <c r="F1480">
        <v>49.693878173999998</v>
      </c>
      <c r="G1480">
        <v>1390.7156981999999</v>
      </c>
      <c r="H1480">
        <v>1375.4848632999999</v>
      </c>
      <c r="I1480">
        <v>1287.4200439000001</v>
      </c>
      <c r="J1480">
        <v>1268.3922118999999</v>
      </c>
      <c r="K1480">
        <v>2400</v>
      </c>
      <c r="L1480">
        <v>0</v>
      </c>
      <c r="M1480">
        <v>0</v>
      </c>
      <c r="N1480">
        <v>2400</v>
      </c>
    </row>
    <row r="1481" spans="1:14" x14ac:dyDescent="0.25">
      <c r="A1481">
        <v>1098.997059</v>
      </c>
      <c r="B1481" s="1">
        <f>DATE(2013,5,3) + TIME(23,55,45)</f>
        <v>41397.997048611112</v>
      </c>
      <c r="C1481">
        <v>80</v>
      </c>
      <c r="D1481">
        <v>79.679588318</v>
      </c>
      <c r="E1481">
        <v>50</v>
      </c>
      <c r="F1481">
        <v>49.683799743999998</v>
      </c>
      <c r="G1481">
        <v>1390.6394043</v>
      </c>
      <c r="H1481">
        <v>1375.4278564000001</v>
      </c>
      <c r="I1481">
        <v>1287.4173584</v>
      </c>
      <c r="J1481">
        <v>1268.3886719</v>
      </c>
      <c r="K1481">
        <v>2400</v>
      </c>
      <c r="L1481">
        <v>0</v>
      </c>
      <c r="M1481">
        <v>0</v>
      </c>
      <c r="N1481">
        <v>2400</v>
      </c>
    </row>
    <row r="1482" spans="1:14" x14ac:dyDescent="0.25">
      <c r="A1482">
        <v>1099.1258829999999</v>
      </c>
      <c r="B1482" s="1">
        <f>DATE(2013,5,4) + TIME(3,1,16)</f>
        <v>41398.125879629632</v>
      </c>
      <c r="C1482">
        <v>80</v>
      </c>
      <c r="D1482">
        <v>79.722732543999996</v>
      </c>
      <c r="E1482">
        <v>50</v>
      </c>
      <c r="F1482">
        <v>49.673542023000003</v>
      </c>
      <c r="G1482">
        <v>1390.5650635</v>
      </c>
      <c r="H1482">
        <v>1375.3718262</v>
      </c>
      <c r="I1482">
        <v>1287.4145507999999</v>
      </c>
      <c r="J1482">
        <v>1268.3851318</v>
      </c>
      <c r="K1482">
        <v>2400</v>
      </c>
      <c r="L1482">
        <v>0</v>
      </c>
      <c r="M1482">
        <v>0</v>
      </c>
      <c r="N1482">
        <v>2400</v>
      </c>
    </row>
    <row r="1483" spans="1:14" x14ac:dyDescent="0.25">
      <c r="A1483">
        <v>1099.257938</v>
      </c>
      <c r="B1483" s="1">
        <f>DATE(2013,5,4) + TIME(6,11,25)</f>
        <v>41398.257928240739</v>
      </c>
      <c r="C1483">
        <v>80</v>
      </c>
      <c r="D1483">
        <v>79.759803771999998</v>
      </c>
      <c r="E1483">
        <v>50</v>
      </c>
      <c r="F1483">
        <v>49.663085938000002</v>
      </c>
      <c r="G1483">
        <v>1390.4924315999999</v>
      </c>
      <c r="H1483">
        <v>1375.3165283000001</v>
      </c>
      <c r="I1483">
        <v>1287.4117432</v>
      </c>
      <c r="J1483">
        <v>1268.3814697</v>
      </c>
      <c r="K1483">
        <v>2400</v>
      </c>
      <c r="L1483">
        <v>0</v>
      </c>
      <c r="M1483">
        <v>0</v>
      </c>
      <c r="N1483">
        <v>2400</v>
      </c>
    </row>
    <row r="1484" spans="1:14" x14ac:dyDescent="0.25">
      <c r="A1484">
        <v>1099.3935859999999</v>
      </c>
      <c r="B1484" s="1">
        <f>DATE(2013,5,4) + TIME(9,26,45)</f>
        <v>41398.393576388888</v>
      </c>
      <c r="C1484">
        <v>80</v>
      </c>
      <c r="D1484">
        <v>79.791610718000001</v>
      </c>
      <c r="E1484">
        <v>50</v>
      </c>
      <c r="F1484">
        <v>49.652404785000002</v>
      </c>
      <c r="G1484">
        <v>1390.4213867000001</v>
      </c>
      <c r="H1484">
        <v>1375.2618408000001</v>
      </c>
      <c r="I1484">
        <v>1287.4088135</v>
      </c>
      <c r="J1484">
        <v>1268.3776855000001</v>
      </c>
      <c r="K1484">
        <v>2400</v>
      </c>
      <c r="L1484">
        <v>0</v>
      </c>
      <c r="M1484">
        <v>0</v>
      </c>
      <c r="N1484">
        <v>2400</v>
      </c>
    </row>
    <row r="1485" spans="1:14" x14ac:dyDescent="0.25">
      <c r="A1485">
        <v>1099.533218</v>
      </c>
      <c r="B1485" s="1">
        <f>DATE(2013,5,4) + TIME(12,47,50)</f>
        <v>41398.533217592594</v>
      </c>
      <c r="C1485">
        <v>80</v>
      </c>
      <c r="D1485">
        <v>79.818824767999999</v>
      </c>
      <c r="E1485">
        <v>50</v>
      </c>
      <c r="F1485">
        <v>49.641471863</v>
      </c>
      <c r="G1485">
        <v>1390.3514404</v>
      </c>
      <c r="H1485">
        <v>1375.2075195</v>
      </c>
      <c r="I1485">
        <v>1287.4057617000001</v>
      </c>
      <c r="J1485">
        <v>1268.3739014</v>
      </c>
      <c r="K1485">
        <v>2400</v>
      </c>
      <c r="L1485">
        <v>0</v>
      </c>
      <c r="M1485">
        <v>0</v>
      </c>
      <c r="N1485">
        <v>2400</v>
      </c>
    </row>
    <row r="1486" spans="1:14" x14ac:dyDescent="0.25">
      <c r="A1486">
        <v>1099.677267</v>
      </c>
      <c r="B1486" s="1">
        <f>DATE(2013,5,4) + TIME(16,15,15)</f>
        <v>41398.677256944444</v>
      </c>
      <c r="C1486">
        <v>80</v>
      </c>
      <c r="D1486">
        <v>79.842063904</v>
      </c>
      <c r="E1486">
        <v>50</v>
      </c>
      <c r="F1486">
        <v>49.630260468000003</v>
      </c>
      <c r="G1486">
        <v>1390.2824707</v>
      </c>
      <c r="H1486">
        <v>1375.1536865</v>
      </c>
      <c r="I1486">
        <v>1287.4025879000001</v>
      </c>
      <c r="J1486">
        <v>1268.3698730000001</v>
      </c>
      <c r="K1486">
        <v>2400</v>
      </c>
      <c r="L1486">
        <v>0</v>
      </c>
      <c r="M1486">
        <v>0</v>
      </c>
      <c r="N1486">
        <v>2400</v>
      </c>
    </row>
    <row r="1487" spans="1:14" x14ac:dyDescent="0.25">
      <c r="A1487">
        <v>1099.8262090000001</v>
      </c>
      <c r="B1487" s="1">
        <f>DATE(2013,5,4) + TIME(19,49,44)</f>
        <v>41398.826203703706</v>
      </c>
      <c r="C1487">
        <v>80</v>
      </c>
      <c r="D1487">
        <v>79.861846924000005</v>
      </c>
      <c r="E1487">
        <v>50</v>
      </c>
      <c r="F1487">
        <v>49.618736267000003</v>
      </c>
      <c r="G1487">
        <v>1390.2142334</v>
      </c>
      <c r="H1487">
        <v>1375.0999756000001</v>
      </c>
      <c r="I1487">
        <v>1287.3994141000001</v>
      </c>
      <c r="J1487">
        <v>1268.3658447</v>
      </c>
      <c r="K1487">
        <v>2400</v>
      </c>
      <c r="L1487">
        <v>0</v>
      </c>
      <c r="M1487">
        <v>0</v>
      </c>
      <c r="N1487">
        <v>2400</v>
      </c>
    </row>
    <row r="1488" spans="1:14" x14ac:dyDescent="0.25">
      <c r="A1488">
        <v>1099.9805779999999</v>
      </c>
      <c r="B1488" s="1">
        <f>DATE(2013,5,4) + TIME(23,32,1)</f>
        <v>41398.980567129627</v>
      </c>
      <c r="C1488">
        <v>80</v>
      </c>
      <c r="D1488">
        <v>79.878631592000005</v>
      </c>
      <c r="E1488">
        <v>50</v>
      </c>
      <c r="F1488">
        <v>49.606864928999997</v>
      </c>
      <c r="G1488">
        <v>1390.1464844</v>
      </c>
      <c r="H1488">
        <v>1375.0463867000001</v>
      </c>
      <c r="I1488">
        <v>1287.3961182</v>
      </c>
      <c r="J1488">
        <v>1268.3615723</v>
      </c>
      <c r="K1488">
        <v>2400</v>
      </c>
      <c r="L1488">
        <v>0</v>
      </c>
      <c r="M1488">
        <v>0</v>
      </c>
      <c r="N1488">
        <v>2400</v>
      </c>
    </row>
    <row r="1489" spans="1:14" x14ac:dyDescent="0.25">
      <c r="A1489">
        <v>1100.1410430000001</v>
      </c>
      <c r="B1489" s="1">
        <f>DATE(2013,5,5) + TIME(3,23,6)</f>
        <v>41399.141041666669</v>
      </c>
      <c r="C1489">
        <v>80</v>
      </c>
      <c r="D1489">
        <v>79.892822265999996</v>
      </c>
      <c r="E1489">
        <v>50</v>
      </c>
      <c r="F1489">
        <v>49.594604492000002</v>
      </c>
      <c r="G1489">
        <v>1390.0789795000001</v>
      </c>
      <c r="H1489">
        <v>1374.9927978999999</v>
      </c>
      <c r="I1489">
        <v>1287.3925781</v>
      </c>
      <c r="J1489">
        <v>1268.3571777</v>
      </c>
      <c r="K1489">
        <v>2400</v>
      </c>
      <c r="L1489">
        <v>0</v>
      </c>
      <c r="M1489">
        <v>0</v>
      </c>
      <c r="N1489">
        <v>2400</v>
      </c>
    </row>
    <row r="1490" spans="1:14" x14ac:dyDescent="0.25">
      <c r="A1490">
        <v>1100.308264</v>
      </c>
      <c r="B1490" s="1">
        <f>DATE(2013,5,5) + TIME(7,23,53)</f>
        <v>41399.308252314811</v>
      </c>
      <c r="C1490">
        <v>80</v>
      </c>
      <c r="D1490">
        <v>79.904777526999993</v>
      </c>
      <c r="E1490">
        <v>50</v>
      </c>
      <c r="F1490">
        <v>49.581909179999997</v>
      </c>
      <c r="G1490">
        <v>1390.0115966999999</v>
      </c>
      <c r="H1490">
        <v>1374.9389647999999</v>
      </c>
      <c r="I1490">
        <v>1287.3890381000001</v>
      </c>
      <c r="J1490">
        <v>1268.3526611</v>
      </c>
      <c r="K1490">
        <v>2400</v>
      </c>
      <c r="L1490">
        <v>0</v>
      </c>
      <c r="M1490">
        <v>0</v>
      </c>
      <c r="N1490">
        <v>2400</v>
      </c>
    </row>
    <row r="1491" spans="1:14" x14ac:dyDescent="0.25">
      <c r="A1491">
        <v>1100.4829850000001</v>
      </c>
      <c r="B1491" s="1">
        <f>DATE(2013,5,5) + TIME(11,35,29)</f>
        <v>41399.482974537037</v>
      </c>
      <c r="C1491">
        <v>80</v>
      </c>
      <c r="D1491">
        <v>79.914794921999999</v>
      </c>
      <c r="E1491">
        <v>50</v>
      </c>
      <c r="F1491">
        <v>49.568733215000002</v>
      </c>
      <c r="G1491">
        <v>1389.9438477000001</v>
      </c>
      <c r="H1491">
        <v>1374.8847656</v>
      </c>
      <c r="I1491">
        <v>1287.3852539</v>
      </c>
      <c r="J1491">
        <v>1268.3479004000001</v>
      </c>
      <c r="K1491">
        <v>2400</v>
      </c>
      <c r="L1491">
        <v>0</v>
      </c>
      <c r="M1491">
        <v>0</v>
      </c>
      <c r="N1491">
        <v>2400</v>
      </c>
    </row>
    <row r="1492" spans="1:14" x14ac:dyDescent="0.25">
      <c r="A1492">
        <v>1100.66506</v>
      </c>
      <c r="B1492" s="1">
        <f>DATE(2013,5,5) + TIME(15,57,41)</f>
        <v>41399.66505787037</v>
      </c>
      <c r="C1492">
        <v>80</v>
      </c>
      <c r="D1492">
        <v>79.923110961999996</v>
      </c>
      <c r="E1492">
        <v>50</v>
      </c>
      <c r="F1492">
        <v>49.555088042999998</v>
      </c>
      <c r="G1492">
        <v>1389.8758545000001</v>
      </c>
      <c r="H1492">
        <v>1374.8300781</v>
      </c>
      <c r="I1492">
        <v>1287.3813477000001</v>
      </c>
      <c r="J1492">
        <v>1268.3428954999999</v>
      </c>
      <c r="K1492">
        <v>2400</v>
      </c>
      <c r="L1492">
        <v>0</v>
      </c>
      <c r="M1492">
        <v>0</v>
      </c>
      <c r="N1492">
        <v>2400</v>
      </c>
    </row>
    <row r="1493" spans="1:14" x14ac:dyDescent="0.25">
      <c r="A1493">
        <v>1100.8540049999999</v>
      </c>
      <c r="B1493" s="1">
        <f>DATE(2013,5,5) + TIME(20,29,46)</f>
        <v>41399.854004629633</v>
      </c>
      <c r="C1493">
        <v>80</v>
      </c>
      <c r="D1493">
        <v>79.929939270000006</v>
      </c>
      <c r="E1493">
        <v>50</v>
      </c>
      <c r="F1493">
        <v>49.540996552000003</v>
      </c>
      <c r="G1493">
        <v>1389.8076172000001</v>
      </c>
      <c r="H1493">
        <v>1374.7750243999999</v>
      </c>
      <c r="I1493">
        <v>1287.3771973</v>
      </c>
      <c r="J1493">
        <v>1268.3376464999999</v>
      </c>
      <c r="K1493">
        <v>2400</v>
      </c>
      <c r="L1493">
        <v>0</v>
      </c>
      <c r="M1493">
        <v>0</v>
      </c>
      <c r="N1493">
        <v>2400</v>
      </c>
    </row>
    <row r="1494" spans="1:14" x14ac:dyDescent="0.25">
      <c r="A1494">
        <v>1101.0507</v>
      </c>
      <c r="B1494" s="1">
        <f>DATE(2013,5,6) + TIME(1,13,0)</f>
        <v>41400.050694444442</v>
      </c>
      <c r="C1494">
        <v>80</v>
      </c>
      <c r="D1494">
        <v>79.935539246000005</v>
      </c>
      <c r="E1494">
        <v>50</v>
      </c>
      <c r="F1494">
        <v>49.526405334000003</v>
      </c>
      <c r="G1494">
        <v>1389.7393798999999</v>
      </c>
      <c r="H1494">
        <v>1374.7199707</v>
      </c>
      <c r="I1494">
        <v>1287.3729248</v>
      </c>
      <c r="J1494">
        <v>1268.3322754000001</v>
      </c>
      <c r="K1494">
        <v>2400</v>
      </c>
      <c r="L1494">
        <v>0</v>
      </c>
      <c r="M1494">
        <v>0</v>
      </c>
      <c r="N1494">
        <v>2400</v>
      </c>
    </row>
    <row r="1495" spans="1:14" x14ac:dyDescent="0.25">
      <c r="A1495">
        <v>1101.255932</v>
      </c>
      <c r="B1495" s="1">
        <f>DATE(2013,5,6) + TIME(6,8,32)</f>
        <v>41400.255925925929</v>
      </c>
      <c r="C1495">
        <v>80</v>
      </c>
      <c r="D1495">
        <v>79.940109253000003</v>
      </c>
      <c r="E1495">
        <v>50</v>
      </c>
      <c r="F1495">
        <v>49.511272429999998</v>
      </c>
      <c r="G1495">
        <v>1389.6707764</v>
      </c>
      <c r="H1495">
        <v>1374.6644286999999</v>
      </c>
      <c r="I1495">
        <v>1287.3684082</v>
      </c>
      <c r="J1495">
        <v>1268.3266602000001</v>
      </c>
      <c r="K1495">
        <v>2400</v>
      </c>
      <c r="L1495">
        <v>0</v>
      </c>
      <c r="M1495">
        <v>0</v>
      </c>
      <c r="N1495">
        <v>2400</v>
      </c>
    </row>
    <row r="1496" spans="1:14" x14ac:dyDescent="0.25">
      <c r="A1496">
        <v>1101.4706249999999</v>
      </c>
      <c r="B1496" s="1">
        <f>DATE(2013,5,6) + TIME(11,17,41)</f>
        <v>41400.470613425925</v>
      </c>
      <c r="C1496">
        <v>80</v>
      </c>
      <c r="D1496">
        <v>79.943817139000004</v>
      </c>
      <c r="E1496">
        <v>50</v>
      </c>
      <c r="F1496">
        <v>49.495536803999997</v>
      </c>
      <c r="G1496">
        <v>1389.6016846</v>
      </c>
      <c r="H1496">
        <v>1374.6085204999999</v>
      </c>
      <c r="I1496">
        <v>1287.3637695</v>
      </c>
      <c r="J1496">
        <v>1268.3208007999999</v>
      </c>
      <c r="K1496">
        <v>2400</v>
      </c>
      <c r="L1496">
        <v>0</v>
      </c>
      <c r="M1496">
        <v>0</v>
      </c>
      <c r="N1496">
        <v>2400</v>
      </c>
    </row>
    <row r="1497" spans="1:14" x14ac:dyDescent="0.25">
      <c r="A1497">
        <v>1101.695884</v>
      </c>
      <c r="B1497" s="1">
        <f>DATE(2013,5,6) + TIME(16,42,4)</f>
        <v>41400.695879629631</v>
      </c>
      <c r="C1497">
        <v>80</v>
      </c>
      <c r="D1497">
        <v>79.946815490999995</v>
      </c>
      <c r="E1497">
        <v>50</v>
      </c>
      <c r="F1497">
        <v>49.479133605999998</v>
      </c>
      <c r="G1497">
        <v>1389.5318603999999</v>
      </c>
      <c r="H1497">
        <v>1374.552124</v>
      </c>
      <c r="I1497">
        <v>1287.3588867000001</v>
      </c>
      <c r="J1497">
        <v>1268.3146973</v>
      </c>
      <c r="K1497">
        <v>2400</v>
      </c>
      <c r="L1497">
        <v>0</v>
      </c>
      <c r="M1497">
        <v>0</v>
      </c>
      <c r="N1497">
        <v>2400</v>
      </c>
    </row>
    <row r="1498" spans="1:14" x14ac:dyDescent="0.25">
      <c r="A1498">
        <v>1101.9288730000001</v>
      </c>
      <c r="B1498" s="1">
        <f>DATE(2013,5,6) + TIME(22,17,34)</f>
        <v>41400.928865740738</v>
      </c>
      <c r="C1498">
        <v>80</v>
      </c>
      <c r="D1498">
        <v>79.949195861999996</v>
      </c>
      <c r="E1498">
        <v>50</v>
      </c>
      <c r="F1498">
        <v>49.462223053000002</v>
      </c>
      <c r="G1498">
        <v>1389.4611815999999</v>
      </c>
      <c r="H1498">
        <v>1374.4948730000001</v>
      </c>
      <c r="I1498">
        <v>1287.3536377</v>
      </c>
      <c r="J1498">
        <v>1268.3082274999999</v>
      </c>
      <c r="K1498">
        <v>2400</v>
      </c>
      <c r="L1498">
        <v>0</v>
      </c>
      <c r="M1498">
        <v>0</v>
      </c>
      <c r="N1498">
        <v>2400</v>
      </c>
    </row>
    <row r="1499" spans="1:14" x14ac:dyDescent="0.25">
      <c r="A1499">
        <v>1102.163605</v>
      </c>
      <c r="B1499" s="1">
        <f>DATE(2013,5,7) + TIME(3,55,35)</f>
        <v>41401.163599537038</v>
      </c>
      <c r="C1499">
        <v>80</v>
      </c>
      <c r="D1499">
        <v>79.951034546000002</v>
      </c>
      <c r="E1499">
        <v>50</v>
      </c>
      <c r="F1499">
        <v>49.445144653</v>
      </c>
      <c r="G1499">
        <v>1389.3905029</v>
      </c>
      <c r="H1499">
        <v>1374.4376221</v>
      </c>
      <c r="I1499">
        <v>1287.3482666</v>
      </c>
      <c r="J1499">
        <v>1268.3015137</v>
      </c>
      <c r="K1499">
        <v>2400</v>
      </c>
      <c r="L1499">
        <v>0</v>
      </c>
      <c r="M1499">
        <v>0</v>
      </c>
      <c r="N1499">
        <v>2400</v>
      </c>
    </row>
    <row r="1500" spans="1:14" x14ac:dyDescent="0.25">
      <c r="A1500">
        <v>1102.399737</v>
      </c>
      <c r="B1500" s="1">
        <f>DATE(2013,5,7) + TIME(9,35,37)</f>
        <v>41401.399733796294</v>
      </c>
      <c r="C1500">
        <v>80</v>
      </c>
      <c r="D1500">
        <v>79.952468871999997</v>
      </c>
      <c r="E1500">
        <v>50</v>
      </c>
      <c r="F1500">
        <v>49.427940368999998</v>
      </c>
      <c r="G1500">
        <v>1389.3216553</v>
      </c>
      <c r="H1500">
        <v>1374.3818358999999</v>
      </c>
      <c r="I1500">
        <v>1287.3427733999999</v>
      </c>
      <c r="J1500">
        <v>1268.2947998</v>
      </c>
      <c r="K1500">
        <v>2400</v>
      </c>
      <c r="L1500">
        <v>0</v>
      </c>
      <c r="M1500">
        <v>0</v>
      </c>
      <c r="N1500">
        <v>2400</v>
      </c>
    </row>
    <row r="1501" spans="1:14" x14ac:dyDescent="0.25">
      <c r="A1501">
        <v>1102.637939</v>
      </c>
      <c r="B1501" s="1">
        <f>DATE(2013,5,7) + TIME(15,18,37)</f>
        <v>41401.637928240743</v>
      </c>
      <c r="C1501">
        <v>80</v>
      </c>
      <c r="D1501">
        <v>79.953590392999999</v>
      </c>
      <c r="E1501">
        <v>50</v>
      </c>
      <c r="F1501">
        <v>49.410598755000002</v>
      </c>
      <c r="G1501">
        <v>1389.2545166</v>
      </c>
      <c r="H1501">
        <v>1374.3276367000001</v>
      </c>
      <c r="I1501">
        <v>1287.3374022999999</v>
      </c>
      <c r="J1501">
        <v>1268.2880858999999</v>
      </c>
      <c r="K1501">
        <v>2400</v>
      </c>
      <c r="L1501">
        <v>0</v>
      </c>
      <c r="M1501">
        <v>0</v>
      </c>
      <c r="N1501">
        <v>2400</v>
      </c>
    </row>
    <row r="1502" spans="1:14" x14ac:dyDescent="0.25">
      <c r="A1502">
        <v>1102.878786</v>
      </c>
      <c r="B1502" s="1">
        <f>DATE(2013,5,7) + TIME(21,5,27)</f>
        <v>41401.878784722219</v>
      </c>
      <c r="C1502">
        <v>80</v>
      </c>
      <c r="D1502">
        <v>79.954475403000004</v>
      </c>
      <c r="E1502">
        <v>50</v>
      </c>
      <c r="F1502">
        <v>49.393089293999999</v>
      </c>
      <c r="G1502">
        <v>1389.1888428</v>
      </c>
      <c r="H1502">
        <v>1374.2745361</v>
      </c>
      <c r="I1502">
        <v>1287.3317870999999</v>
      </c>
      <c r="J1502">
        <v>1268.28125</v>
      </c>
      <c r="K1502">
        <v>2400</v>
      </c>
      <c r="L1502">
        <v>0</v>
      </c>
      <c r="M1502">
        <v>0</v>
      </c>
      <c r="N1502">
        <v>2400</v>
      </c>
    </row>
    <row r="1503" spans="1:14" x14ac:dyDescent="0.25">
      <c r="A1503">
        <v>1103.1229089999999</v>
      </c>
      <c r="B1503" s="1">
        <f>DATE(2013,5,8) + TIME(2,56,59)</f>
        <v>41402.12290509259</v>
      </c>
      <c r="C1503">
        <v>80</v>
      </c>
      <c r="D1503">
        <v>79.955169678000004</v>
      </c>
      <c r="E1503">
        <v>50</v>
      </c>
      <c r="F1503">
        <v>49.375396729000002</v>
      </c>
      <c r="G1503">
        <v>1389.1243896000001</v>
      </c>
      <c r="H1503">
        <v>1374.2224120999999</v>
      </c>
      <c r="I1503">
        <v>1287.3261719</v>
      </c>
      <c r="J1503">
        <v>1268.2742920000001</v>
      </c>
      <c r="K1503">
        <v>2400</v>
      </c>
      <c r="L1503">
        <v>0</v>
      </c>
      <c r="M1503">
        <v>0</v>
      </c>
      <c r="N1503">
        <v>2400</v>
      </c>
    </row>
    <row r="1504" spans="1:14" x14ac:dyDescent="0.25">
      <c r="A1504">
        <v>1103.370944</v>
      </c>
      <c r="B1504" s="1">
        <f>DATE(2013,5,8) + TIME(8,54,9)</f>
        <v>41402.370937500003</v>
      </c>
      <c r="C1504">
        <v>80</v>
      </c>
      <c r="D1504">
        <v>79.955726623999993</v>
      </c>
      <c r="E1504">
        <v>50</v>
      </c>
      <c r="F1504">
        <v>49.357482910000002</v>
      </c>
      <c r="G1504">
        <v>1389.0609131000001</v>
      </c>
      <c r="H1504">
        <v>1374.1712646000001</v>
      </c>
      <c r="I1504">
        <v>1287.3205565999999</v>
      </c>
      <c r="J1504">
        <v>1268.2673339999999</v>
      </c>
      <c r="K1504">
        <v>2400</v>
      </c>
      <c r="L1504">
        <v>0</v>
      </c>
      <c r="M1504">
        <v>0</v>
      </c>
      <c r="N1504">
        <v>2400</v>
      </c>
    </row>
    <row r="1505" spans="1:14" x14ac:dyDescent="0.25">
      <c r="A1505">
        <v>1103.623548</v>
      </c>
      <c r="B1505" s="1">
        <f>DATE(2013,5,8) + TIME(14,57,54)</f>
        <v>41402.623541666668</v>
      </c>
      <c r="C1505">
        <v>80</v>
      </c>
      <c r="D1505">
        <v>79.956169127999999</v>
      </c>
      <c r="E1505">
        <v>50</v>
      </c>
      <c r="F1505">
        <v>49.339313507</v>
      </c>
      <c r="G1505">
        <v>1388.9982910000001</v>
      </c>
      <c r="H1505">
        <v>1374.1206055</v>
      </c>
      <c r="I1505">
        <v>1287.3148193</v>
      </c>
      <c r="J1505">
        <v>1268.2601318</v>
      </c>
      <c r="K1505">
        <v>2400</v>
      </c>
      <c r="L1505">
        <v>0</v>
      </c>
      <c r="M1505">
        <v>0</v>
      </c>
      <c r="N1505">
        <v>2400</v>
      </c>
    </row>
    <row r="1506" spans="1:14" x14ac:dyDescent="0.25">
      <c r="A1506">
        <v>1103.8814130000001</v>
      </c>
      <c r="B1506" s="1">
        <f>DATE(2013,5,8) + TIME(21,9,14)</f>
        <v>41402.881412037037</v>
      </c>
      <c r="C1506">
        <v>80</v>
      </c>
      <c r="D1506">
        <v>79.956520080999994</v>
      </c>
      <c r="E1506">
        <v>50</v>
      </c>
      <c r="F1506">
        <v>49.320854187000002</v>
      </c>
      <c r="G1506">
        <v>1388.9361572</v>
      </c>
      <c r="H1506">
        <v>1374.0705565999999</v>
      </c>
      <c r="I1506">
        <v>1287.3089600000001</v>
      </c>
      <c r="J1506">
        <v>1268.2528076000001</v>
      </c>
      <c r="K1506">
        <v>2400</v>
      </c>
      <c r="L1506">
        <v>0</v>
      </c>
      <c r="M1506">
        <v>0</v>
      </c>
      <c r="N1506">
        <v>2400</v>
      </c>
    </row>
    <row r="1507" spans="1:14" x14ac:dyDescent="0.25">
      <c r="A1507">
        <v>1104.1452710000001</v>
      </c>
      <c r="B1507" s="1">
        <f>DATE(2013,5,9) + TIME(3,29,11)</f>
        <v>41403.145266203705</v>
      </c>
      <c r="C1507">
        <v>80</v>
      </c>
      <c r="D1507">
        <v>79.956809997999997</v>
      </c>
      <c r="E1507">
        <v>50</v>
      </c>
      <c r="F1507">
        <v>49.302062988000003</v>
      </c>
      <c r="G1507">
        <v>1388.8743896000001</v>
      </c>
      <c r="H1507">
        <v>1374.020874</v>
      </c>
      <c r="I1507">
        <v>1287.3029785000001</v>
      </c>
      <c r="J1507">
        <v>1268.2453613</v>
      </c>
      <c r="K1507">
        <v>2400</v>
      </c>
      <c r="L1507">
        <v>0</v>
      </c>
      <c r="M1507">
        <v>0</v>
      </c>
      <c r="N1507">
        <v>2400</v>
      </c>
    </row>
    <row r="1508" spans="1:14" x14ac:dyDescent="0.25">
      <c r="A1508">
        <v>1104.415919</v>
      </c>
      <c r="B1508" s="1">
        <f>DATE(2013,5,9) + TIME(9,58,55)</f>
        <v>41403.415914351855</v>
      </c>
      <c r="C1508">
        <v>80</v>
      </c>
      <c r="D1508">
        <v>79.957046508999994</v>
      </c>
      <c r="E1508">
        <v>50</v>
      </c>
      <c r="F1508">
        <v>49.282894134999999</v>
      </c>
      <c r="G1508">
        <v>1388.8128661999999</v>
      </c>
      <c r="H1508">
        <v>1373.9714355000001</v>
      </c>
      <c r="I1508">
        <v>1287.2967529</v>
      </c>
      <c r="J1508">
        <v>1268.237793</v>
      </c>
      <c r="K1508">
        <v>2400</v>
      </c>
      <c r="L1508">
        <v>0</v>
      </c>
      <c r="M1508">
        <v>0</v>
      </c>
      <c r="N1508">
        <v>2400</v>
      </c>
    </row>
    <row r="1509" spans="1:14" x14ac:dyDescent="0.25">
      <c r="A1509">
        <v>1104.694223</v>
      </c>
      <c r="B1509" s="1">
        <f>DATE(2013,5,9) + TIME(16,39,40)</f>
        <v>41403.694212962961</v>
      </c>
      <c r="C1509">
        <v>80</v>
      </c>
      <c r="D1509">
        <v>79.957229613999999</v>
      </c>
      <c r="E1509">
        <v>50</v>
      </c>
      <c r="F1509">
        <v>49.263294219999999</v>
      </c>
      <c r="G1509">
        <v>1388.7513428</v>
      </c>
      <c r="H1509">
        <v>1373.9219971</v>
      </c>
      <c r="I1509">
        <v>1287.2904053</v>
      </c>
      <c r="J1509">
        <v>1268.2298584</v>
      </c>
      <c r="K1509">
        <v>2400</v>
      </c>
      <c r="L1509">
        <v>0</v>
      </c>
      <c r="M1509">
        <v>0</v>
      </c>
      <c r="N1509">
        <v>2400</v>
      </c>
    </row>
    <row r="1510" spans="1:14" x14ac:dyDescent="0.25">
      <c r="A1510">
        <v>1104.981194</v>
      </c>
      <c r="B1510" s="1">
        <f>DATE(2013,5,9) + TIME(23,32,55)</f>
        <v>41403.981192129628</v>
      </c>
      <c r="C1510">
        <v>80</v>
      </c>
      <c r="D1510">
        <v>79.957389832000004</v>
      </c>
      <c r="E1510">
        <v>50</v>
      </c>
      <c r="F1510">
        <v>49.243206024000003</v>
      </c>
      <c r="G1510">
        <v>1388.6898193</v>
      </c>
      <c r="H1510">
        <v>1373.8725586</v>
      </c>
      <c r="I1510">
        <v>1287.2839355000001</v>
      </c>
      <c r="J1510">
        <v>1268.2218018000001</v>
      </c>
      <c r="K1510">
        <v>2400</v>
      </c>
      <c r="L1510">
        <v>0</v>
      </c>
      <c r="M1510">
        <v>0</v>
      </c>
      <c r="N1510">
        <v>2400</v>
      </c>
    </row>
    <row r="1511" spans="1:14" x14ac:dyDescent="0.25">
      <c r="A1511">
        <v>1105.2768040000001</v>
      </c>
      <c r="B1511" s="1">
        <f>DATE(2013,5,10) + TIME(6,38,35)</f>
        <v>41404.27679398148</v>
      </c>
      <c r="C1511">
        <v>80</v>
      </c>
      <c r="D1511">
        <v>79.957511901999993</v>
      </c>
      <c r="E1511">
        <v>50</v>
      </c>
      <c r="F1511">
        <v>49.222625731999997</v>
      </c>
      <c r="G1511">
        <v>1388.6279297000001</v>
      </c>
      <c r="H1511">
        <v>1373.8229980000001</v>
      </c>
      <c r="I1511">
        <v>1287.2772216999999</v>
      </c>
      <c r="J1511">
        <v>1268.213501</v>
      </c>
      <c r="K1511">
        <v>2400</v>
      </c>
      <c r="L1511">
        <v>0</v>
      </c>
      <c r="M1511">
        <v>0</v>
      </c>
      <c r="N1511">
        <v>2400</v>
      </c>
    </row>
    <row r="1512" spans="1:14" x14ac:dyDescent="0.25">
      <c r="A1512">
        <v>1105.5795840000001</v>
      </c>
      <c r="B1512" s="1">
        <f>DATE(2013,5,10) + TIME(13,54,36)</f>
        <v>41404.579583333332</v>
      </c>
      <c r="C1512">
        <v>80</v>
      </c>
      <c r="D1512">
        <v>79.957611084000007</v>
      </c>
      <c r="E1512">
        <v>50</v>
      </c>
      <c r="F1512">
        <v>49.201622008999998</v>
      </c>
      <c r="G1512">
        <v>1388.5657959</v>
      </c>
      <c r="H1512">
        <v>1373.7731934000001</v>
      </c>
      <c r="I1512">
        <v>1287.2702637</v>
      </c>
      <c r="J1512">
        <v>1268.2049560999999</v>
      </c>
      <c r="K1512">
        <v>2400</v>
      </c>
      <c r="L1512">
        <v>0</v>
      </c>
      <c r="M1512">
        <v>0</v>
      </c>
      <c r="N1512">
        <v>2400</v>
      </c>
    </row>
    <row r="1513" spans="1:14" x14ac:dyDescent="0.25">
      <c r="A1513">
        <v>1105.890439</v>
      </c>
      <c r="B1513" s="1">
        <f>DATE(2013,5,10) + TIME(21,22,13)</f>
        <v>41404.890428240738</v>
      </c>
      <c r="C1513">
        <v>80</v>
      </c>
      <c r="D1513">
        <v>79.957695006999998</v>
      </c>
      <c r="E1513">
        <v>50</v>
      </c>
      <c r="F1513">
        <v>49.180152892999999</v>
      </c>
      <c r="G1513">
        <v>1388.5036620999999</v>
      </c>
      <c r="H1513">
        <v>1373.7235106999999</v>
      </c>
      <c r="I1513">
        <v>1287.2631836</v>
      </c>
      <c r="J1513">
        <v>1268.1961670000001</v>
      </c>
      <c r="K1513">
        <v>2400</v>
      </c>
      <c r="L1513">
        <v>0</v>
      </c>
      <c r="M1513">
        <v>0</v>
      </c>
      <c r="N1513">
        <v>2400</v>
      </c>
    </row>
    <row r="1514" spans="1:14" x14ac:dyDescent="0.25">
      <c r="A1514">
        <v>1106.210311</v>
      </c>
      <c r="B1514" s="1">
        <f>DATE(2013,5,11) + TIME(5,2,50)</f>
        <v>41405.210300925923</v>
      </c>
      <c r="C1514">
        <v>80</v>
      </c>
      <c r="D1514">
        <v>79.957763671999999</v>
      </c>
      <c r="E1514">
        <v>50</v>
      </c>
      <c r="F1514">
        <v>49.158164978000002</v>
      </c>
      <c r="G1514">
        <v>1388.4415283000001</v>
      </c>
      <c r="H1514">
        <v>1373.6738281</v>
      </c>
      <c r="I1514">
        <v>1287.2558594</v>
      </c>
      <c r="J1514">
        <v>1268.1871338000001</v>
      </c>
      <c r="K1514">
        <v>2400</v>
      </c>
      <c r="L1514">
        <v>0</v>
      </c>
      <c r="M1514">
        <v>0</v>
      </c>
      <c r="N1514">
        <v>2400</v>
      </c>
    </row>
    <row r="1515" spans="1:14" x14ac:dyDescent="0.25">
      <c r="A1515">
        <v>1106.5402469999999</v>
      </c>
      <c r="B1515" s="1">
        <f>DATE(2013,5,11) + TIME(12,57,57)</f>
        <v>41405.540243055555</v>
      </c>
      <c r="C1515">
        <v>80</v>
      </c>
      <c r="D1515">
        <v>79.957809448000006</v>
      </c>
      <c r="E1515">
        <v>50</v>
      </c>
      <c r="F1515">
        <v>49.135612488</v>
      </c>
      <c r="G1515">
        <v>1388.3792725000001</v>
      </c>
      <c r="H1515">
        <v>1373.6240233999999</v>
      </c>
      <c r="I1515">
        <v>1287.2482910000001</v>
      </c>
      <c r="J1515">
        <v>1268.1777344</v>
      </c>
      <c r="K1515">
        <v>2400</v>
      </c>
      <c r="L1515">
        <v>0</v>
      </c>
      <c r="M1515">
        <v>0</v>
      </c>
      <c r="N1515">
        <v>2400</v>
      </c>
    </row>
    <row r="1516" spans="1:14" x14ac:dyDescent="0.25">
      <c r="A1516">
        <v>1106.8815750000001</v>
      </c>
      <c r="B1516" s="1">
        <f>DATE(2013,5,11) + TIME(21,9,28)</f>
        <v>41405.881574074076</v>
      </c>
      <c r="C1516">
        <v>80</v>
      </c>
      <c r="D1516">
        <v>79.957855225000003</v>
      </c>
      <c r="E1516">
        <v>50</v>
      </c>
      <c r="F1516">
        <v>49.112415314000003</v>
      </c>
      <c r="G1516">
        <v>1388.3165283000001</v>
      </c>
      <c r="H1516">
        <v>1373.5738524999999</v>
      </c>
      <c r="I1516">
        <v>1287.2404785000001</v>
      </c>
      <c r="J1516">
        <v>1268.1680908000001</v>
      </c>
      <c r="K1516">
        <v>2400</v>
      </c>
      <c r="L1516">
        <v>0</v>
      </c>
      <c r="M1516">
        <v>0</v>
      </c>
      <c r="N1516">
        <v>2400</v>
      </c>
    </row>
    <row r="1517" spans="1:14" x14ac:dyDescent="0.25">
      <c r="A1517">
        <v>1107.2355709999999</v>
      </c>
      <c r="B1517" s="1">
        <f>DATE(2013,5,12) + TIME(5,39,13)</f>
        <v>41406.235567129632</v>
      </c>
      <c r="C1517">
        <v>80</v>
      </c>
      <c r="D1517">
        <v>79.957885742000002</v>
      </c>
      <c r="E1517">
        <v>50</v>
      </c>
      <c r="F1517">
        <v>49.088512420999997</v>
      </c>
      <c r="G1517">
        <v>1388.2532959</v>
      </c>
      <c r="H1517">
        <v>1373.5234375</v>
      </c>
      <c r="I1517">
        <v>1287.2324219</v>
      </c>
      <c r="J1517">
        <v>1268.1580810999999</v>
      </c>
      <c r="K1517">
        <v>2400</v>
      </c>
      <c r="L1517">
        <v>0</v>
      </c>
      <c r="M1517">
        <v>0</v>
      </c>
      <c r="N1517">
        <v>2400</v>
      </c>
    </row>
    <row r="1518" spans="1:14" x14ac:dyDescent="0.25">
      <c r="A1518">
        <v>1107.603689</v>
      </c>
      <c r="B1518" s="1">
        <f>DATE(2013,5,12) + TIME(14,29,18)</f>
        <v>41406.603680555556</v>
      </c>
      <c r="C1518">
        <v>80</v>
      </c>
      <c r="D1518">
        <v>79.957908630000006</v>
      </c>
      <c r="E1518">
        <v>50</v>
      </c>
      <c r="F1518">
        <v>49.063816070999998</v>
      </c>
      <c r="G1518">
        <v>1388.1892089999999</v>
      </c>
      <c r="H1518">
        <v>1373.4724120999999</v>
      </c>
      <c r="I1518">
        <v>1287.223999</v>
      </c>
      <c r="J1518">
        <v>1268.1478271000001</v>
      </c>
      <c r="K1518">
        <v>2400</v>
      </c>
      <c r="L1518">
        <v>0</v>
      </c>
      <c r="M1518">
        <v>0</v>
      </c>
      <c r="N1518">
        <v>2400</v>
      </c>
    </row>
    <row r="1519" spans="1:14" x14ac:dyDescent="0.25">
      <c r="A1519">
        <v>1107.9756030000001</v>
      </c>
      <c r="B1519" s="1">
        <f>DATE(2013,5,12) + TIME(23,24,52)</f>
        <v>41406.975601851853</v>
      </c>
      <c r="C1519">
        <v>80</v>
      </c>
      <c r="D1519">
        <v>79.957923889</v>
      </c>
      <c r="E1519">
        <v>50</v>
      </c>
      <c r="F1519">
        <v>49.038791656000001</v>
      </c>
      <c r="G1519">
        <v>1388.1242675999999</v>
      </c>
      <c r="H1519">
        <v>1373.4206543</v>
      </c>
      <c r="I1519">
        <v>1287.2152100000001</v>
      </c>
      <c r="J1519">
        <v>1268.1369629000001</v>
      </c>
      <c r="K1519">
        <v>2400</v>
      </c>
      <c r="L1519">
        <v>0</v>
      </c>
      <c r="M1519">
        <v>0</v>
      </c>
      <c r="N1519">
        <v>2400</v>
      </c>
    </row>
    <row r="1520" spans="1:14" x14ac:dyDescent="0.25">
      <c r="A1520">
        <v>1108.350927</v>
      </c>
      <c r="B1520" s="1">
        <f>DATE(2013,5,13) + TIME(8,25,20)</f>
        <v>41407.350925925923</v>
      </c>
      <c r="C1520">
        <v>80</v>
      </c>
      <c r="D1520">
        <v>79.957931518999999</v>
      </c>
      <c r="E1520">
        <v>50</v>
      </c>
      <c r="F1520">
        <v>49.013515472000002</v>
      </c>
      <c r="G1520">
        <v>1388.0603027</v>
      </c>
      <c r="H1520">
        <v>1373.369751</v>
      </c>
      <c r="I1520">
        <v>1287.2062988</v>
      </c>
      <c r="J1520">
        <v>1268.1260986</v>
      </c>
      <c r="K1520">
        <v>2400</v>
      </c>
      <c r="L1520">
        <v>0</v>
      </c>
      <c r="M1520">
        <v>0</v>
      </c>
      <c r="N1520">
        <v>2400</v>
      </c>
    </row>
    <row r="1521" spans="1:14" x14ac:dyDescent="0.25">
      <c r="A1521">
        <v>1108.7298479999999</v>
      </c>
      <c r="B1521" s="1">
        <f>DATE(2013,5,13) + TIME(17,30,58)</f>
        <v>41407.729837962965</v>
      </c>
      <c r="C1521">
        <v>80</v>
      </c>
      <c r="D1521">
        <v>79.957931518999999</v>
      </c>
      <c r="E1521">
        <v>50</v>
      </c>
      <c r="F1521">
        <v>48.988010406000001</v>
      </c>
      <c r="G1521">
        <v>1387.9973144999999</v>
      </c>
      <c r="H1521">
        <v>1373.3195800999999</v>
      </c>
      <c r="I1521">
        <v>1287.1972656</v>
      </c>
      <c r="J1521">
        <v>1268.1149902</v>
      </c>
      <c r="K1521">
        <v>2400</v>
      </c>
      <c r="L1521">
        <v>0</v>
      </c>
      <c r="M1521">
        <v>0</v>
      </c>
      <c r="N1521">
        <v>2400</v>
      </c>
    </row>
    <row r="1522" spans="1:14" x14ac:dyDescent="0.25">
      <c r="A1522">
        <v>1109.113421</v>
      </c>
      <c r="B1522" s="1">
        <f>DATE(2013,5,14) + TIME(2,43,19)</f>
        <v>41408.11341435185</v>
      </c>
      <c r="C1522">
        <v>80</v>
      </c>
      <c r="D1522">
        <v>79.957931518999999</v>
      </c>
      <c r="E1522">
        <v>50</v>
      </c>
      <c r="F1522">
        <v>48.962257385000001</v>
      </c>
      <c r="G1522">
        <v>1387.9351807</v>
      </c>
      <c r="H1522">
        <v>1373.2701416</v>
      </c>
      <c r="I1522">
        <v>1287.1882324000001</v>
      </c>
      <c r="J1522">
        <v>1268.1038818</v>
      </c>
      <c r="K1522">
        <v>2400</v>
      </c>
      <c r="L1522">
        <v>0</v>
      </c>
      <c r="M1522">
        <v>0</v>
      </c>
      <c r="N1522">
        <v>2400</v>
      </c>
    </row>
    <row r="1523" spans="1:14" x14ac:dyDescent="0.25">
      <c r="A1523">
        <v>1109.5027070000001</v>
      </c>
      <c r="B1523" s="1">
        <f>DATE(2013,5,14) + TIME(12,3,53)</f>
        <v>41408.502696759257</v>
      </c>
      <c r="C1523">
        <v>80</v>
      </c>
      <c r="D1523">
        <v>79.957923889</v>
      </c>
      <c r="E1523">
        <v>50</v>
      </c>
      <c r="F1523">
        <v>48.936225890999999</v>
      </c>
      <c r="G1523">
        <v>1387.8737793</v>
      </c>
      <c r="H1523">
        <v>1373.2213135</v>
      </c>
      <c r="I1523">
        <v>1287.1789550999999</v>
      </c>
      <c r="J1523">
        <v>1268.0925293</v>
      </c>
      <c r="K1523">
        <v>2400</v>
      </c>
      <c r="L1523">
        <v>0</v>
      </c>
      <c r="M1523">
        <v>0</v>
      </c>
      <c r="N1523">
        <v>2400</v>
      </c>
    </row>
    <row r="1524" spans="1:14" x14ac:dyDescent="0.25">
      <c r="A1524">
        <v>1109.8988139999999</v>
      </c>
      <c r="B1524" s="1">
        <f>DATE(2013,5,14) + TIME(21,34,17)</f>
        <v>41408.89880787037</v>
      </c>
      <c r="C1524">
        <v>80</v>
      </c>
      <c r="D1524">
        <v>79.957916260000005</v>
      </c>
      <c r="E1524">
        <v>50</v>
      </c>
      <c r="F1524">
        <v>48.909862517999997</v>
      </c>
      <c r="G1524">
        <v>1387.8128661999999</v>
      </c>
      <c r="H1524">
        <v>1373.1728516000001</v>
      </c>
      <c r="I1524">
        <v>1287.1695557</v>
      </c>
      <c r="J1524">
        <v>1268.0810547000001</v>
      </c>
      <c r="K1524">
        <v>2400</v>
      </c>
      <c r="L1524">
        <v>0</v>
      </c>
      <c r="M1524">
        <v>0</v>
      </c>
      <c r="N1524">
        <v>2400</v>
      </c>
    </row>
    <row r="1525" spans="1:14" x14ac:dyDescent="0.25">
      <c r="A1525">
        <v>1110.302115</v>
      </c>
      <c r="B1525" s="1">
        <f>DATE(2013,5,15) + TIME(7,15,2)</f>
        <v>41409.302106481482</v>
      </c>
      <c r="C1525">
        <v>80</v>
      </c>
      <c r="D1525">
        <v>79.957908630000006</v>
      </c>
      <c r="E1525">
        <v>50</v>
      </c>
      <c r="F1525">
        <v>48.883148192999997</v>
      </c>
      <c r="G1525">
        <v>1387.7521973</v>
      </c>
      <c r="H1525">
        <v>1373.1247559000001</v>
      </c>
      <c r="I1525">
        <v>1287.1600341999999</v>
      </c>
      <c r="J1525">
        <v>1268.0692139</v>
      </c>
      <c r="K1525">
        <v>2400</v>
      </c>
      <c r="L1525">
        <v>0</v>
      </c>
      <c r="M1525">
        <v>0</v>
      </c>
      <c r="N1525">
        <v>2400</v>
      </c>
    </row>
    <row r="1526" spans="1:14" x14ac:dyDescent="0.25">
      <c r="A1526">
        <v>1110.7135760000001</v>
      </c>
      <c r="B1526" s="1">
        <f>DATE(2013,5,15) + TIME(17,7,32)</f>
        <v>41409.713564814818</v>
      </c>
      <c r="C1526">
        <v>80</v>
      </c>
      <c r="D1526">
        <v>79.957901000999996</v>
      </c>
      <c r="E1526">
        <v>50</v>
      </c>
      <c r="F1526">
        <v>48.856033324999999</v>
      </c>
      <c r="G1526">
        <v>1387.6918945</v>
      </c>
      <c r="H1526">
        <v>1373.0769043</v>
      </c>
      <c r="I1526">
        <v>1287.1502685999999</v>
      </c>
      <c r="J1526">
        <v>1268.057251</v>
      </c>
      <c r="K1526">
        <v>2400</v>
      </c>
      <c r="L1526">
        <v>0</v>
      </c>
      <c r="M1526">
        <v>0</v>
      </c>
      <c r="N1526">
        <v>2400</v>
      </c>
    </row>
    <row r="1527" spans="1:14" x14ac:dyDescent="0.25">
      <c r="A1527">
        <v>1111.1344039999999</v>
      </c>
      <c r="B1527" s="1">
        <f>DATE(2013,5,16) + TIME(3,13,32)</f>
        <v>41410.134398148148</v>
      </c>
      <c r="C1527">
        <v>80</v>
      </c>
      <c r="D1527">
        <v>79.957885742000002</v>
      </c>
      <c r="E1527">
        <v>50</v>
      </c>
      <c r="F1527">
        <v>48.828464508000003</v>
      </c>
      <c r="G1527">
        <v>1387.6317139</v>
      </c>
      <c r="H1527">
        <v>1373.0290527</v>
      </c>
      <c r="I1527">
        <v>1287.1402588000001</v>
      </c>
      <c r="J1527">
        <v>1268.0449219</v>
      </c>
      <c r="K1527">
        <v>2400</v>
      </c>
      <c r="L1527">
        <v>0</v>
      </c>
      <c r="M1527">
        <v>0</v>
      </c>
      <c r="N1527">
        <v>2400</v>
      </c>
    </row>
    <row r="1528" spans="1:14" x14ac:dyDescent="0.25">
      <c r="A1528">
        <v>1111.5659089999999</v>
      </c>
      <c r="B1528" s="1">
        <f>DATE(2013,5,16) + TIME(13,34,54)</f>
        <v>41410.56590277778</v>
      </c>
      <c r="C1528">
        <v>80</v>
      </c>
      <c r="D1528">
        <v>79.957870482999994</v>
      </c>
      <c r="E1528">
        <v>50</v>
      </c>
      <c r="F1528">
        <v>48.800369263</v>
      </c>
      <c r="G1528">
        <v>1387.5714111</v>
      </c>
      <c r="H1528">
        <v>1372.9812012</v>
      </c>
      <c r="I1528">
        <v>1287.1300048999999</v>
      </c>
      <c r="J1528">
        <v>1268.0323486</v>
      </c>
      <c r="K1528">
        <v>2400</v>
      </c>
      <c r="L1528">
        <v>0</v>
      </c>
      <c r="M1528">
        <v>0</v>
      </c>
      <c r="N1528">
        <v>2400</v>
      </c>
    </row>
    <row r="1529" spans="1:14" x14ac:dyDescent="0.25">
      <c r="A1529">
        <v>1112.0095260000001</v>
      </c>
      <c r="B1529" s="1">
        <f>DATE(2013,5,17) + TIME(0,13,43)</f>
        <v>41411.009525462963</v>
      </c>
      <c r="C1529">
        <v>80</v>
      </c>
      <c r="D1529">
        <v>79.957855225000003</v>
      </c>
      <c r="E1529">
        <v>50</v>
      </c>
      <c r="F1529">
        <v>48.771667479999998</v>
      </c>
      <c r="G1529">
        <v>1387.5109863</v>
      </c>
      <c r="H1529">
        <v>1372.9332274999999</v>
      </c>
      <c r="I1529">
        <v>1287.1195068</v>
      </c>
      <c r="J1529">
        <v>1268.0194091999999</v>
      </c>
      <c r="K1529">
        <v>2400</v>
      </c>
      <c r="L1529">
        <v>0</v>
      </c>
      <c r="M1529">
        <v>0</v>
      </c>
      <c r="N1529">
        <v>2400</v>
      </c>
    </row>
    <row r="1530" spans="1:14" x14ac:dyDescent="0.25">
      <c r="A1530">
        <v>1112.4669980000001</v>
      </c>
      <c r="B1530" s="1">
        <f>DATE(2013,5,17) + TIME(11,12,28)</f>
        <v>41411.466990740744</v>
      </c>
      <c r="C1530">
        <v>80</v>
      </c>
      <c r="D1530">
        <v>79.957839965999995</v>
      </c>
      <c r="E1530">
        <v>50</v>
      </c>
      <c r="F1530">
        <v>48.742275237999998</v>
      </c>
      <c r="G1530">
        <v>1387.4500731999999</v>
      </c>
      <c r="H1530">
        <v>1372.8850098</v>
      </c>
      <c r="I1530">
        <v>1287.1086425999999</v>
      </c>
      <c r="J1530">
        <v>1268.0061035000001</v>
      </c>
      <c r="K1530">
        <v>2400</v>
      </c>
      <c r="L1530">
        <v>0</v>
      </c>
      <c r="M1530">
        <v>0</v>
      </c>
      <c r="N1530">
        <v>2400</v>
      </c>
    </row>
    <row r="1531" spans="1:14" x14ac:dyDescent="0.25">
      <c r="A1531">
        <v>1112.9325799999999</v>
      </c>
      <c r="B1531" s="1">
        <f>DATE(2013,5,17) + TIME(22,22,54)</f>
        <v>41411.932569444441</v>
      </c>
      <c r="C1531">
        <v>80</v>
      </c>
      <c r="D1531">
        <v>79.957817078000005</v>
      </c>
      <c r="E1531">
        <v>50</v>
      </c>
      <c r="F1531">
        <v>48.712402343999997</v>
      </c>
      <c r="G1531">
        <v>1387.3886719</v>
      </c>
      <c r="H1531">
        <v>1372.8363036999999</v>
      </c>
      <c r="I1531">
        <v>1287.0974120999999</v>
      </c>
      <c r="J1531">
        <v>1267.9923096</v>
      </c>
      <c r="K1531">
        <v>2400</v>
      </c>
      <c r="L1531">
        <v>0</v>
      </c>
      <c r="M1531">
        <v>0</v>
      </c>
      <c r="N1531">
        <v>2400</v>
      </c>
    </row>
    <row r="1532" spans="1:14" x14ac:dyDescent="0.25">
      <c r="A1532">
        <v>1113.4067749999999</v>
      </c>
      <c r="B1532" s="1">
        <f>DATE(2013,5,18) + TIME(9,45,45)</f>
        <v>41412.406770833331</v>
      </c>
      <c r="C1532">
        <v>80</v>
      </c>
      <c r="D1532">
        <v>79.957801818999997</v>
      </c>
      <c r="E1532">
        <v>50</v>
      </c>
      <c r="F1532">
        <v>48.682060241999999</v>
      </c>
      <c r="G1532">
        <v>1387.3275146000001</v>
      </c>
      <c r="H1532">
        <v>1372.7878418</v>
      </c>
      <c r="I1532">
        <v>1287.0859375</v>
      </c>
      <c r="J1532">
        <v>1267.9782714999999</v>
      </c>
      <c r="K1532">
        <v>2400</v>
      </c>
      <c r="L1532">
        <v>0</v>
      </c>
      <c r="M1532">
        <v>0</v>
      </c>
      <c r="N1532">
        <v>2400</v>
      </c>
    </row>
    <row r="1533" spans="1:14" x14ac:dyDescent="0.25">
      <c r="A1533">
        <v>1113.890819</v>
      </c>
      <c r="B1533" s="1">
        <f>DATE(2013,5,18) + TIME(21,22,46)</f>
        <v>41412.890810185185</v>
      </c>
      <c r="C1533">
        <v>80</v>
      </c>
      <c r="D1533">
        <v>79.957786560000002</v>
      </c>
      <c r="E1533">
        <v>50</v>
      </c>
      <c r="F1533">
        <v>48.651214600000003</v>
      </c>
      <c r="G1533">
        <v>1387.2666016000001</v>
      </c>
      <c r="H1533">
        <v>1372.7395019999999</v>
      </c>
      <c r="I1533">
        <v>1287.0742187999999</v>
      </c>
      <c r="J1533">
        <v>1267.9638672000001</v>
      </c>
      <c r="K1533">
        <v>2400</v>
      </c>
      <c r="L1533">
        <v>0</v>
      </c>
      <c r="M1533">
        <v>0</v>
      </c>
      <c r="N1533">
        <v>2400</v>
      </c>
    </row>
    <row r="1534" spans="1:14" x14ac:dyDescent="0.25">
      <c r="A1534">
        <v>1114.3859970000001</v>
      </c>
      <c r="B1534" s="1">
        <f>DATE(2013,5,19) + TIME(9,15,50)</f>
        <v>41413.385995370372</v>
      </c>
      <c r="C1534">
        <v>80</v>
      </c>
      <c r="D1534">
        <v>79.957763671999999</v>
      </c>
      <c r="E1534">
        <v>50</v>
      </c>
      <c r="F1534">
        <v>48.619815826</v>
      </c>
      <c r="G1534">
        <v>1387.2055664</v>
      </c>
      <c r="H1534">
        <v>1372.6911620999999</v>
      </c>
      <c r="I1534">
        <v>1287.0622559000001</v>
      </c>
      <c r="J1534">
        <v>1267.9490966999999</v>
      </c>
      <c r="K1534">
        <v>2400</v>
      </c>
      <c r="L1534">
        <v>0</v>
      </c>
      <c r="M1534">
        <v>0</v>
      </c>
      <c r="N1534">
        <v>2400</v>
      </c>
    </row>
    <row r="1535" spans="1:14" x14ac:dyDescent="0.25">
      <c r="A1535">
        <v>1114.88617</v>
      </c>
      <c r="B1535" s="1">
        <f>DATE(2013,5,19) + TIME(21,16,5)</f>
        <v>41413.88616898148</v>
      </c>
      <c r="C1535">
        <v>80</v>
      </c>
      <c r="D1535">
        <v>79.957748413000004</v>
      </c>
      <c r="E1535">
        <v>50</v>
      </c>
      <c r="F1535">
        <v>48.588100433000001</v>
      </c>
      <c r="G1535">
        <v>1387.1445312000001</v>
      </c>
      <c r="H1535">
        <v>1372.6428223</v>
      </c>
      <c r="I1535">
        <v>1287.0498047000001</v>
      </c>
      <c r="J1535">
        <v>1267.9339600000001</v>
      </c>
      <c r="K1535">
        <v>2400</v>
      </c>
      <c r="L1535">
        <v>0</v>
      </c>
      <c r="M1535">
        <v>0</v>
      </c>
      <c r="N1535">
        <v>2400</v>
      </c>
    </row>
    <row r="1536" spans="1:14" x14ac:dyDescent="0.25">
      <c r="A1536">
        <v>1115.3928519999999</v>
      </c>
      <c r="B1536" s="1">
        <f>DATE(2013,5,20) + TIME(9,25,42)</f>
        <v>41414.392847222225</v>
      </c>
      <c r="C1536">
        <v>80</v>
      </c>
      <c r="D1536">
        <v>79.957725525000001</v>
      </c>
      <c r="E1536">
        <v>50</v>
      </c>
      <c r="F1536">
        <v>48.556064606</v>
      </c>
      <c r="G1536">
        <v>1387.0841064000001</v>
      </c>
      <c r="H1536">
        <v>1372.5948486</v>
      </c>
      <c r="I1536">
        <v>1287.0373535000001</v>
      </c>
      <c r="J1536">
        <v>1267.9187012</v>
      </c>
      <c r="K1536">
        <v>2400</v>
      </c>
      <c r="L1536">
        <v>0</v>
      </c>
      <c r="M1536">
        <v>0</v>
      </c>
      <c r="N1536">
        <v>2400</v>
      </c>
    </row>
    <row r="1537" spans="1:14" x14ac:dyDescent="0.25">
      <c r="A1537">
        <v>1115.9075310000001</v>
      </c>
      <c r="B1537" s="1">
        <f>DATE(2013,5,20) + TIME(21,46,50)</f>
        <v>41414.907523148147</v>
      </c>
      <c r="C1537">
        <v>80</v>
      </c>
      <c r="D1537">
        <v>79.957710266000007</v>
      </c>
      <c r="E1537">
        <v>50</v>
      </c>
      <c r="F1537">
        <v>48.523666382000002</v>
      </c>
      <c r="G1537">
        <v>1387.0240478999999</v>
      </c>
      <c r="H1537">
        <v>1372.5473632999999</v>
      </c>
      <c r="I1537">
        <v>1287.0246582</v>
      </c>
      <c r="J1537">
        <v>1267.9030762</v>
      </c>
      <c r="K1537">
        <v>2400</v>
      </c>
      <c r="L1537">
        <v>0</v>
      </c>
      <c r="M1537">
        <v>0</v>
      </c>
      <c r="N1537">
        <v>2400</v>
      </c>
    </row>
    <row r="1538" spans="1:14" x14ac:dyDescent="0.25">
      <c r="A1538">
        <v>1116.431413</v>
      </c>
      <c r="B1538" s="1">
        <f>DATE(2013,5,21) + TIME(10,21,14)</f>
        <v>41415.43141203704</v>
      </c>
      <c r="C1538">
        <v>80</v>
      </c>
      <c r="D1538">
        <v>79.957687378000003</v>
      </c>
      <c r="E1538">
        <v>50</v>
      </c>
      <c r="F1538">
        <v>48.490856170999997</v>
      </c>
      <c r="G1538">
        <v>1386.9643555</v>
      </c>
      <c r="H1538">
        <v>1372.5</v>
      </c>
      <c r="I1538">
        <v>1287.0115966999999</v>
      </c>
      <c r="J1538">
        <v>1267.887207</v>
      </c>
      <c r="K1538">
        <v>2400</v>
      </c>
      <c r="L1538">
        <v>0</v>
      </c>
      <c r="M1538">
        <v>0</v>
      </c>
      <c r="N1538">
        <v>2400</v>
      </c>
    </row>
    <row r="1539" spans="1:14" x14ac:dyDescent="0.25">
      <c r="A1539">
        <v>1116.961624</v>
      </c>
      <c r="B1539" s="1">
        <f>DATE(2013,5,21) + TIME(23,4,44)</f>
        <v>41415.96162037037</v>
      </c>
      <c r="C1539">
        <v>80</v>
      </c>
      <c r="D1539">
        <v>79.957672118999994</v>
      </c>
      <c r="E1539">
        <v>50</v>
      </c>
      <c r="F1539">
        <v>48.457736969000003</v>
      </c>
      <c r="G1539">
        <v>1386.9047852000001</v>
      </c>
      <c r="H1539">
        <v>1372.4527588000001</v>
      </c>
      <c r="I1539">
        <v>1286.9984131000001</v>
      </c>
      <c r="J1539">
        <v>1267.8709716999999</v>
      </c>
      <c r="K1539">
        <v>2400</v>
      </c>
      <c r="L1539">
        <v>0</v>
      </c>
      <c r="M1539">
        <v>0</v>
      </c>
      <c r="N1539">
        <v>2400</v>
      </c>
    </row>
    <row r="1540" spans="1:14" x14ac:dyDescent="0.25">
      <c r="A1540">
        <v>1117.4996249999999</v>
      </c>
      <c r="B1540" s="1">
        <f>DATE(2013,5,22) + TIME(11,59,27)</f>
        <v>41416.499618055554</v>
      </c>
      <c r="C1540">
        <v>80</v>
      </c>
      <c r="D1540">
        <v>79.95765686</v>
      </c>
      <c r="E1540">
        <v>50</v>
      </c>
      <c r="F1540">
        <v>48.424278258999998</v>
      </c>
      <c r="G1540">
        <v>1386.8455810999999</v>
      </c>
      <c r="H1540">
        <v>1372.4058838000001</v>
      </c>
      <c r="I1540">
        <v>1286.9848632999999</v>
      </c>
      <c r="J1540">
        <v>1267.8543701000001</v>
      </c>
      <c r="K1540">
        <v>2400</v>
      </c>
      <c r="L1540">
        <v>0</v>
      </c>
      <c r="M1540">
        <v>0</v>
      </c>
      <c r="N1540">
        <v>2400</v>
      </c>
    </row>
    <row r="1541" spans="1:14" x14ac:dyDescent="0.25">
      <c r="A1541">
        <v>1118.0469069999999</v>
      </c>
      <c r="B1541" s="1">
        <f>DATE(2013,5,23) + TIME(1,7,32)</f>
        <v>41417.046898148146</v>
      </c>
      <c r="C1541">
        <v>80</v>
      </c>
      <c r="D1541">
        <v>79.957633971999996</v>
      </c>
      <c r="E1541">
        <v>50</v>
      </c>
      <c r="F1541">
        <v>48.390419006000002</v>
      </c>
      <c r="G1541">
        <v>1386.7867432</v>
      </c>
      <c r="H1541">
        <v>1372.3591309000001</v>
      </c>
      <c r="I1541">
        <v>1286.9711914</v>
      </c>
      <c r="J1541">
        <v>1267.8375243999999</v>
      </c>
      <c r="K1541">
        <v>2400</v>
      </c>
      <c r="L1541">
        <v>0</v>
      </c>
      <c r="M1541">
        <v>0</v>
      </c>
      <c r="N1541">
        <v>2400</v>
      </c>
    </row>
    <row r="1542" spans="1:14" x14ac:dyDescent="0.25">
      <c r="A1542">
        <v>1118.6050560000001</v>
      </c>
      <c r="B1542" s="1">
        <f>DATE(2013,5,23) + TIME(14,31,16)</f>
        <v>41417.605046296296</v>
      </c>
      <c r="C1542">
        <v>80</v>
      </c>
      <c r="D1542">
        <v>79.957618713000002</v>
      </c>
      <c r="E1542">
        <v>50</v>
      </c>
      <c r="F1542">
        <v>48.35609436</v>
      </c>
      <c r="G1542">
        <v>1386.7279053</v>
      </c>
      <c r="H1542">
        <v>1372.3126221</v>
      </c>
      <c r="I1542">
        <v>1286.9571533000001</v>
      </c>
      <c r="J1542">
        <v>1267.8203125</v>
      </c>
      <c r="K1542">
        <v>2400</v>
      </c>
      <c r="L1542">
        <v>0</v>
      </c>
      <c r="M1542">
        <v>0</v>
      </c>
      <c r="N1542">
        <v>2400</v>
      </c>
    </row>
    <row r="1543" spans="1:14" x14ac:dyDescent="0.25">
      <c r="A1543">
        <v>1119.1757769999999</v>
      </c>
      <c r="B1543" s="1">
        <f>DATE(2013,5,24) + TIME(4,13,7)</f>
        <v>41418.175775462965</v>
      </c>
      <c r="C1543">
        <v>80</v>
      </c>
      <c r="D1543">
        <v>79.957603454999997</v>
      </c>
      <c r="E1543">
        <v>50</v>
      </c>
      <c r="F1543">
        <v>48.321216583000002</v>
      </c>
      <c r="G1543">
        <v>1386.6691894999999</v>
      </c>
      <c r="H1543">
        <v>1372.2659911999999</v>
      </c>
      <c r="I1543">
        <v>1286.942749</v>
      </c>
      <c r="J1543">
        <v>1267.8026123</v>
      </c>
      <c r="K1543">
        <v>2400</v>
      </c>
      <c r="L1543">
        <v>0</v>
      </c>
      <c r="M1543">
        <v>0</v>
      </c>
      <c r="N1543">
        <v>2400</v>
      </c>
    </row>
    <row r="1544" spans="1:14" x14ac:dyDescent="0.25">
      <c r="A1544">
        <v>1119.7609399999999</v>
      </c>
      <c r="B1544" s="1">
        <f>DATE(2013,5,24) + TIME(18,15,45)</f>
        <v>41418.760937500003</v>
      </c>
      <c r="C1544">
        <v>80</v>
      </c>
      <c r="D1544">
        <v>79.957580566000004</v>
      </c>
      <c r="E1544">
        <v>50</v>
      </c>
      <c r="F1544">
        <v>48.285697937000002</v>
      </c>
      <c r="G1544">
        <v>1386.6101074000001</v>
      </c>
      <c r="H1544">
        <v>1372.2191161999999</v>
      </c>
      <c r="I1544">
        <v>1286.9281006000001</v>
      </c>
      <c r="J1544">
        <v>1267.7845459</v>
      </c>
      <c r="K1544">
        <v>2400</v>
      </c>
      <c r="L1544">
        <v>0</v>
      </c>
      <c r="M1544">
        <v>0</v>
      </c>
      <c r="N1544">
        <v>2400</v>
      </c>
    </row>
    <row r="1545" spans="1:14" x14ac:dyDescent="0.25">
      <c r="A1545">
        <v>1120.362766</v>
      </c>
      <c r="B1545" s="1">
        <f>DATE(2013,5,25) + TIME(8,42,22)</f>
        <v>41419.362754629627</v>
      </c>
      <c r="C1545">
        <v>80</v>
      </c>
      <c r="D1545">
        <v>79.957565308</v>
      </c>
      <c r="E1545">
        <v>50</v>
      </c>
      <c r="F1545">
        <v>48.249427795000003</v>
      </c>
      <c r="G1545">
        <v>1386.5507812000001</v>
      </c>
      <c r="H1545">
        <v>1372.1719971</v>
      </c>
      <c r="I1545">
        <v>1286.9128418</v>
      </c>
      <c r="J1545">
        <v>1267.7657471</v>
      </c>
      <c r="K1545">
        <v>2400</v>
      </c>
      <c r="L1545">
        <v>0</v>
      </c>
      <c r="M1545">
        <v>0</v>
      </c>
      <c r="N1545">
        <v>2400</v>
      </c>
    </row>
    <row r="1546" spans="1:14" x14ac:dyDescent="0.25">
      <c r="A1546">
        <v>1120.982669</v>
      </c>
      <c r="B1546" s="1">
        <f>DATE(2013,5,25) + TIME(23,35,2)</f>
        <v>41419.982662037037</v>
      </c>
      <c r="C1546">
        <v>80</v>
      </c>
      <c r="D1546">
        <v>79.957550049000005</v>
      </c>
      <c r="E1546">
        <v>50</v>
      </c>
      <c r="F1546">
        <v>48.212314606</v>
      </c>
      <c r="G1546">
        <v>1386.4908447</v>
      </c>
      <c r="H1546">
        <v>1372.1243896000001</v>
      </c>
      <c r="I1546">
        <v>1286.8970947</v>
      </c>
      <c r="J1546">
        <v>1267.7464600000001</v>
      </c>
      <c r="K1546">
        <v>2400</v>
      </c>
      <c r="L1546">
        <v>0</v>
      </c>
      <c r="M1546">
        <v>0</v>
      </c>
      <c r="N1546">
        <v>2400</v>
      </c>
    </row>
    <row r="1547" spans="1:14" x14ac:dyDescent="0.25">
      <c r="A1547">
        <v>1121.6147470000001</v>
      </c>
      <c r="B1547" s="1">
        <f>DATE(2013,5,26) + TIME(14,45,14)</f>
        <v>41420.614745370367</v>
      </c>
      <c r="C1547">
        <v>80</v>
      </c>
      <c r="D1547">
        <v>79.957534789999997</v>
      </c>
      <c r="E1547">
        <v>50</v>
      </c>
      <c r="F1547">
        <v>48.174530029000003</v>
      </c>
      <c r="G1547">
        <v>1386.4302978999999</v>
      </c>
      <c r="H1547">
        <v>1372.0762939000001</v>
      </c>
      <c r="I1547">
        <v>1286.8808594</v>
      </c>
      <c r="J1547">
        <v>1267.7264404</v>
      </c>
      <c r="K1547">
        <v>2400</v>
      </c>
      <c r="L1547">
        <v>0</v>
      </c>
      <c r="M1547">
        <v>0</v>
      </c>
      <c r="N1547">
        <v>2400</v>
      </c>
    </row>
    <row r="1548" spans="1:14" x14ac:dyDescent="0.25">
      <c r="A1548">
        <v>1122.2517580000001</v>
      </c>
      <c r="B1548" s="1">
        <f>DATE(2013,5,27) + TIME(6,2,31)</f>
        <v>41421.251747685186</v>
      </c>
      <c r="C1548">
        <v>80</v>
      </c>
      <c r="D1548">
        <v>79.957519531000003</v>
      </c>
      <c r="E1548">
        <v>50</v>
      </c>
      <c r="F1548">
        <v>48.136367798000002</v>
      </c>
      <c r="G1548">
        <v>1386.369751</v>
      </c>
      <c r="H1548">
        <v>1372.0281981999999</v>
      </c>
      <c r="I1548">
        <v>1286.8641356999999</v>
      </c>
      <c r="J1548">
        <v>1267.7059326000001</v>
      </c>
      <c r="K1548">
        <v>2400</v>
      </c>
      <c r="L1548">
        <v>0</v>
      </c>
      <c r="M1548">
        <v>0</v>
      </c>
      <c r="N1548">
        <v>2400</v>
      </c>
    </row>
    <row r="1549" spans="1:14" x14ac:dyDescent="0.25">
      <c r="A1549">
        <v>1122.8947430000001</v>
      </c>
      <c r="B1549" s="1">
        <f>DATE(2013,5,27) + TIME(21,28,25)</f>
        <v>41421.894733796296</v>
      </c>
      <c r="C1549">
        <v>80</v>
      </c>
      <c r="D1549">
        <v>79.957504271999994</v>
      </c>
      <c r="E1549">
        <v>50</v>
      </c>
      <c r="F1549">
        <v>48.097896575999997</v>
      </c>
      <c r="G1549">
        <v>1386.3096923999999</v>
      </c>
      <c r="H1549">
        <v>1371.9804687999999</v>
      </c>
      <c r="I1549">
        <v>1286.847168</v>
      </c>
      <c r="J1549">
        <v>1267.6850586</v>
      </c>
      <c r="K1549">
        <v>2400</v>
      </c>
      <c r="L1549">
        <v>0</v>
      </c>
      <c r="M1549">
        <v>0</v>
      </c>
      <c r="N1549">
        <v>2400</v>
      </c>
    </row>
    <row r="1550" spans="1:14" x14ac:dyDescent="0.25">
      <c r="A1550">
        <v>1123.545607</v>
      </c>
      <c r="B1550" s="1">
        <f>DATE(2013,5,28) + TIME(13,5,40)</f>
        <v>41422.545601851853</v>
      </c>
      <c r="C1550">
        <v>80</v>
      </c>
      <c r="D1550">
        <v>79.957489014000004</v>
      </c>
      <c r="E1550">
        <v>50</v>
      </c>
      <c r="F1550">
        <v>48.059097289999997</v>
      </c>
      <c r="G1550">
        <v>1386.2502440999999</v>
      </c>
      <c r="H1550">
        <v>1371.9332274999999</v>
      </c>
      <c r="I1550">
        <v>1286.8299560999999</v>
      </c>
      <c r="J1550">
        <v>1267.6638184000001</v>
      </c>
      <c r="K1550">
        <v>2400</v>
      </c>
      <c r="L1550">
        <v>0</v>
      </c>
      <c r="M1550">
        <v>0</v>
      </c>
      <c r="N1550">
        <v>2400</v>
      </c>
    </row>
    <row r="1551" spans="1:14" x14ac:dyDescent="0.25">
      <c r="A1551">
        <v>1124.2063029999999</v>
      </c>
      <c r="B1551" s="1">
        <f>DATE(2013,5,29) + TIME(4,57,4)</f>
        <v>41423.206296296295</v>
      </c>
      <c r="C1551">
        <v>80</v>
      </c>
      <c r="D1551">
        <v>79.957473754999995</v>
      </c>
      <c r="E1551">
        <v>50</v>
      </c>
      <c r="F1551">
        <v>48.019916533999996</v>
      </c>
      <c r="G1551">
        <v>1386.1911620999999</v>
      </c>
      <c r="H1551">
        <v>1371.8862305</v>
      </c>
      <c r="I1551">
        <v>1286.8123779</v>
      </c>
      <c r="J1551">
        <v>1267.6422118999999</v>
      </c>
      <c r="K1551">
        <v>2400</v>
      </c>
      <c r="L1551">
        <v>0</v>
      </c>
      <c r="M1551">
        <v>0</v>
      </c>
      <c r="N1551">
        <v>2400</v>
      </c>
    </row>
    <row r="1552" spans="1:14" x14ac:dyDescent="0.25">
      <c r="A1552">
        <v>1124.878872</v>
      </c>
      <c r="B1552" s="1">
        <f>DATE(2013,5,29) + TIME(21,5,34)</f>
        <v>41423.878865740742</v>
      </c>
      <c r="C1552">
        <v>80</v>
      </c>
      <c r="D1552">
        <v>79.957458496000001</v>
      </c>
      <c r="E1552">
        <v>50</v>
      </c>
      <c r="F1552">
        <v>47.980274199999997</v>
      </c>
      <c r="G1552">
        <v>1386.1323242000001</v>
      </c>
      <c r="H1552">
        <v>1371.8393555</v>
      </c>
      <c r="I1552">
        <v>1286.7944336</v>
      </c>
      <c r="J1552">
        <v>1267.6201172000001</v>
      </c>
      <c r="K1552">
        <v>2400</v>
      </c>
      <c r="L1552">
        <v>0</v>
      </c>
      <c r="M1552">
        <v>0</v>
      </c>
      <c r="N1552">
        <v>2400</v>
      </c>
    </row>
    <row r="1553" spans="1:14" x14ac:dyDescent="0.25">
      <c r="A1553">
        <v>1125.5654609999999</v>
      </c>
      <c r="B1553" s="1">
        <f>DATE(2013,5,30) + TIME(13,34,15)</f>
        <v>41424.565451388888</v>
      </c>
      <c r="C1553">
        <v>80</v>
      </c>
      <c r="D1553">
        <v>79.957443237000007</v>
      </c>
      <c r="E1553">
        <v>50</v>
      </c>
      <c r="F1553">
        <v>47.940067290999998</v>
      </c>
      <c r="G1553">
        <v>1386.0733643000001</v>
      </c>
      <c r="H1553">
        <v>1371.7924805</v>
      </c>
      <c r="I1553">
        <v>1286.7761230000001</v>
      </c>
      <c r="J1553">
        <v>1267.5974120999999</v>
      </c>
      <c r="K1553">
        <v>2400</v>
      </c>
      <c r="L1553">
        <v>0</v>
      </c>
      <c r="M1553">
        <v>0</v>
      </c>
      <c r="N1553">
        <v>2400</v>
      </c>
    </row>
    <row r="1554" spans="1:14" x14ac:dyDescent="0.25">
      <c r="A1554">
        <v>1126.2643350000001</v>
      </c>
      <c r="B1554" s="1">
        <f>DATE(2013,5,31) + TIME(6,20,38)</f>
        <v>41425.264328703706</v>
      </c>
      <c r="C1554">
        <v>80</v>
      </c>
      <c r="D1554">
        <v>79.957427979000002</v>
      </c>
      <c r="E1554">
        <v>50</v>
      </c>
      <c r="F1554">
        <v>47.899311066000003</v>
      </c>
      <c r="G1554">
        <v>1386.0142822</v>
      </c>
      <c r="H1554">
        <v>1371.7453613</v>
      </c>
      <c r="I1554">
        <v>1286.7572021000001</v>
      </c>
      <c r="J1554">
        <v>1267.5739745999999</v>
      </c>
      <c r="K1554">
        <v>2400</v>
      </c>
      <c r="L1554">
        <v>0</v>
      </c>
      <c r="M1554">
        <v>0</v>
      </c>
      <c r="N1554">
        <v>2400</v>
      </c>
    </row>
    <row r="1555" spans="1:14" x14ac:dyDescent="0.25">
      <c r="A1555">
        <v>1126.6321680000001</v>
      </c>
      <c r="B1555" s="1">
        <f>DATE(2013,5,31) + TIME(15,10,19)</f>
        <v>41425.632164351853</v>
      </c>
      <c r="C1555">
        <v>80</v>
      </c>
      <c r="D1555">
        <v>79.957412719999994</v>
      </c>
      <c r="E1555">
        <v>50</v>
      </c>
      <c r="F1555">
        <v>47.872005463000001</v>
      </c>
      <c r="G1555">
        <v>1385.9550781</v>
      </c>
      <c r="H1555">
        <v>1371.6982422000001</v>
      </c>
      <c r="I1555">
        <v>1286.7364502</v>
      </c>
      <c r="J1555">
        <v>1267.5513916</v>
      </c>
      <c r="K1555">
        <v>2400</v>
      </c>
      <c r="L1555">
        <v>0</v>
      </c>
      <c r="M1555">
        <v>0</v>
      </c>
      <c r="N1555">
        <v>2400</v>
      </c>
    </row>
    <row r="1556" spans="1:14" x14ac:dyDescent="0.25">
      <c r="A1556">
        <v>1127</v>
      </c>
      <c r="B1556" s="1">
        <f>DATE(2013,6,1) + TIME(0,0,0)</f>
        <v>41426</v>
      </c>
      <c r="C1556">
        <v>80</v>
      </c>
      <c r="D1556">
        <v>79.957405089999995</v>
      </c>
      <c r="E1556">
        <v>50</v>
      </c>
      <c r="F1556">
        <v>47.846412659000002</v>
      </c>
      <c r="G1556">
        <v>1385.9241943</v>
      </c>
      <c r="H1556">
        <v>1371.6734618999999</v>
      </c>
      <c r="I1556">
        <v>1286.7263184000001</v>
      </c>
      <c r="J1556">
        <v>1267.5379639</v>
      </c>
      <c r="K1556">
        <v>2400</v>
      </c>
      <c r="L1556">
        <v>0</v>
      </c>
      <c r="M1556">
        <v>0</v>
      </c>
      <c r="N1556">
        <v>2400</v>
      </c>
    </row>
    <row r="1557" spans="1:14" x14ac:dyDescent="0.25">
      <c r="A1557">
        <v>1127.7329580000001</v>
      </c>
      <c r="B1557" s="1">
        <f>DATE(2013,6,1) + TIME(17,35,27)</f>
        <v>41426.732951388891</v>
      </c>
      <c r="C1557">
        <v>80</v>
      </c>
      <c r="D1557">
        <v>79.957397460999999</v>
      </c>
      <c r="E1557">
        <v>50</v>
      </c>
      <c r="F1557">
        <v>47.808914184999999</v>
      </c>
      <c r="G1557">
        <v>1385.8939209</v>
      </c>
      <c r="H1557">
        <v>1371.6492920000001</v>
      </c>
      <c r="I1557">
        <v>1286.7176514</v>
      </c>
      <c r="J1557">
        <v>1267.5236815999999</v>
      </c>
      <c r="K1557">
        <v>2400</v>
      </c>
      <c r="L1557">
        <v>0</v>
      </c>
      <c r="M1557">
        <v>0</v>
      </c>
      <c r="N1557">
        <v>2400</v>
      </c>
    </row>
    <row r="1558" spans="1:14" x14ac:dyDescent="0.25">
      <c r="A1558">
        <v>1128.4696289999999</v>
      </c>
      <c r="B1558" s="1">
        <f>DATE(2013,6,2) + TIME(11,16,15)</f>
        <v>41427.469618055555</v>
      </c>
      <c r="C1558">
        <v>80</v>
      </c>
      <c r="D1558">
        <v>79.957389832000004</v>
      </c>
      <c r="E1558">
        <v>50</v>
      </c>
      <c r="F1558">
        <v>47.768894195999998</v>
      </c>
      <c r="G1558">
        <v>1385.8343506000001</v>
      </c>
      <c r="H1558">
        <v>1371.6018065999999</v>
      </c>
      <c r="I1558">
        <v>1286.6968993999999</v>
      </c>
      <c r="J1558">
        <v>1267.4985352000001</v>
      </c>
      <c r="K1558">
        <v>2400</v>
      </c>
      <c r="L1558">
        <v>0</v>
      </c>
      <c r="M1558">
        <v>0</v>
      </c>
      <c r="N1558">
        <v>2400</v>
      </c>
    </row>
    <row r="1559" spans="1:14" x14ac:dyDescent="0.25">
      <c r="A1559">
        <v>1129.223831</v>
      </c>
      <c r="B1559" s="1">
        <f>DATE(2013,6,3) + TIME(5,22,18)</f>
        <v>41428.223819444444</v>
      </c>
      <c r="C1559">
        <v>80</v>
      </c>
      <c r="D1559">
        <v>79.957374572999996</v>
      </c>
      <c r="E1559">
        <v>50</v>
      </c>
      <c r="F1559">
        <v>47.727066039999997</v>
      </c>
      <c r="G1559">
        <v>1385.7751464999999</v>
      </c>
      <c r="H1559">
        <v>1371.5545654</v>
      </c>
      <c r="I1559">
        <v>1286.6757812000001</v>
      </c>
      <c r="J1559">
        <v>1267.4726562000001</v>
      </c>
      <c r="K1559">
        <v>2400</v>
      </c>
      <c r="L1559">
        <v>0</v>
      </c>
      <c r="M1559">
        <v>0</v>
      </c>
      <c r="N1559">
        <v>2400</v>
      </c>
    </row>
    <row r="1560" spans="1:14" x14ac:dyDescent="0.25">
      <c r="A1560">
        <v>1129.9979860000001</v>
      </c>
      <c r="B1560" s="1">
        <f>DATE(2013,6,3) + TIME(23,57,6)</f>
        <v>41428.997986111113</v>
      </c>
      <c r="C1560">
        <v>80</v>
      </c>
      <c r="D1560">
        <v>79.957366942999997</v>
      </c>
      <c r="E1560">
        <v>50</v>
      </c>
      <c r="F1560">
        <v>47.683792113999999</v>
      </c>
      <c r="G1560">
        <v>1385.7156981999999</v>
      </c>
      <c r="H1560">
        <v>1371.5069579999999</v>
      </c>
      <c r="I1560">
        <v>1286.6541748</v>
      </c>
      <c r="J1560">
        <v>1267.4458007999999</v>
      </c>
      <c r="K1560">
        <v>2400</v>
      </c>
      <c r="L1560">
        <v>0</v>
      </c>
      <c r="M1560">
        <v>0</v>
      </c>
      <c r="N1560">
        <v>2400</v>
      </c>
    </row>
    <row r="1561" spans="1:14" x14ac:dyDescent="0.25">
      <c r="A1561">
        <v>1130.781929</v>
      </c>
      <c r="B1561" s="1">
        <f>DATE(2013,6,4) + TIME(18,45,58)</f>
        <v>41429.781921296293</v>
      </c>
      <c r="C1561">
        <v>80</v>
      </c>
      <c r="D1561">
        <v>79.957359314000001</v>
      </c>
      <c r="E1561">
        <v>50</v>
      </c>
      <c r="F1561">
        <v>47.639583588000001</v>
      </c>
      <c r="G1561">
        <v>1385.6556396000001</v>
      </c>
      <c r="H1561">
        <v>1371.4588623</v>
      </c>
      <c r="I1561">
        <v>1286.6317139</v>
      </c>
      <c r="J1561">
        <v>1267.4179687999999</v>
      </c>
      <c r="K1561">
        <v>2400</v>
      </c>
      <c r="L1561">
        <v>0</v>
      </c>
      <c r="M1561">
        <v>0</v>
      </c>
      <c r="N1561">
        <v>2400</v>
      </c>
    </row>
    <row r="1562" spans="1:14" x14ac:dyDescent="0.25">
      <c r="A1562">
        <v>1131.56889</v>
      </c>
      <c r="B1562" s="1">
        <f>DATE(2013,6,5) + TIME(13,39,12)</f>
        <v>41430.568888888891</v>
      </c>
      <c r="C1562">
        <v>80</v>
      </c>
      <c r="D1562">
        <v>79.957344054999993</v>
      </c>
      <c r="E1562">
        <v>50</v>
      </c>
      <c r="F1562">
        <v>47.594894408999998</v>
      </c>
      <c r="G1562">
        <v>1385.5958252</v>
      </c>
      <c r="H1562">
        <v>1371.4110106999999</v>
      </c>
      <c r="I1562">
        <v>1286.6087646000001</v>
      </c>
      <c r="J1562">
        <v>1267.3895264</v>
      </c>
      <c r="K1562">
        <v>2400</v>
      </c>
      <c r="L1562">
        <v>0</v>
      </c>
      <c r="M1562">
        <v>0</v>
      </c>
      <c r="N1562">
        <v>2400</v>
      </c>
    </row>
    <row r="1563" spans="1:14" x14ac:dyDescent="0.25">
      <c r="A1563">
        <v>1132.3611069999999</v>
      </c>
      <c r="B1563" s="1">
        <f>DATE(2013,6,6) + TIME(8,39,59)</f>
        <v>41431.36109953704</v>
      </c>
      <c r="C1563">
        <v>80</v>
      </c>
      <c r="D1563">
        <v>79.957336425999998</v>
      </c>
      <c r="E1563">
        <v>50</v>
      </c>
      <c r="F1563">
        <v>47.549877166999998</v>
      </c>
      <c r="G1563">
        <v>1385.5367432</v>
      </c>
      <c r="H1563">
        <v>1371.3637695</v>
      </c>
      <c r="I1563">
        <v>1286.5855713000001</v>
      </c>
      <c r="J1563">
        <v>1267.3604736</v>
      </c>
      <c r="K1563">
        <v>2400</v>
      </c>
      <c r="L1563">
        <v>0</v>
      </c>
      <c r="M1563">
        <v>0</v>
      </c>
      <c r="N1563">
        <v>2400</v>
      </c>
    </row>
    <row r="1564" spans="1:14" x14ac:dyDescent="0.25">
      <c r="A1564">
        <v>1133.160797</v>
      </c>
      <c r="B1564" s="1">
        <f>DATE(2013,6,7) + TIME(3,51,32)</f>
        <v>41432.160787037035</v>
      </c>
      <c r="C1564">
        <v>80</v>
      </c>
      <c r="D1564">
        <v>79.957328795999999</v>
      </c>
      <c r="E1564">
        <v>50</v>
      </c>
      <c r="F1564">
        <v>47.504558563000003</v>
      </c>
      <c r="G1564">
        <v>1385.4783935999999</v>
      </c>
      <c r="H1564">
        <v>1371.3168945</v>
      </c>
      <c r="I1564">
        <v>1286.5618896000001</v>
      </c>
      <c r="J1564">
        <v>1267.3309326000001</v>
      </c>
      <c r="K1564">
        <v>2400</v>
      </c>
      <c r="L1564">
        <v>0</v>
      </c>
      <c r="M1564">
        <v>0</v>
      </c>
      <c r="N1564">
        <v>2400</v>
      </c>
    </row>
    <row r="1565" spans="1:14" x14ac:dyDescent="0.25">
      <c r="A1565">
        <v>1133.970206</v>
      </c>
      <c r="B1565" s="1">
        <f>DATE(2013,6,7) + TIME(23,17,5)</f>
        <v>41432.970196759263</v>
      </c>
      <c r="C1565">
        <v>80</v>
      </c>
      <c r="D1565">
        <v>79.957321167000003</v>
      </c>
      <c r="E1565">
        <v>50</v>
      </c>
      <c r="F1565">
        <v>47.458881378000001</v>
      </c>
      <c r="G1565">
        <v>1385.4202881000001</v>
      </c>
      <c r="H1565">
        <v>1371.2702637</v>
      </c>
      <c r="I1565">
        <v>1286.5378418</v>
      </c>
      <c r="J1565">
        <v>1267.3006591999999</v>
      </c>
      <c r="K1565">
        <v>2400</v>
      </c>
      <c r="L1565">
        <v>0</v>
      </c>
      <c r="M1565">
        <v>0</v>
      </c>
      <c r="N1565">
        <v>2400</v>
      </c>
    </row>
    <row r="1566" spans="1:14" x14ac:dyDescent="0.25">
      <c r="A1566">
        <v>1134.7916540000001</v>
      </c>
      <c r="B1566" s="1">
        <f>DATE(2013,6,8) + TIME(18,59,58)</f>
        <v>41433.791643518518</v>
      </c>
      <c r="C1566">
        <v>80</v>
      </c>
      <c r="D1566">
        <v>79.957305907999995</v>
      </c>
      <c r="E1566">
        <v>50</v>
      </c>
      <c r="F1566">
        <v>47.412757874</v>
      </c>
      <c r="G1566">
        <v>1385.3624268000001</v>
      </c>
      <c r="H1566">
        <v>1371.2238769999999</v>
      </c>
      <c r="I1566">
        <v>1286.5131836</v>
      </c>
      <c r="J1566">
        <v>1267.2696533000001</v>
      </c>
      <c r="K1566">
        <v>2400</v>
      </c>
      <c r="L1566">
        <v>0</v>
      </c>
      <c r="M1566">
        <v>0</v>
      </c>
      <c r="N1566">
        <v>2400</v>
      </c>
    </row>
    <row r="1567" spans="1:14" x14ac:dyDescent="0.25">
      <c r="A1567">
        <v>1135.6275740000001</v>
      </c>
      <c r="B1567" s="1">
        <f>DATE(2013,6,9) + TIME(15,3,42)</f>
        <v>41434.627569444441</v>
      </c>
      <c r="C1567">
        <v>80</v>
      </c>
      <c r="D1567">
        <v>79.957298279</v>
      </c>
      <c r="E1567">
        <v>50</v>
      </c>
      <c r="F1567">
        <v>47.366077423</v>
      </c>
      <c r="G1567">
        <v>1385.3046875</v>
      </c>
      <c r="H1567">
        <v>1371.1774902</v>
      </c>
      <c r="I1567">
        <v>1286.4880370999999</v>
      </c>
      <c r="J1567">
        <v>1267.237793</v>
      </c>
      <c r="K1567">
        <v>2400</v>
      </c>
      <c r="L1567">
        <v>0</v>
      </c>
      <c r="M1567">
        <v>0</v>
      </c>
      <c r="N1567">
        <v>2400</v>
      </c>
    </row>
    <row r="1568" spans="1:14" x14ac:dyDescent="0.25">
      <c r="A1568">
        <v>1136.480548</v>
      </c>
      <c r="B1568" s="1">
        <f>DATE(2013,6,10) + TIME(11,31,59)</f>
        <v>41435.480543981481</v>
      </c>
      <c r="C1568">
        <v>80</v>
      </c>
      <c r="D1568">
        <v>79.957290649000001</v>
      </c>
      <c r="E1568">
        <v>50</v>
      </c>
      <c r="F1568">
        <v>47.318710326999998</v>
      </c>
      <c r="G1568">
        <v>1385.2468262</v>
      </c>
      <c r="H1568">
        <v>1371.1308594</v>
      </c>
      <c r="I1568">
        <v>1286.4620361</v>
      </c>
      <c r="J1568">
        <v>1267.2049560999999</v>
      </c>
      <c r="K1568">
        <v>2400</v>
      </c>
      <c r="L1568">
        <v>0</v>
      </c>
      <c r="M1568">
        <v>0</v>
      </c>
      <c r="N1568">
        <v>2400</v>
      </c>
    </row>
    <row r="1569" spans="1:14" x14ac:dyDescent="0.25">
      <c r="A1569">
        <v>1137.3534059999999</v>
      </c>
      <c r="B1569" s="1">
        <f>DATE(2013,6,11) + TIME(8,28,54)</f>
        <v>41436.353402777779</v>
      </c>
      <c r="C1569">
        <v>80</v>
      </c>
      <c r="D1569">
        <v>79.957290649000001</v>
      </c>
      <c r="E1569">
        <v>50</v>
      </c>
      <c r="F1569">
        <v>47.270511626999998</v>
      </c>
      <c r="G1569">
        <v>1385.1887207</v>
      </c>
      <c r="H1569">
        <v>1371.0841064000001</v>
      </c>
      <c r="I1569">
        <v>1286.4351807</v>
      </c>
      <c r="J1569">
        <v>1267.1708983999999</v>
      </c>
      <c r="K1569">
        <v>2400</v>
      </c>
      <c r="L1569">
        <v>0</v>
      </c>
      <c r="M1569">
        <v>0</v>
      </c>
      <c r="N1569">
        <v>2400</v>
      </c>
    </row>
    <row r="1570" spans="1:14" x14ac:dyDescent="0.25">
      <c r="A1570">
        <v>1138.24983</v>
      </c>
      <c r="B1570" s="1">
        <f>DATE(2013,6,12) + TIME(5,59,45)</f>
        <v>41437.249826388892</v>
      </c>
      <c r="C1570">
        <v>80</v>
      </c>
      <c r="D1570">
        <v>79.957283020000006</v>
      </c>
      <c r="E1570">
        <v>50</v>
      </c>
      <c r="F1570">
        <v>47.221305846999996</v>
      </c>
      <c r="G1570">
        <v>1385.1301269999999</v>
      </c>
      <c r="H1570">
        <v>1371.0368652</v>
      </c>
      <c r="I1570">
        <v>1286.4073486</v>
      </c>
      <c r="J1570">
        <v>1267.1356201000001</v>
      </c>
      <c r="K1570">
        <v>2400</v>
      </c>
      <c r="L1570">
        <v>0</v>
      </c>
      <c r="M1570">
        <v>0</v>
      </c>
      <c r="N1570">
        <v>2400</v>
      </c>
    </row>
    <row r="1571" spans="1:14" x14ac:dyDescent="0.25">
      <c r="A1571">
        <v>1139.164722</v>
      </c>
      <c r="B1571" s="1">
        <f>DATE(2013,6,13) + TIME(3,57,12)</f>
        <v>41438.164722222224</v>
      </c>
      <c r="C1571">
        <v>80</v>
      </c>
      <c r="D1571">
        <v>79.957275390999996</v>
      </c>
      <c r="E1571">
        <v>50</v>
      </c>
      <c r="F1571">
        <v>47.171146393000001</v>
      </c>
      <c r="G1571">
        <v>1385.0710449000001</v>
      </c>
      <c r="H1571">
        <v>1370.9891356999999</v>
      </c>
      <c r="I1571">
        <v>1286.3785399999999</v>
      </c>
      <c r="J1571">
        <v>1267.0988769999999</v>
      </c>
      <c r="K1571">
        <v>2400</v>
      </c>
      <c r="L1571">
        <v>0</v>
      </c>
      <c r="M1571">
        <v>0</v>
      </c>
      <c r="N1571">
        <v>2400</v>
      </c>
    </row>
    <row r="1572" spans="1:14" x14ac:dyDescent="0.25">
      <c r="A1572">
        <v>1140.0955980000001</v>
      </c>
      <c r="B1572" s="1">
        <f>DATE(2013,6,14) + TIME(2,17,39)</f>
        <v>41439.095590277779</v>
      </c>
      <c r="C1572">
        <v>80</v>
      </c>
      <c r="D1572">
        <v>79.957267760999997</v>
      </c>
      <c r="E1572">
        <v>50</v>
      </c>
      <c r="F1572">
        <v>47.120113373000002</v>
      </c>
      <c r="G1572">
        <v>1385.0114745999999</v>
      </c>
      <c r="H1572">
        <v>1370.9411620999999</v>
      </c>
      <c r="I1572">
        <v>1286.3486327999999</v>
      </c>
      <c r="J1572">
        <v>1267.0607910000001</v>
      </c>
      <c r="K1572">
        <v>2400</v>
      </c>
      <c r="L1572">
        <v>0</v>
      </c>
      <c r="M1572">
        <v>0</v>
      </c>
      <c r="N1572">
        <v>2400</v>
      </c>
    </row>
    <row r="1573" spans="1:14" x14ac:dyDescent="0.25">
      <c r="A1573">
        <v>1141.0307869999999</v>
      </c>
      <c r="B1573" s="1">
        <f>DATE(2013,6,15) + TIME(0,44,20)</f>
        <v>41440.030787037038</v>
      </c>
      <c r="C1573">
        <v>80</v>
      </c>
      <c r="D1573">
        <v>79.957267760999997</v>
      </c>
      <c r="E1573">
        <v>50</v>
      </c>
      <c r="F1573">
        <v>47.068569183000001</v>
      </c>
      <c r="G1573">
        <v>1384.9519043</v>
      </c>
      <c r="H1573">
        <v>1370.8930664</v>
      </c>
      <c r="I1573">
        <v>1286.317749</v>
      </c>
      <c r="J1573">
        <v>1267.0213623</v>
      </c>
      <c r="K1573">
        <v>2400</v>
      </c>
      <c r="L1573">
        <v>0</v>
      </c>
      <c r="M1573">
        <v>0</v>
      </c>
      <c r="N1573">
        <v>2400</v>
      </c>
    </row>
    <row r="1574" spans="1:14" x14ac:dyDescent="0.25">
      <c r="A1574">
        <v>1141.969566</v>
      </c>
      <c r="B1574" s="1">
        <f>DATE(2013,6,15) + TIME(23,16,10)</f>
        <v>41440.969560185185</v>
      </c>
      <c r="C1574">
        <v>80</v>
      </c>
      <c r="D1574">
        <v>79.957260132000002</v>
      </c>
      <c r="E1574">
        <v>50</v>
      </c>
      <c r="F1574">
        <v>47.016723632999998</v>
      </c>
      <c r="G1574">
        <v>1384.8930664</v>
      </c>
      <c r="H1574">
        <v>1370.8453368999999</v>
      </c>
      <c r="I1574">
        <v>1286.2863769999999</v>
      </c>
      <c r="J1574">
        <v>1266.9810791</v>
      </c>
      <c r="K1574">
        <v>2400</v>
      </c>
      <c r="L1574">
        <v>0</v>
      </c>
      <c r="M1574">
        <v>0</v>
      </c>
      <c r="N1574">
        <v>2400</v>
      </c>
    </row>
    <row r="1575" spans="1:14" x14ac:dyDescent="0.25">
      <c r="A1575">
        <v>1142.914591</v>
      </c>
      <c r="B1575" s="1">
        <f>DATE(2013,6,16) + TIME(21,57,0)</f>
        <v>41441.914583333331</v>
      </c>
      <c r="C1575">
        <v>80</v>
      </c>
      <c r="D1575">
        <v>79.957260132000002</v>
      </c>
      <c r="E1575">
        <v>50</v>
      </c>
      <c r="F1575">
        <v>46.964599608999997</v>
      </c>
      <c r="G1575">
        <v>1384.8347168</v>
      </c>
      <c r="H1575">
        <v>1370.7982178</v>
      </c>
      <c r="I1575">
        <v>1286.2543945</v>
      </c>
      <c r="J1575">
        <v>1266.9400635</v>
      </c>
      <c r="K1575">
        <v>2400</v>
      </c>
      <c r="L1575">
        <v>0</v>
      </c>
      <c r="M1575">
        <v>0</v>
      </c>
      <c r="N1575">
        <v>2400</v>
      </c>
    </row>
    <row r="1576" spans="1:14" x14ac:dyDescent="0.25">
      <c r="A1576">
        <v>1143.8685190000001</v>
      </c>
      <c r="B1576" s="1">
        <f>DATE(2013,6,17) + TIME(20,50,40)</f>
        <v>41442.868518518517</v>
      </c>
      <c r="C1576">
        <v>80</v>
      </c>
      <c r="D1576">
        <v>79.957252502000003</v>
      </c>
      <c r="E1576">
        <v>50</v>
      </c>
      <c r="F1576">
        <v>46.912128447999997</v>
      </c>
      <c r="G1576">
        <v>1384.7769774999999</v>
      </c>
      <c r="H1576">
        <v>1370.7513428</v>
      </c>
      <c r="I1576">
        <v>1286.2218018000001</v>
      </c>
      <c r="J1576">
        <v>1266.8978271000001</v>
      </c>
      <c r="K1576">
        <v>2400</v>
      </c>
      <c r="L1576">
        <v>0</v>
      </c>
      <c r="M1576">
        <v>0</v>
      </c>
      <c r="N1576">
        <v>2400</v>
      </c>
    </row>
    <row r="1577" spans="1:14" x14ac:dyDescent="0.25">
      <c r="A1577">
        <v>1144.8340450000001</v>
      </c>
      <c r="B1577" s="1">
        <f>DATE(2013,6,18) + TIME(20,1,1)</f>
        <v>41443.834039351852</v>
      </c>
      <c r="C1577">
        <v>80</v>
      </c>
      <c r="D1577">
        <v>79.957252502000003</v>
      </c>
      <c r="E1577">
        <v>50</v>
      </c>
      <c r="F1577">
        <v>46.859199523999997</v>
      </c>
      <c r="G1577">
        <v>1384.7196045000001</v>
      </c>
      <c r="H1577">
        <v>1370.7047118999999</v>
      </c>
      <c r="I1577">
        <v>1286.1883545000001</v>
      </c>
      <c r="J1577">
        <v>1266.8546143000001</v>
      </c>
      <c r="K1577">
        <v>2400</v>
      </c>
      <c r="L1577">
        <v>0</v>
      </c>
      <c r="M1577">
        <v>0</v>
      </c>
      <c r="N1577">
        <v>2400</v>
      </c>
    </row>
    <row r="1578" spans="1:14" x14ac:dyDescent="0.25">
      <c r="A1578">
        <v>1145.8139490000001</v>
      </c>
      <c r="B1578" s="1">
        <f>DATE(2013,6,19) + TIME(19,32,5)</f>
        <v>41444.813946759263</v>
      </c>
      <c r="C1578">
        <v>80</v>
      </c>
      <c r="D1578">
        <v>79.957252502000003</v>
      </c>
      <c r="E1578">
        <v>50</v>
      </c>
      <c r="F1578">
        <v>46.805671691999997</v>
      </c>
      <c r="G1578">
        <v>1384.6622314000001</v>
      </c>
      <c r="H1578">
        <v>1370.6582031</v>
      </c>
      <c r="I1578">
        <v>1286.1540527</v>
      </c>
      <c r="J1578">
        <v>1266.8100586</v>
      </c>
      <c r="K1578">
        <v>2400</v>
      </c>
      <c r="L1578">
        <v>0</v>
      </c>
      <c r="M1578">
        <v>0</v>
      </c>
      <c r="N1578">
        <v>2400</v>
      </c>
    </row>
    <row r="1579" spans="1:14" x14ac:dyDescent="0.25">
      <c r="A1579">
        <v>1146.8111650000001</v>
      </c>
      <c r="B1579" s="1">
        <f>DATE(2013,6,20) + TIME(19,28,4)</f>
        <v>41445.811157407406</v>
      </c>
      <c r="C1579">
        <v>80</v>
      </c>
      <c r="D1579">
        <v>79.957244872999993</v>
      </c>
      <c r="E1579">
        <v>50</v>
      </c>
      <c r="F1579">
        <v>46.751384735000002</v>
      </c>
      <c r="G1579">
        <v>1384.6049805</v>
      </c>
      <c r="H1579">
        <v>1370.6115723</v>
      </c>
      <c r="I1579">
        <v>1286.1187743999999</v>
      </c>
      <c r="J1579">
        <v>1266.7640381000001</v>
      </c>
      <c r="K1579">
        <v>2400</v>
      </c>
      <c r="L1579">
        <v>0</v>
      </c>
      <c r="M1579">
        <v>0</v>
      </c>
      <c r="N1579">
        <v>2400</v>
      </c>
    </row>
    <row r="1580" spans="1:14" x14ac:dyDescent="0.25">
      <c r="A1580">
        <v>1147.8288339999999</v>
      </c>
      <c r="B1580" s="1">
        <f>DATE(2013,6,21) + TIME(19,53,31)</f>
        <v>41446.828831018516</v>
      </c>
      <c r="C1580">
        <v>80</v>
      </c>
      <c r="D1580">
        <v>79.957244872999993</v>
      </c>
      <c r="E1580">
        <v>50</v>
      </c>
      <c r="F1580">
        <v>46.696166992000002</v>
      </c>
      <c r="G1580">
        <v>1384.5474853999999</v>
      </c>
      <c r="H1580">
        <v>1370.5648193</v>
      </c>
      <c r="I1580">
        <v>1286.0822754000001</v>
      </c>
      <c r="J1580">
        <v>1266.7163086</v>
      </c>
      <c r="K1580">
        <v>2400</v>
      </c>
      <c r="L1580">
        <v>0</v>
      </c>
      <c r="M1580">
        <v>0</v>
      </c>
      <c r="N1580">
        <v>2400</v>
      </c>
    </row>
    <row r="1581" spans="1:14" x14ac:dyDescent="0.25">
      <c r="A1581">
        <v>1148.8703840000001</v>
      </c>
      <c r="B1581" s="1">
        <f>DATE(2013,6,22) + TIME(20,53,21)</f>
        <v>41447.870381944442</v>
      </c>
      <c r="C1581">
        <v>80</v>
      </c>
      <c r="D1581">
        <v>79.957244872999993</v>
      </c>
      <c r="E1581">
        <v>50</v>
      </c>
      <c r="F1581">
        <v>46.639839172000002</v>
      </c>
      <c r="G1581">
        <v>1384.489624</v>
      </c>
      <c r="H1581">
        <v>1370.5177002</v>
      </c>
      <c r="I1581">
        <v>1286.0445557</v>
      </c>
      <c r="J1581">
        <v>1266.666626</v>
      </c>
      <c r="K1581">
        <v>2400</v>
      </c>
      <c r="L1581">
        <v>0</v>
      </c>
      <c r="M1581">
        <v>0</v>
      </c>
      <c r="N1581">
        <v>2400</v>
      </c>
    </row>
    <row r="1582" spans="1:14" x14ac:dyDescent="0.25">
      <c r="A1582">
        <v>1149.9341460000001</v>
      </c>
      <c r="B1582" s="1">
        <f>DATE(2013,6,23) + TIME(22,25,10)</f>
        <v>41448.93414351852</v>
      </c>
      <c r="C1582">
        <v>80</v>
      </c>
      <c r="D1582">
        <v>79.957244872999993</v>
      </c>
      <c r="E1582">
        <v>50</v>
      </c>
      <c r="F1582">
        <v>46.582324982000003</v>
      </c>
      <c r="G1582">
        <v>1384.4312743999999</v>
      </c>
      <c r="H1582">
        <v>1370.4700928</v>
      </c>
      <c r="I1582">
        <v>1286.0051269999999</v>
      </c>
      <c r="J1582">
        <v>1266.6149902</v>
      </c>
      <c r="K1582">
        <v>2400</v>
      </c>
      <c r="L1582">
        <v>0</v>
      </c>
      <c r="M1582">
        <v>0</v>
      </c>
      <c r="N1582">
        <v>2400</v>
      </c>
    </row>
    <row r="1583" spans="1:14" x14ac:dyDescent="0.25">
      <c r="A1583">
        <v>1151.021704</v>
      </c>
      <c r="B1583" s="1">
        <f>DATE(2013,6,25) + TIME(0,31,15)</f>
        <v>41450.021701388891</v>
      </c>
      <c r="C1583">
        <v>80</v>
      </c>
      <c r="D1583">
        <v>79.957244872999993</v>
      </c>
      <c r="E1583">
        <v>50</v>
      </c>
      <c r="F1583">
        <v>46.523548126000001</v>
      </c>
      <c r="G1583">
        <v>1384.3725586</v>
      </c>
      <c r="H1583">
        <v>1370.4221190999999</v>
      </c>
      <c r="I1583">
        <v>1285.9643555</v>
      </c>
      <c r="J1583">
        <v>1266.5610352000001</v>
      </c>
      <c r="K1583">
        <v>2400</v>
      </c>
      <c r="L1583">
        <v>0</v>
      </c>
      <c r="M1583">
        <v>0</v>
      </c>
      <c r="N1583">
        <v>2400</v>
      </c>
    </row>
    <row r="1584" spans="1:14" x14ac:dyDescent="0.25">
      <c r="A1584">
        <v>1152.1253200000001</v>
      </c>
      <c r="B1584" s="1">
        <f>DATE(2013,6,26) + TIME(3,0,27)</f>
        <v>41451.1253125</v>
      </c>
      <c r="C1584">
        <v>80</v>
      </c>
      <c r="D1584">
        <v>79.957244872999993</v>
      </c>
      <c r="E1584">
        <v>50</v>
      </c>
      <c r="F1584">
        <v>46.463642120000003</v>
      </c>
      <c r="G1584">
        <v>1384.3134766000001</v>
      </c>
      <c r="H1584">
        <v>1370.3737793</v>
      </c>
      <c r="I1584">
        <v>1285.9219971</v>
      </c>
      <c r="J1584">
        <v>1266.5048827999999</v>
      </c>
      <c r="K1584">
        <v>2400</v>
      </c>
      <c r="L1584">
        <v>0</v>
      </c>
      <c r="M1584">
        <v>0</v>
      </c>
      <c r="N1584">
        <v>2400</v>
      </c>
    </row>
    <row r="1585" spans="1:14" x14ac:dyDescent="0.25">
      <c r="A1585">
        <v>1153.2314899999999</v>
      </c>
      <c r="B1585" s="1">
        <f>DATE(2013,6,27) + TIME(5,33,20)</f>
        <v>41452.231481481482</v>
      </c>
      <c r="C1585">
        <v>80</v>
      </c>
      <c r="D1585">
        <v>79.957252502000003</v>
      </c>
      <c r="E1585">
        <v>50</v>
      </c>
      <c r="F1585">
        <v>46.403022765999999</v>
      </c>
      <c r="G1585">
        <v>1384.2542725000001</v>
      </c>
      <c r="H1585">
        <v>1370.3253173999999</v>
      </c>
      <c r="I1585">
        <v>1285.8781738</v>
      </c>
      <c r="J1585">
        <v>1266.4467772999999</v>
      </c>
      <c r="K1585">
        <v>2400</v>
      </c>
      <c r="L1585">
        <v>0</v>
      </c>
      <c r="M1585">
        <v>0</v>
      </c>
      <c r="N1585">
        <v>2400</v>
      </c>
    </row>
    <row r="1586" spans="1:14" x14ac:dyDescent="0.25">
      <c r="A1586">
        <v>1154.3433520000001</v>
      </c>
      <c r="B1586" s="1">
        <f>DATE(2013,6,28) + TIME(8,14,25)</f>
        <v>41453.343344907407</v>
      </c>
      <c r="C1586">
        <v>80</v>
      </c>
      <c r="D1586">
        <v>79.957252502000003</v>
      </c>
      <c r="E1586">
        <v>50</v>
      </c>
      <c r="F1586">
        <v>46.341884612999998</v>
      </c>
      <c r="G1586">
        <v>1384.1958007999999</v>
      </c>
      <c r="H1586">
        <v>1370.2774658000001</v>
      </c>
      <c r="I1586">
        <v>1285.8334961</v>
      </c>
      <c r="J1586">
        <v>1266.3870850000001</v>
      </c>
      <c r="K1586">
        <v>2400</v>
      </c>
      <c r="L1586">
        <v>0</v>
      </c>
      <c r="M1586">
        <v>0</v>
      </c>
      <c r="N1586">
        <v>2400</v>
      </c>
    </row>
    <row r="1587" spans="1:14" x14ac:dyDescent="0.25">
      <c r="A1587">
        <v>1155.4640340000001</v>
      </c>
      <c r="B1587" s="1">
        <f>DATE(2013,6,29) + TIME(11,8,12)</f>
        <v>41454.46402777778</v>
      </c>
      <c r="C1587">
        <v>80</v>
      </c>
      <c r="D1587">
        <v>79.957252502000003</v>
      </c>
      <c r="E1587">
        <v>50</v>
      </c>
      <c r="F1587">
        <v>46.280197143999999</v>
      </c>
      <c r="G1587">
        <v>1384.1378173999999</v>
      </c>
      <c r="H1587">
        <v>1370.2298584</v>
      </c>
      <c r="I1587">
        <v>1285.7878418</v>
      </c>
      <c r="J1587">
        <v>1266.3259277</v>
      </c>
      <c r="K1587">
        <v>2400</v>
      </c>
      <c r="L1587">
        <v>0</v>
      </c>
      <c r="M1587">
        <v>0</v>
      </c>
      <c r="N1587">
        <v>2400</v>
      </c>
    </row>
    <row r="1588" spans="1:14" x14ac:dyDescent="0.25">
      <c r="A1588">
        <v>1156.5967129999999</v>
      </c>
      <c r="B1588" s="1">
        <f>DATE(2013,6,30) + TIME(14,19,16)</f>
        <v>41455.596712962964</v>
      </c>
      <c r="C1588">
        <v>80</v>
      </c>
      <c r="D1588">
        <v>79.957260132000002</v>
      </c>
      <c r="E1588">
        <v>50</v>
      </c>
      <c r="F1588">
        <v>46.217842101999999</v>
      </c>
      <c r="G1588">
        <v>1384.0802002</v>
      </c>
      <c r="H1588">
        <v>1370.1824951000001</v>
      </c>
      <c r="I1588">
        <v>1285.7410889</v>
      </c>
      <c r="J1588">
        <v>1266.2629394999999</v>
      </c>
      <c r="K1588">
        <v>2400</v>
      </c>
      <c r="L1588">
        <v>0</v>
      </c>
      <c r="M1588">
        <v>0</v>
      </c>
      <c r="N1588">
        <v>2400</v>
      </c>
    </row>
    <row r="1589" spans="1:14" x14ac:dyDescent="0.25">
      <c r="A1589">
        <v>1157</v>
      </c>
      <c r="B1589" s="1">
        <f>DATE(2013,7,1) + TIME(0,0,0)</f>
        <v>41456</v>
      </c>
      <c r="C1589">
        <v>80</v>
      </c>
      <c r="D1589">
        <v>79.957252502000003</v>
      </c>
      <c r="E1589">
        <v>50</v>
      </c>
      <c r="F1589">
        <v>46.182765961000001</v>
      </c>
      <c r="G1589">
        <v>1384.0229492000001</v>
      </c>
      <c r="H1589">
        <v>1370.1354980000001</v>
      </c>
      <c r="I1589">
        <v>1285.6920166</v>
      </c>
      <c r="J1589">
        <v>1266.2047118999999</v>
      </c>
      <c r="K1589">
        <v>2400</v>
      </c>
      <c r="L1589">
        <v>0</v>
      </c>
      <c r="M1589">
        <v>0</v>
      </c>
      <c r="N1589">
        <v>2400</v>
      </c>
    </row>
    <row r="1590" spans="1:14" x14ac:dyDescent="0.25">
      <c r="A1590">
        <v>1158.1479260000001</v>
      </c>
      <c r="B1590" s="1">
        <f>DATE(2013,7,2) + TIME(3,33,0)</f>
        <v>41457.147916666669</v>
      </c>
      <c r="C1590">
        <v>80</v>
      </c>
      <c r="D1590">
        <v>79.957260132000002</v>
      </c>
      <c r="E1590">
        <v>50</v>
      </c>
      <c r="F1590">
        <v>46.126644134999999</v>
      </c>
      <c r="G1590">
        <v>1384.0021973</v>
      </c>
      <c r="H1590">
        <v>1370.1184082</v>
      </c>
      <c r="I1590">
        <v>1285.6751709</v>
      </c>
      <c r="J1590">
        <v>1266.1721190999999</v>
      </c>
      <c r="K1590">
        <v>2400</v>
      </c>
      <c r="L1590">
        <v>0</v>
      </c>
      <c r="M1590">
        <v>0</v>
      </c>
      <c r="N1590">
        <v>2400</v>
      </c>
    </row>
    <row r="1591" spans="1:14" x14ac:dyDescent="0.25">
      <c r="A1591">
        <v>1159.315556</v>
      </c>
      <c r="B1591" s="1">
        <f>DATE(2013,7,3) + TIME(7,34,24)</f>
        <v>41458.315555555557</v>
      </c>
      <c r="C1591">
        <v>80</v>
      </c>
      <c r="D1591">
        <v>79.957267760999997</v>
      </c>
      <c r="E1591">
        <v>50</v>
      </c>
      <c r="F1591">
        <v>46.065437316999997</v>
      </c>
      <c r="G1591">
        <v>1383.9453125</v>
      </c>
      <c r="H1591">
        <v>1370.0715332</v>
      </c>
      <c r="I1591">
        <v>1285.6254882999999</v>
      </c>
      <c r="J1591">
        <v>1266.1057129000001</v>
      </c>
      <c r="K1591">
        <v>2400</v>
      </c>
      <c r="L1591">
        <v>0</v>
      </c>
      <c r="M1591">
        <v>0</v>
      </c>
      <c r="N1591">
        <v>2400</v>
      </c>
    </row>
    <row r="1592" spans="1:14" x14ac:dyDescent="0.25">
      <c r="A1592">
        <v>1160.501053</v>
      </c>
      <c r="B1592" s="1">
        <f>DATE(2013,7,4) + TIME(12,1,31)</f>
        <v>41459.50105324074</v>
      </c>
      <c r="C1592">
        <v>80</v>
      </c>
      <c r="D1592">
        <v>79.957275390999996</v>
      </c>
      <c r="E1592">
        <v>50</v>
      </c>
      <c r="F1592">
        <v>46.001300811999997</v>
      </c>
      <c r="G1592">
        <v>1383.8880615</v>
      </c>
      <c r="H1592">
        <v>1370.0242920000001</v>
      </c>
      <c r="I1592">
        <v>1285.5738524999999</v>
      </c>
      <c r="J1592">
        <v>1266.0357666</v>
      </c>
      <c r="K1592">
        <v>2400</v>
      </c>
      <c r="L1592">
        <v>0</v>
      </c>
      <c r="M1592">
        <v>0</v>
      </c>
      <c r="N1592">
        <v>2400</v>
      </c>
    </row>
    <row r="1593" spans="1:14" x14ac:dyDescent="0.25">
      <c r="A1593">
        <v>1161.7079570000001</v>
      </c>
      <c r="B1593" s="1">
        <f>DATE(2013,7,5) + TIME(16,59,27)</f>
        <v>41460.707951388889</v>
      </c>
      <c r="C1593">
        <v>80</v>
      </c>
      <c r="D1593">
        <v>79.957283020000006</v>
      </c>
      <c r="E1593">
        <v>50</v>
      </c>
      <c r="F1593">
        <v>45.935104369999998</v>
      </c>
      <c r="G1593">
        <v>1383.8305664</v>
      </c>
      <c r="H1593">
        <v>1369.9768065999999</v>
      </c>
      <c r="I1593">
        <v>1285.5205077999999</v>
      </c>
      <c r="J1593">
        <v>1265.9630127</v>
      </c>
      <c r="K1593">
        <v>2400</v>
      </c>
      <c r="L1593">
        <v>0</v>
      </c>
      <c r="M1593">
        <v>0</v>
      </c>
      <c r="N1593">
        <v>2400</v>
      </c>
    </row>
    <row r="1594" spans="1:14" x14ac:dyDescent="0.25">
      <c r="A1594">
        <v>1162.94</v>
      </c>
      <c r="B1594" s="1">
        <f>DATE(2013,7,6) + TIME(22,33,35)</f>
        <v>41461.939988425926</v>
      </c>
      <c r="C1594">
        <v>80</v>
      </c>
      <c r="D1594">
        <v>79.957283020000006</v>
      </c>
      <c r="E1594">
        <v>50</v>
      </c>
      <c r="F1594">
        <v>45.867084503000001</v>
      </c>
      <c r="G1594">
        <v>1383.7728271000001</v>
      </c>
      <c r="H1594">
        <v>1369.9290771000001</v>
      </c>
      <c r="I1594">
        <v>1285.4652100000001</v>
      </c>
      <c r="J1594">
        <v>1265.8870850000001</v>
      </c>
      <c r="K1594">
        <v>2400</v>
      </c>
      <c r="L1594">
        <v>0</v>
      </c>
      <c r="M1594">
        <v>0</v>
      </c>
      <c r="N1594">
        <v>2400</v>
      </c>
    </row>
    <row r="1595" spans="1:14" x14ac:dyDescent="0.25">
      <c r="A1595">
        <v>1164.201227</v>
      </c>
      <c r="B1595" s="1">
        <f>DATE(2013,7,8) + TIME(4,49,46)</f>
        <v>41463.201226851852</v>
      </c>
      <c r="C1595">
        <v>80</v>
      </c>
      <c r="D1595">
        <v>79.957290649000001</v>
      </c>
      <c r="E1595">
        <v>50</v>
      </c>
      <c r="F1595">
        <v>45.797195434999999</v>
      </c>
      <c r="G1595">
        <v>1383.7147216999999</v>
      </c>
      <c r="H1595">
        <v>1369.8809814000001</v>
      </c>
      <c r="I1595">
        <v>1285.4077147999999</v>
      </c>
      <c r="J1595">
        <v>1265.8078613</v>
      </c>
      <c r="K1595">
        <v>2400</v>
      </c>
      <c r="L1595">
        <v>0</v>
      </c>
      <c r="M1595">
        <v>0</v>
      </c>
      <c r="N1595">
        <v>2400</v>
      </c>
    </row>
    <row r="1596" spans="1:14" x14ac:dyDescent="0.25">
      <c r="A1596">
        <v>1165.4915559999999</v>
      </c>
      <c r="B1596" s="1">
        <f>DATE(2013,7,9) + TIME(11,47,50)</f>
        <v>41464.491550925923</v>
      </c>
      <c r="C1596">
        <v>80</v>
      </c>
      <c r="D1596">
        <v>79.957305907999995</v>
      </c>
      <c r="E1596">
        <v>50</v>
      </c>
      <c r="F1596">
        <v>45.725357056</v>
      </c>
      <c r="G1596">
        <v>1383.6560059000001</v>
      </c>
      <c r="H1596">
        <v>1369.8323975000001</v>
      </c>
      <c r="I1596">
        <v>1285.3479004000001</v>
      </c>
      <c r="J1596">
        <v>1265.7250977000001</v>
      </c>
      <c r="K1596">
        <v>2400</v>
      </c>
      <c r="L1596">
        <v>0</v>
      </c>
      <c r="M1596">
        <v>0</v>
      </c>
      <c r="N1596">
        <v>2400</v>
      </c>
    </row>
    <row r="1597" spans="1:14" x14ac:dyDescent="0.25">
      <c r="A1597">
        <v>1166.782483</v>
      </c>
      <c r="B1597" s="1">
        <f>DATE(2013,7,10) + TIME(18,46,46)</f>
        <v>41465.782476851855</v>
      </c>
      <c r="C1597">
        <v>80</v>
      </c>
      <c r="D1597">
        <v>79.957313537999994</v>
      </c>
      <c r="E1597">
        <v>50</v>
      </c>
      <c r="F1597">
        <v>45.652149199999997</v>
      </c>
      <c r="G1597">
        <v>1383.5966797000001</v>
      </c>
      <c r="H1597">
        <v>1369.7832031</v>
      </c>
      <c r="I1597">
        <v>1285.2854004000001</v>
      </c>
      <c r="J1597">
        <v>1265.6386719</v>
      </c>
      <c r="K1597">
        <v>2400</v>
      </c>
      <c r="L1597">
        <v>0</v>
      </c>
      <c r="M1597">
        <v>0</v>
      </c>
      <c r="N1597">
        <v>2400</v>
      </c>
    </row>
    <row r="1598" spans="1:14" x14ac:dyDescent="0.25">
      <c r="A1598">
        <v>1168.077286</v>
      </c>
      <c r="B1598" s="1">
        <f>DATE(2013,7,12) + TIME(1,51,17)</f>
        <v>41467.077280092592</v>
      </c>
      <c r="C1598">
        <v>80</v>
      </c>
      <c r="D1598">
        <v>79.957321167000003</v>
      </c>
      <c r="E1598">
        <v>50</v>
      </c>
      <c r="F1598">
        <v>45.578041077000002</v>
      </c>
      <c r="G1598">
        <v>1383.5382079999999</v>
      </c>
      <c r="H1598">
        <v>1369.7344971</v>
      </c>
      <c r="I1598">
        <v>1285.2219238</v>
      </c>
      <c r="J1598">
        <v>1265.5500488</v>
      </c>
      <c r="K1598">
        <v>2400</v>
      </c>
      <c r="L1598">
        <v>0</v>
      </c>
      <c r="M1598">
        <v>0</v>
      </c>
      <c r="N1598">
        <v>2400</v>
      </c>
    </row>
    <row r="1599" spans="1:14" x14ac:dyDescent="0.25">
      <c r="A1599">
        <v>1169.379265</v>
      </c>
      <c r="B1599" s="1">
        <f>DATE(2013,7,13) + TIME(9,6,8)</f>
        <v>41468.379259259258</v>
      </c>
      <c r="C1599">
        <v>80</v>
      </c>
      <c r="D1599">
        <v>79.957328795999999</v>
      </c>
      <c r="E1599">
        <v>50</v>
      </c>
      <c r="F1599">
        <v>45.503082274999997</v>
      </c>
      <c r="G1599">
        <v>1383.4802245999999</v>
      </c>
      <c r="H1599">
        <v>1369.6864014</v>
      </c>
      <c r="I1599">
        <v>1285.1568603999999</v>
      </c>
      <c r="J1599">
        <v>1265.4591064000001</v>
      </c>
      <c r="K1599">
        <v>2400</v>
      </c>
      <c r="L1599">
        <v>0</v>
      </c>
      <c r="M1599">
        <v>0</v>
      </c>
      <c r="N1599">
        <v>2400</v>
      </c>
    </row>
    <row r="1600" spans="1:14" x14ac:dyDescent="0.25">
      <c r="A1600">
        <v>1170.691902</v>
      </c>
      <c r="B1600" s="1">
        <f>DATE(2013,7,14) + TIME(16,36,20)</f>
        <v>41469.69189814815</v>
      </c>
      <c r="C1600">
        <v>80</v>
      </c>
      <c r="D1600">
        <v>79.957336425999998</v>
      </c>
      <c r="E1600">
        <v>50</v>
      </c>
      <c r="F1600">
        <v>45.427169800000001</v>
      </c>
      <c r="G1600">
        <v>1383.4227295000001</v>
      </c>
      <c r="H1600">
        <v>1369.6384277</v>
      </c>
      <c r="I1600">
        <v>1285.0904541</v>
      </c>
      <c r="J1600">
        <v>1265.3656006000001</v>
      </c>
      <c r="K1600">
        <v>2400</v>
      </c>
      <c r="L1600">
        <v>0</v>
      </c>
      <c r="M1600">
        <v>0</v>
      </c>
      <c r="N1600">
        <v>2400</v>
      </c>
    </row>
    <row r="1601" spans="1:14" x14ac:dyDescent="0.25">
      <c r="A1601">
        <v>1172.0187430000001</v>
      </c>
      <c r="B1601" s="1">
        <f>DATE(2013,7,16) + TIME(0,26,59)</f>
        <v>41471.018738425926</v>
      </c>
      <c r="C1601">
        <v>80</v>
      </c>
      <c r="D1601">
        <v>79.957351685000006</v>
      </c>
      <c r="E1601">
        <v>50</v>
      </c>
      <c r="F1601">
        <v>45.350112914999997</v>
      </c>
      <c r="G1601">
        <v>1383.3656006000001</v>
      </c>
      <c r="H1601">
        <v>1369.5906981999999</v>
      </c>
      <c r="I1601">
        <v>1285.0222168</v>
      </c>
      <c r="J1601">
        <v>1265.2692870999999</v>
      </c>
      <c r="K1601">
        <v>2400</v>
      </c>
      <c r="L1601">
        <v>0</v>
      </c>
      <c r="M1601">
        <v>0</v>
      </c>
      <c r="N1601">
        <v>2400</v>
      </c>
    </row>
    <row r="1602" spans="1:14" x14ac:dyDescent="0.25">
      <c r="A1602">
        <v>1173.3634500000001</v>
      </c>
      <c r="B1602" s="1">
        <f>DATE(2013,7,17) + TIME(8,43,22)</f>
        <v>41472.363449074073</v>
      </c>
      <c r="C1602">
        <v>80</v>
      </c>
      <c r="D1602">
        <v>79.957359314000001</v>
      </c>
      <c r="E1602">
        <v>50</v>
      </c>
      <c r="F1602">
        <v>45.271686553999999</v>
      </c>
      <c r="G1602">
        <v>1383.3084716999999</v>
      </c>
      <c r="H1602">
        <v>1369.5430908000001</v>
      </c>
      <c r="I1602">
        <v>1284.9521483999999</v>
      </c>
      <c r="J1602">
        <v>1265.1699219</v>
      </c>
      <c r="K1602">
        <v>2400</v>
      </c>
      <c r="L1602">
        <v>0</v>
      </c>
      <c r="M1602">
        <v>0</v>
      </c>
      <c r="N1602">
        <v>2400</v>
      </c>
    </row>
    <row r="1603" spans="1:14" x14ac:dyDescent="0.25">
      <c r="A1603">
        <v>1174.7298900000001</v>
      </c>
      <c r="B1603" s="1">
        <f>DATE(2013,7,18) + TIME(17,31,2)</f>
        <v>41473.729884259257</v>
      </c>
      <c r="C1603">
        <v>80</v>
      </c>
      <c r="D1603">
        <v>79.957374572999996</v>
      </c>
      <c r="E1603">
        <v>50</v>
      </c>
      <c r="F1603">
        <v>45.191638947000001</v>
      </c>
      <c r="G1603">
        <v>1383.2512207</v>
      </c>
      <c r="H1603">
        <v>1369.4952393000001</v>
      </c>
      <c r="I1603">
        <v>1284.8798827999999</v>
      </c>
      <c r="J1603">
        <v>1265.0670166</v>
      </c>
      <c r="K1603">
        <v>2400</v>
      </c>
      <c r="L1603">
        <v>0</v>
      </c>
      <c r="M1603">
        <v>0</v>
      </c>
      <c r="N1603">
        <v>2400</v>
      </c>
    </row>
    <row r="1604" spans="1:14" x14ac:dyDescent="0.25">
      <c r="A1604">
        <v>1176.1221619999999</v>
      </c>
      <c r="B1604" s="1">
        <f>DATE(2013,7,20) + TIME(2,55,54)</f>
        <v>41475.122152777774</v>
      </c>
      <c r="C1604">
        <v>80</v>
      </c>
      <c r="D1604">
        <v>79.957382202000005</v>
      </c>
      <c r="E1604">
        <v>50</v>
      </c>
      <c r="F1604">
        <v>45.109695434999999</v>
      </c>
      <c r="G1604">
        <v>1383.1938477000001</v>
      </c>
      <c r="H1604">
        <v>1369.4472656</v>
      </c>
      <c r="I1604">
        <v>1284.8051757999999</v>
      </c>
      <c r="J1604">
        <v>1264.9603271000001</v>
      </c>
      <c r="K1604">
        <v>2400</v>
      </c>
      <c r="L1604">
        <v>0</v>
      </c>
      <c r="M1604">
        <v>0</v>
      </c>
      <c r="N1604">
        <v>2400</v>
      </c>
    </row>
    <row r="1605" spans="1:14" x14ac:dyDescent="0.25">
      <c r="A1605">
        <v>1177.5447059999999</v>
      </c>
      <c r="B1605" s="1">
        <f>DATE(2013,7,21) + TIME(13,4,22)</f>
        <v>41476.544699074075</v>
      </c>
      <c r="C1605">
        <v>80</v>
      </c>
      <c r="D1605">
        <v>79.957397460999999</v>
      </c>
      <c r="E1605">
        <v>50</v>
      </c>
      <c r="F1605">
        <v>45.025566101000003</v>
      </c>
      <c r="G1605">
        <v>1383.1362305</v>
      </c>
      <c r="H1605">
        <v>1369.3988036999999</v>
      </c>
      <c r="I1605">
        <v>1284.7277832</v>
      </c>
      <c r="J1605">
        <v>1264.8493652</v>
      </c>
      <c r="K1605">
        <v>2400</v>
      </c>
      <c r="L1605">
        <v>0</v>
      </c>
      <c r="M1605">
        <v>0</v>
      </c>
      <c r="N1605">
        <v>2400</v>
      </c>
    </row>
    <row r="1606" spans="1:14" x14ac:dyDescent="0.25">
      <c r="A1606">
        <v>1179.002371</v>
      </c>
      <c r="B1606" s="1">
        <f>DATE(2013,7,23) + TIME(0,3,24)</f>
        <v>41478.00236111111</v>
      </c>
      <c r="C1606">
        <v>80</v>
      </c>
      <c r="D1606">
        <v>79.957412719999994</v>
      </c>
      <c r="E1606">
        <v>50</v>
      </c>
      <c r="F1606">
        <v>44.938922882</v>
      </c>
      <c r="G1606">
        <v>1383.0780029</v>
      </c>
      <c r="H1606">
        <v>1369.3499756000001</v>
      </c>
      <c r="I1606">
        <v>1284.6473389</v>
      </c>
      <c r="J1606">
        <v>1264.7336425999999</v>
      </c>
      <c r="K1606">
        <v>2400</v>
      </c>
      <c r="L1606">
        <v>0</v>
      </c>
      <c r="M1606">
        <v>0</v>
      </c>
      <c r="N1606">
        <v>2400</v>
      </c>
    </row>
    <row r="1607" spans="1:14" x14ac:dyDescent="0.25">
      <c r="A1607">
        <v>1180.4779799999999</v>
      </c>
      <c r="B1607" s="1">
        <f>DATE(2013,7,24) + TIME(11,28,17)</f>
        <v>41479.47797453704</v>
      </c>
      <c r="C1607">
        <v>80</v>
      </c>
      <c r="D1607">
        <v>79.957427979000002</v>
      </c>
      <c r="E1607">
        <v>50</v>
      </c>
      <c r="F1607">
        <v>44.849903107000003</v>
      </c>
      <c r="G1607">
        <v>1383.019043</v>
      </c>
      <c r="H1607">
        <v>1369.3004149999999</v>
      </c>
      <c r="I1607">
        <v>1284.5635986</v>
      </c>
      <c r="J1607">
        <v>1264.612793</v>
      </c>
      <c r="K1607">
        <v>2400</v>
      </c>
      <c r="L1607">
        <v>0</v>
      </c>
      <c r="M1607">
        <v>0</v>
      </c>
      <c r="N1607">
        <v>2400</v>
      </c>
    </row>
    <row r="1608" spans="1:14" x14ac:dyDescent="0.25">
      <c r="A1608">
        <v>1181.956529</v>
      </c>
      <c r="B1608" s="1">
        <f>DATE(2013,7,25) + TIME(22,57,24)</f>
        <v>41480.95652777778</v>
      </c>
      <c r="C1608">
        <v>80</v>
      </c>
      <c r="D1608">
        <v>79.957443237000007</v>
      </c>
      <c r="E1608">
        <v>50</v>
      </c>
      <c r="F1608">
        <v>44.7591362</v>
      </c>
      <c r="G1608">
        <v>1382.9600829999999</v>
      </c>
      <c r="H1608">
        <v>1369.2508545000001</v>
      </c>
      <c r="I1608">
        <v>1284.4772949000001</v>
      </c>
      <c r="J1608">
        <v>1264.487793</v>
      </c>
      <c r="K1608">
        <v>2400</v>
      </c>
      <c r="L1608">
        <v>0</v>
      </c>
      <c r="M1608">
        <v>0</v>
      </c>
      <c r="N1608">
        <v>2400</v>
      </c>
    </row>
    <row r="1609" spans="1:14" x14ac:dyDescent="0.25">
      <c r="A1609">
        <v>1183.4416289999999</v>
      </c>
      <c r="B1609" s="1">
        <f>DATE(2013,7,27) + TIME(10,35,56)</f>
        <v>41482.441620370373</v>
      </c>
      <c r="C1609">
        <v>80</v>
      </c>
      <c r="D1609">
        <v>79.957458496000001</v>
      </c>
      <c r="E1609">
        <v>50</v>
      </c>
      <c r="F1609">
        <v>44.667003631999997</v>
      </c>
      <c r="G1609">
        <v>1382.9017334</v>
      </c>
      <c r="H1609">
        <v>1369.2016602000001</v>
      </c>
      <c r="I1609">
        <v>1284.3894043</v>
      </c>
      <c r="J1609">
        <v>1264.3598632999999</v>
      </c>
      <c r="K1609">
        <v>2400</v>
      </c>
      <c r="L1609">
        <v>0</v>
      </c>
      <c r="M1609">
        <v>0</v>
      </c>
      <c r="N1609">
        <v>2400</v>
      </c>
    </row>
    <row r="1610" spans="1:14" x14ac:dyDescent="0.25">
      <c r="A1610">
        <v>1184.937144</v>
      </c>
      <c r="B1610" s="1">
        <f>DATE(2013,7,28) + TIME(22,29,29)</f>
        <v>41483.937141203707</v>
      </c>
      <c r="C1610">
        <v>80</v>
      </c>
      <c r="D1610">
        <v>79.957473754999995</v>
      </c>
      <c r="E1610">
        <v>50</v>
      </c>
      <c r="F1610">
        <v>44.573474883999999</v>
      </c>
      <c r="G1610">
        <v>1382.8438721</v>
      </c>
      <c r="H1610">
        <v>1369.152832</v>
      </c>
      <c r="I1610">
        <v>1284.2996826000001</v>
      </c>
      <c r="J1610">
        <v>1264.2287598</v>
      </c>
      <c r="K1610">
        <v>2400</v>
      </c>
      <c r="L1610">
        <v>0</v>
      </c>
      <c r="M1610">
        <v>0</v>
      </c>
      <c r="N1610">
        <v>2400</v>
      </c>
    </row>
    <row r="1611" spans="1:14" x14ac:dyDescent="0.25">
      <c r="A1611">
        <v>1186.447095</v>
      </c>
      <c r="B1611" s="1">
        <f>DATE(2013,7,30) + TIME(10,43,49)</f>
        <v>41485.447094907409</v>
      </c>
      <c r="C1611">
        <v>80</v>
      </c>
      <c r="D1611">
        <v>79.957489014000004</v>
      </c>
      <c r="E1611">
        <v>50</v>
      </c>
      <c r="F1611">
        <v>44.478374481000003</v>
      </c>
      <c r="G1611">
        <v>1382.7863769999999</v>
      </c>
      <c r="H1611">
        <v>1369.1042480000001</v>
      </c>
      <c r="I1611">
        <v>1284.2080077999999</v>
      </c>
      <c r="J1611">
        <v>1264.0941161999999</v>
      </c>
      <c r="K1611">
        <v>2400</v>
      </c>
      <c r="L1611">
        <v>0</v>
      </c>
      <c r="M1611">
        <v>0</v>
      </c>
      <c r="N1611">
        <v>2400</v>
      </c>
    </row>
    <row r="1612" spans="1:14" x14ac:dyDescent="0.25">
      <c r="A1612">
        <v>1187.2235479999999</v>
      </c>
      <c r="B1612" s="1">
        <f>DATE(2013,7,31) + TIME(5,21,54)</f>
        <v>41486.223541666666</v>
      </c>
      <c r="C1612">
        <v>80</v>
      </c>
      <c r="D1612">
        <v>79.957489014000004</v>
      </c>
      <c r="E1612">
        <v>50</v>
      </c>
      <c r="F1612">
        <v>44.406795502000001</v>
      </c>
      <c r="G1612">
        <v>1382.7287598</v>
      </c>
      <c r="H1612">
        <v>1369.0555420000001</v>
      </c>
      <c r="I1612">
        <v>1284.1151123</v>
      </c>
      <c r="J1612">
        <v>1263.9660644999999</v>
      </c>
      <c r="K1612">
        <v>2400</v>
      </c>
      <c r="L1612">
        <v>0</v>
      </c>
      <c r="M1612">
        <v>0</v>
      </c>
      <c r="N1612">
        <v>2400</v>
      </c>
    </row>
    <row r="1613" spans="1:14" x14ac:dyDescent="0.25">
      <c r="A1613">
        <v>1188</v>
      </c>
      <c r="B1613" s="1">
        <f>DATE(2013,8,1) + TIME(0,0,0)</f>
        <v>41487</v>
      </c>
      <c r="C1613">
        <v>80</v>
      </c>
      <c r="D1613">
        <v>79.957496642999999</v>
      </c>
      <c r="E1613">
        <v>50</v>
      </c>
      <c r="F1613">
        <v>44.345069885000001</v>
      </c>
      <c r="G1613">
        <v>1382.6992187999999</v>
      </c>
      <c r="H1613">
        <v>1369.0303954999999</v>
      </c>
      <c r="I1613">
        <v>1284.0639647999999</v>
      </c>
      <c r="J1613">
        <v>1263.8863524999999</v>
      </c>
      <c r="K1613">
        <v>2400</v>
      </c>
      <c r="L1613">
        <v>0</v>
      </c>
      <c r="M1613">
        <v>0</v>
      </c>
      <c r="N1613">
        <v>2400</v>
      </c>
    </row>
    <row r="1614" spans="1:14" x14ac:dyDescent="0.25">
      <c r="A1614">
        <v>1189.552905</v>
      </c>
      <c r="B1614" s="1">
        <f>DATE(2013,8,2) + TIME(13,16,10)</f>
        <v>41488.552893518521</v>
      </c>
      <c r="C1614">
        <v>80</v>
      </c>
      <c r="D1614">
        <v>79.957519531000003</v>
      </c>
      <c r="E1614">
        <v>50</v>
      </c>
      <c r="F1614">
        <v>44.267963408999996</v>
      </c>
      <c r="G1614">
        <v>1382.6704102000001</v>
      </c>
      <c r="H1614">
        <v>1369.0059814000001</v>
      </c>
      <c r="I1614">
        <v>1284.0126952999999</v>
      </c>
      <c r="J1614">
        <v>1263.8009033000001</v>
      </c>
      <c r="K1614">
        <v>2400</v>
      </c>
      <c r="L1614">
        <v>0</v>
      </c>
      <c r="M1614">
        <v>0</v>
      </c>
      <c r="N1614">
        <v>2400</v>
      </c>
    </row>
    <row r="1615" spans="1:14" x14ac:dyDescent="0.25">
      <c r="A1615">
        <v>1191.1293470000001</v>
      </c>
      <c r="B1615" s="1">
        <f>DATE(2013,8,4) + TIME(3,6,15)</f>
        <v>41490.129340277781</v>
      </c>
      <c r="C1615">
        <v>80</v>
      </c>
      <c r="D1615">
        <v>79.957542419000006</v>
      </c>
      <c r="E1615">
        <v>50</v>
      </c>
      <c r="F1615">
        <v>44.174468994000001</v>
      </c>
      <c r="G1615">
        <v>1382.6129149999999</v>
      </c>
      <c r="H1615">
        <v>1368.9571533000001</v>
      </c>
      <c r="I1615">
        <v>1283.9151611</v>
      </c>
      <c r="J1615">
        <v>1263.6590576000001</v>
      </c>
      <c r="K1615">
        <v>2400</v>
      </c>
      <c r="L1615">
        <v>0</v>
      </c>
      <c r="M1615">
        <v>0</v>
      </c>
      <c r="N1615">
        <v>2400</v>
      </c>
    </row>
    <row r="1616" spans="1:14" x14ac:dyDescent="0.25">
      <c r="A1616">
        <v>1192.7385469999999</v>
      </c>
      <c r="B1616" s="1">
        <f>DATE(2013,8,5) + TIME(17,43,30)</f>
        <v>41491.738541666666</v>
      </c>
      <c r="C1616">
        <v>80</v>
      </c>
      <c r="D1616">
        <v>79.957557678000001</v>
      </c>
      <c r="E1616">
        <v>50</v>
      </c>
      <c r="F1616">
        <v>44.073188782000003</v>
      </c>
      <c r="G1616">
        <v>1382.5549315999999</v>
      </c>
      <c r="H1616">
        <v>1368.9079589999999</v>
      </c>
      <c r="I1616">
        <v>1283.8133545000001</v>
      </c>
      <c r="J1616">
        <v>1263.5084228999999</v>
      </c>
      <c r="K1616">
        <v>2400</v>
      </c>
      <c r="L1616">
        <v>0</v>
      </c>
      <c r="M1616">
        <v>0</v>
      </c>
      <c r="N1616">
        <v>2400</v>
      </c>
    </row>
    <row r="1617" spans="1:14" x14ac:dyDescent="0.25">
      <c r="A1617">
        <v>1194.3770529999999</v>
      </c>
      <c r="B1617" s="1">
        <f>DATE(2013,8,7) + TIME(9,2,57)</f>
        <v>41493.37704861111</v>
      </c>
      <c r="C1617">
        <v>80</v>
      </c>
      <c r="D1617">
        <v>79.957580566000004</v>
      </c>
      <c r="E1617">
        <v>50</v>
      </c>
      <c r="F1617">
        <v>43.967128754000001</v>
      </c>
      <c r="G1617">
        <v>1382.496582</v>
      </c>
      <c r="H1617">
        <v>1368.8582764</v>
      </c>
      <c r="I1617">
        <v>1283.7076416</v>
      </c>
      <c r="J1617">
        <v>1263.3507079999999</v>
      </c>
      <c r="K1617">
        <v>2400</v>
      </c>
      <c r="L1617">
        <v>0</v>
      </c>
      <c r="M1617">
        <v>0</v>
      </c>
      <c r="N1617">
        <v>2400</v>
      </c>
    </row>
    <row r="1618" spans="1:14" x14ac:dyDescent="0.25">
      <c r="A1618">
        <v>1196.047356</v>
      </c>
      <c r="B1618" s="1">
        <f>DATE(2013,8,9) + TIME(1,8,11)</f>
        <v>41495.047349537039</v>
      </c>
      <c r="C1618">
        <v>80</v>
      </c>
      <c r="D1618">
        <v>79.957603454999997</v>
      </c>
      <c r="E1618">
        <v>50</v>
      </c>
      <c r="F1618">
        <v>43.857368469000001</v>
      </c>
      <c r="G1618">
        <v>1382.4377440999999</v>
      </c>
      <c r="H1618">
        <v>1368.8082274999999</v>
      </c>
      <c r="I1618">
        <v>1283.5983887</v>
      </c>
      <c r="J1618">
        <v>1263.1867675999999</v>
      </c>
      <c r="K1618">
        <v>2400</v>
      </c>
      <c r="L1618">
        <v>0</v>
      </c>
      <c r="M1618">
        <v>0</v>
      </c>
      <c r="N1618">
        <v>2400</v>
      </c>
    </row>
    <row r="1619" spans="1:14" x14ac:dyDescent="0.25">
      <c r="A1619">
        <v>1197.735103</v>
      </c>
      <c r="B1619" s="1">
        <f>DATE(2013,8,10) + TIME(17,38,32)</f>
        <v>41496.735092592593</v>
      </c>
      <c r="C1619">
        <v>80</v>
      </c>
      <c r="D1619">
        <v>79.957618713000002</v>
      </c>
      <c r="E1619">
        <v>50</v>
      </c>
      <c r="F1619">
        <v>43.744541167999998</v>
      </c>
      <c r="G1619">
        <v>1382.3785399999999</v>
      </c>
      <c r="H1619">
        <v>1368.7576904</v>
      </c>
      <c r="I1619">
        <v>1283.4855957</v>
      </c>
      <c r="J1619">
        <v>1263.0168457</v>
      </c>
      <c r="K1619">
        <v>2400</v>
      </c>
      <c r="L1619">
        <v>0</v>
      </c>
      <c r="M1619">
        <v>0</v>
      </c>
      <c r="N1619">
        <v>2400</v>
      </c>
    </row>
    <row r="1620" spans="1:14" x14ac:dyDescent="0.25">
      <c r="A1620">
        <v>1199.429697</v>
      </c>
      <c r="B1620" s="1">
        <f>DATE(2013,8,12) + TIME(10,18,45)</f>
        <v>41498.4296875</v>
      </c>
      <c r="C1620">
        <v>80</v>
      </c>
      <c r="D1620">
        <v>79.957641601999995</v>
      </c>
      <c r="E1620">
        <v>50</v>
      </c>
      <c r="F1620">
        <v>43.629413605000003</v>
      </c>
      <c r="G1620">
        <v>1382.3193358999999</v>
      </c>
      <c r="H1620">
        <v>1368.7071533000001</v>
      </c>
      <c r="I1620">
        <v>1283.3701172000001</v>
      </c>
      <c r="J1620">
        <v>1262.8422852000001</v>
      </c>
      <c r="K1620">
        <v>2400</v>
      </c>
      <c r="L1620">
        <v>0</v>
      </c>
      <c r="M1620">
        <v>0</v>
      </c>
      <c r="N1620">
        <v>2400</v>
      </c>
    </row>
    <row r="1621" spans="1:14" x14ac:dyDescent="0.25">
      <c r="A1621">
        <v>1201.135215</v>
      </c>
      <c r="B1621" s="1">
        <f>DATE(2013,8,14) + TIME(3,14,42)</f>
        <v>41500.135208333333</v>
      </c>
      <c r="C1621">
        <v>80</v>
      </c>
      <c r="D1621">
        <v>79.957664489999999</v>
      </c>
      <c r="E1621">
        <v>50</v>
      </c>
      <c r="F1621">
        <v>43.512386321999998</v>
      </c>
      <c r="G1621">
        <v>1382.2606201000001</v>
      </c>
      <c r="H1621">
        <v>1368.6568603999999</v>
      </c>
      <c r="I1621">
        <v>1283.2528076000001</v>
      </c>
      <c r="J1621">
        <v>1262.6640625</v>
      </c>
      <c r="K1621">
        <v>2400</v>
      </c>
      <c r="L1621">
        <v>0</v>
      </c>
      <c r="M1621">
        <v>0</v>
      </c>
      <c r="N1621">
        <v>2400</v>
      </c>
    </row>
    <row r="1622" spans="1:14" x14ac:dyDescent="0.25">
      <c r="A1622">
        <v>1202.856366</v>
      </c>
      <c r="B1622" s="1">
        <f>DATE(2013,8,15) + TIME(20,33,10)</f>
        <v>41501.856365740743</v>
      </c>
      <c r="C1622">
        <v>80</v>
      </c>
      <c r="D1622">
        <v>79.957687378000003</v>
      </c>
      <c r="E1622">
        <v>50</v>
      </c>
      <c r="F1622">
        <v>43.393409728999998</v>
      </c>
      <c r="G1622">
        <v>1382.2021483999999</v>
      </c>
      <c r="H1622">
        <v>1368.6068115</v>
      </c>
      <c r="I1622">
        <v>1283.1333007999999</v>
      </c>
      <c r="J1622">
        <v>1262.4818115</v>
      </c>
      <c r="K1622">
        <v>2400</v>
      </c>
      <c r="L1622">
        <v>0</v>
      </c>
      <c r="M1622">
        <v>0</v>
      </c>
      <c r="N1622">
        <v>2400</v>
      </c>
    </row>
    <row r="1623" spans="1:14" x14ac:dyDescent="0.25">
      <c r="A1623">
        <v>1204.597949</v>
      </c>
      <c r="B1623" s="1">
        <f>DATE(2013,8,17) + TIME(14,21,2)</f>
        <v>41503.597939814812</v>
      </c>
      <c r="C1623">
        <v>80</v>
      </c>
      <c r="D1623">
        <v>79.957710266000007</v>
      </c>
      <c r="E1623">
        <v>50</v>
      </c>
      <c r="F1623">
        <v>43.272258759000003</v>
      </c>
      <c r="G1623">
        <v>1382.1437988</v>
      </c>
      <c r="H1623">
        <v>1368.5567627</v>
      </c>
      <c r="I1623">
        <v>1283.0115966999999</v>
      </c>
      <c r="J1623">
        <v>1262.2952881000001</v>
      </c>
      <c r="K1623">
        <v>2400</v>
      </c>
      <c r="L1623">
        <v>0</v>
      </c>
      <c r="M1623">
        <v>0</v>
      </c>
      <c r="N1623">
        <v>2400</v>
      </c>
    </row>
    <row r="1624" spans="1:14" x14ac:dyDescent="0.25">
      <c r="A1624">
        <v>1206.3649640000001</v>
      </c>
      <c r="B1624" s="1">
        <f>DATE(2013,8,19) + TIME(8,45,32)</f>
        <v>41505.364953703705</v>
      </c>
      <c r="C1624">
        <v>80</v>
      </c>
      <c r="D1624">
        <v>79.957733153999996</v>
      </c>
      <c r="E1624">
        <v>50</v>
      </c>
      <c r="F1624">
        <v>43.148639678999999</v>
      </c>
      <c r="G1624">
        <v>1382.0854492000001</v>
      </c>
      <c r="H1624">
        <v>1368.5065918</v>
      </c>
      <c r="I1624">
        <v>1282.8870850000001</v>
      </c>
      <c r="J1624">
        <v>1262.1040039</v>
      </c>
      <c r="K1624">
        <v>2400</v>
      </c>
      <c r="L1624">
        <v>0</v>
      </c>
      <c r="M1624">
        <v>0</v>
      </c>
      <c r="N1624">
        <v>2400</v>
      </c>
    </row>
    <row r="1625" spans="1:14" x14ac:dyDescent="0.25">
      <c r="A1625">
        <v>1208.1543750000001</v>
      </c>
      <c r="B1625" s="1">
        <f>DATE(2013,8,21) + TIME(3,42,18)</f>
        <v>41507.154374999998</v>
      </c>
      <c r="C1625">
        <v>80</v>
      </c>
      <c r="D1625">
        <v>79.957756042</v>
      </c>
      <c r="E1625">
        <v>50</v>
      </c>
      <c r="F1625">
        <v>43.022403717000003</v>
      </c>
      <c r="G1625">
        <v>1382.0268555</v>
      </c>
      <c r="H1625">
        <v>1368.4561768000001</v>
      </c>
      <c r="I1625">
        <v>1282.7596435999999</v>
      </c>
      <c r="J1625">
        <v>1261.9073486</v>
      </c>
      <c r="K1625">
        <v>2400</v>
      </c>
      <c r="L1625">
        <v>0</v>
      </c>
      <c r="M1625">
        <v>0</v>
      </c>
      <c r="N1625">
        <v>2400</v>
      </c>
    </row>
    <row r="1626" spans="1:14" x14ac:dyDescent="0.25">
      <c r="A1626">
        <v>1209.969769</v>
      </c>
      <c r="B1626" s="1">
        <f>DATE(2013,8,22) + TIME(23,16,28)</f>
        <v>41508.969768518517</v>
      </c>
      <c r="C1626">
        <v>80</v>
      </c>
      <c r="D1626">
        <v>79.957786560000002</v>
      </c>
      <c r="E1626">
        <v>50</v>
      </c>
      <c r="F1626">
        <v>42.893520355</v>
      </c>
      <c r="G1626">
        <v>1381.9681396000001</v>
      </c>
      <c r="H1626">
        <v>1368.4056396000001</v>
      </c>
      <c r="I1626">
        <v>1282.6295166</v>
      </c>
      <c r="J1626">
        <v>1261.7058105000001</v>
      </c>
      <c r="K1626">
        <v>2400</v>
      </c>
      <c r="L1626">
        <v>0</v>
      </c>
      <c r="M1626">
        <v>0</v>
      </c>
      <c r="N1626">
        <v>2400</v>
      </c>
    </row>
    <row r="1627" spans="1:14" x14ac:dyDescent="0.25">
      <c r="A1627">
        <v>1211.8150929999999</v>
      </c>
      <c r="B1627" s="1">
        <f>DATE(2013,8,24) + TIME(19,33,44)</f>
        <v>41510.815092592595</v>
      </c>
      <c r="C1627">
        <v>80</v>
      </c>
      <c r="D1627">
        <v>79.957809448000006</v>
      </c>
      <c r="E1627">
        <v>50</v>
      </c>
      <c r="F1627">
        <v>42.761814117</v>
      </c>
      <c r="G1627">
        <v>1381.9091797000001</v>
      </c>
      <c r="H1627">
        <v>1368.3547363</v>
      </c>
      <c r="I1627">
        <v>1282.4964600000001</v>
      </c>
      <c r="J1627">
        <v>1261.4987793</v>
      </c>
      <c r="K1627">
        <v>2400</v>
      </c>
      <c r="L1627">
        <v>0</v>
      </c>
      <c r="M1627">
        <v>0</v>
      </c>
      <c r="N1627">
        <v>2400</v>
      </c>
    </row>
    <row r="1628" spans="1:14" x14ac:dyDescent="0.25">
      <c r="A1628">
        <v>1213.680703</v>
      </c>
      <c r="B1628" s="1">
        <f>DATE(2013,8,26) + TIME(16,20,12)</f>
        <v>41512.680694444447</v>
      </c>
      <c r="C1628">
        <v>80</v>
      </c>
      <c r="D1628">
        <v>79.957832335999996</v>
      </c>
      <c r="E1628">
        <v>50</v>
      </c>
      <c r="F1628">
        <v>42.627380371000001</v>
      </c>
      <c r="G1628">
        <v>1381.8498535000001</v>
      </c>
      <c r="H1628">
        <v>1368.3034668</v>
      </c>
      <c r="I1628">
        <v>1282.3602295000001</v>
      </c>
      <c r="J1628">
        <v>1261.2862548999999</v>
      </c>
      <c r="K1628">
        <v>2400</v>
      </c>
      <c r="L1628">
        <v>0</v>
      </c>
      <c r="M1628">
        <v>0</v>
      </c>
      <c r="N1628">
        <v>2400</v>
      </c>
    </row>
    <row r="1629" spans="1:14" x14ac:dyDescent="0.25">
      <c r="A1629">
        <v>1215.5720699999999</v>
      </c>
      <c r="B1629" s="1">
        <f>DATE(2013,8,28) + TIME(13,43,46)</f>
        <v>41514.572060185186</v>
      </c>
      <c r="C1629">
        <v>80</v>
      </c>
      <c r="D1629">
        <v>79.957862853999998</v>
      </c>
      <c r="E1629">
        <v>50</v>
      </c>
      <c r="F1629">
        <v>42.490417479999998</v>
      </c>
      <c r="G1629">
        <v>1381.7905272999999</v>
      </c>
      <c r="H1629">
        <v>1368.2521973</v>
      </c>
      <c r="I1629">
        <v>1282.2215576000001</v>
      </c>
      <c r="J1629">
        <v>1261.0688477000001</v>
      </c>
      <c r="K1629">
        <v>2400</v>
      </c>
      <c r="L1629">
        <v>0</v>
      </c>
      <c r="M1629">
        <v>0</v>
      </c>
      <c r="N1629">
        <v>2400</v>
      </c>
    </row>
    <row r="1630" spans="1:14" x14ac:dyDescent="0.25">
      <c r="A1630">
        <v>1217.494841</v>
      </c>
      <c r="B1630" s="1">
        <f>DATE(2013,8,30) + TIME(11,52,34)</f>
        <v>41516.494837962964</v>
      </c>
      <c r="C1630">
        <v>80</v>
      </c>
      <c r="D1630">
        <v>79.957893372000001</v>
      </c>
      <c r="E1630">
        <v>50</v>
      </c>
      <c r="F1630">
        <v>42.350769043</v>
      </c>
      <c r="G1630">
        <v>1381.730957</v>
      </c>
      <c r="H1630">
        <v>1368.2005615</v>
      </c>
      <c r="I1630">
        <v>1282.0802002</v>
      </c>
      <c r="J1630">
        <v>1260.8463135</v>
      </c>
      <c r="K1630">
        <v>2400</v>
      </c>
      <c r="L1630">
        <v>0</v>
      </c>
      <c r="M1630">
        <v>0</v>
      </c>
      <c r="N1630">
        <v>2400</v>
      </c>
    </row>
    <row r="1631" spans="1:14" x14ac:dyDescent="0.25">
      <c r="A1631">
        <v>1219</v>
      </c>
      <c r="B1631" s="1">
        <f>DATE(2013,9,1) + TIME(0,0,0)</f>
        <v>41518</v>
      </c>
      <c r="C1631">
        <v>80</v>
      </c>
      <c r="D1631">
        <v>79.957908630000006</v>
      </c>
      <c r="E1631">
        <v>50</v>
      </c>
      <c r="F1631">
        <v>42.220279693999998</v>
      </c>
      <c r="G1631">
        <v>1381.6710204999999</v>
      </c>
      <c r="H1631">
        <v>1368.1485596</v>
      </c>
      <c r="I1631">
        <v>1281.9367675999999</v>
      </c>
      <c r="J1631">
        <v>1260.6245117000001</v>
      </c>
      <c r="K1631">
        <v>2400</v>
      </c>
      <c r="L1631">
        <v>0</v>
      </c>
      <c r="M1631">
        <v>0</v>
      </c>
      <c r="N1631">
        <v>2400</v>
      </c>
    </row>
    <row r="1632" spans="1:14" x14ac:dyDescent="0.25">
      <c r="A1632">
        <v>1220.937375</v>
      </c>
      <c r="B1632" s="1">
        <f>DATE(2013,9,2) + TIME(22,29,49)</f>
        <v>41519.937372685185</v>
      </c>
      <c r="C1632">
        <v>80</v>
      </c>
      <c r="D1632">
        <v>79.957939147999994</v>
      </c>
      <c r="E1632">
        <v>50</v>
      </c>
      <c r="F1632">
        <v>42.090850830000001</v>
      </c>
      <c r="G1632">
        <v>1381.6245117000001</v>
      </c>
      <c r="H1632">
        <v>1368.1081543</v>
      </c>
      <c r="I1632">
        <v>1281.8201904</v>
      </c>
      <c r="J1632">
        <v>1260.4324951000001</v>
      </c>
      <c r="K1632">
        <v>2400</v>
      </c>
      <c r="L1632">
        <v>0</v>
      </c>
      <c r="M1632">
        <v>0</v>
      </c>
      <c r="N1632">
        <v>2400</v>
      </c>
    </row>
    <row r="1633" spans="1:14" x14ac:dyDescent="0.25">
      <c r="A1633">
        <v>1222.9102479999999</v>
      </c>
      <c r="B1633" s="1">
        <f>DATE(2013,9,4) + TIME(21,50,45)</f>
        <v>41521.910243055558</v>
      </c>
      <c r="C1633">
        <v>80</v>
      </c>
      <c r="D1633">
        <v>79.957969665999997</v>
      </c>
      <c r="E1633">
        <v>50</v>
      </c>
      <c r="F1633">
        <v>41.950214385999999</v>
      </c>
      <c r="G1633">
        <v>1381.5653076000001</v>
      </c>
      <c r="H1633">
        <v>1368.0566406</v>
      </c>
      <c r="I1633">
        <v>1281.6749268000001</v>
      </c>
      <c r="J1633">
        <v>1260.2030029</v>
      </c>
      <c r="K1633">
        <v>2400</v>
      </c>
      <c r="L1633">
        <v>0</v>
      </c>
      <c r="M1633">
        <v>0</v>
      </c>
      <c r="N1633">
        <v>2400</v>
      </c>
    </row>
    <row r="1634" spans="1:14" x14ac:dyDescent="0.25">
      <c r="A1634">
        <v>1224.9018430000001</v>
      </c>
      <c r="B1634" s="1">
        <f>DATE(2013,9,6) + TIME(21,38,39)</f>
        <v>41523.90184027778</v>
      </c>
      <c r="C1634">
        <v>80</v>
      </c>
      <c r="D1634">
        <v>79.958000182999996</v>
      </c>
      <c r="E1634">
        <v>50</v>
      </c>
      <c r="F1634">
        <v>41.804492949999997</v>
      </c>
      <c r="G1634">
        <v>1381.5056152</v>
      </c>
      <c r="H1634">
        <v>1368.0045166</v>
      </c>
      <c r="I1634">
        <v>1281.5257568</v>
      </c>
      <c r="J1634">
        <v>1259.965332</v>
      </c>
      <c r="K1634">
        <v>2400</v>
      </c>
      <c r="L1634">
        <v>0</v>
      </c>
      <c r="M1634">
        <v>0</v>
      </c>
      <c r="N1634">
        <v>2400</v>
      </c>
    </row>
    <row r="1635" spans="1:14" x14ac:dyDescent="0.25">
      <c r="A1635">
        <v>1226.916273</v>
      </c>
      <c r="B1635" s="1">
        <f>DATE(2013,9,8) + TIME(21,59,25)</f>
        <v>41525.916261574072</v>
      </c>
      <c r="C1635">
        <v>80</v>
      </c>
      <c r="D1635">
        <v>79.958030700999998</v>
      </c>
      <c r="E1635">
        <v>50</v>
      </c>
      <c r="F1635">
        <v>41.656120299999998</v>
      </c>
      <c r="G1635">
        <v>1381.4458007999999</v>
      </c>
      <c r="H1635">
        <v>1367.9523925999999</v>
      </c>
      <c r="I1635">
        <v>1281.3746338000001</v>
      </c>
      <c r="J1635">
        <v>1259.7230225000001</v>
      </c>
      <c r="K1635">
        <v>2400</v>
      </c>
      <c r="L1635">
        <v>0</v>
      </c>
      <c r="M1635">
        <v>0</v>
      </c>
      <c r="N1635">
        <v>2400</v>
      </c>
    </row>
    <row r="1636" spans="1:14" x14ac:dyDescent="0.25">
      <c r="A1636">
        <v>1228.9468919999999</v>
      </c>
      <c r="B1636" s="1">
        <f>DATE(2013,9,10) + TIME(22,43,31)</f>
        <v>41527.946886574071</v>
      </c>
      <c r="C1636">
        <v>80</v>
      </c>
      <c r="D1636">
        <v>79.958061217999997</v>
      </c>
      <c r="E1636">
        <v>50</v>
      </c>
      <c r="F1636">
        <v>41.505989075000002</v>
      </c>
      <c r="G1636">
        <v>1381.3858643000001</v>
      </c>
      <c r="H1636">
        <v>1367.9000243999999</v>
      </c>
      <c r="I1636">
        <v>1281.2215576000001</v>
      </c>
      <c r="J1636">
        <v>1259.4764404</v>
      </c>
      <c r="K1636">
        <v>2400</v>
      </c>
      <c r="L1636">
        <v>0</v>
      </c>
      <c r="M1636">
        <v>0</v>
      </c>
      <c r="N1636">
        <v>2400</v>
      </c>
    </row>
    <row r="1637" spans="1:14" x14ac:dyDescent="0.25">
      <c r="A1637">
        <v>1230.9993710000001</v>
      </c>
      <c r="B1637" s="1">
        <f>DATE(2013,9,12) + TIME(23,59,5)</f>
        <v>41529.999363425923</v>
      </c>
      <c r="C1637">
        <v>80</v>
      </c>
      <c r="D1637">
        <v>79.958091736</v>
      </c>
      <c r="E1637">
        <v>50</v>
      </c>
      <c r="F1637">
        <v>41.354595183999997</v>
      </c>
      <c r="G1637">
        <v>1381.3260498</v>
      </c>
      <c r="H1637">
        <v>1367.8477783000001</v>
      </c>
      <c r="I1637">
        <v>1281.0672606999999</v>
      </c>
      <c r="J1637">
        <v>1259.2268065999999</v>
      </c>
      <c r="K1637">
        <v>2400</v>
      </c>
      <c r="L1637">
        <v>0</v>
      </c>
      <c r="M1637">
        <v>0</v>
      </c>
      <c r="N1637">
        <v>2400</v>
      </c>
    </row>
    <row r="1638" spans="1:14" x14ac:dyDescent="0.25">
      <c r="A1638">
        <v>1233.07953</v>
      </c>
      <c r="B1638" s="1">
        <f>DATE(2013,9,15) + TIME(1,54,31)</f>
        <v>41532.079525462963</v>
      </c>
      <c r="C1638">
        <v>80</v>
      </c>
      <c r="D1638">
        <v>79.958122252999999</v>
      </c>
      <c r="E1638">
        <v>50</v>
      </c>
      <c r="F1638">
        <v>41.201938628999997</v>
      </c>
      <c r="G1638">
        <v>1381.2662353999999</v>
      </c>
      <c r="H1638">
        <v>1367.7951660000001</v>
      </c>
      <c r="I1638">
        <v>1280.911499</v>
      </c>
      <c r="J1638">
        <v>1258.9737548999999</v>
      </c>
      <c r="K1638">
        <v>2400</v>
      </c>
      <c r="L1638">
        <v>0</v>
      </c>
      <c r="M1638">
        <v>0</v>
      </c>
      <c r="N1638">
        <v>2400</v>
      </c>
    </row>
    <row r="1639" spans="1:14" x14ac:dyDescent="0.25">
      <c r="A1639">
        <v>1235.1935269999999</v>
      </c>
      <c r="B1639" s="1">
        <f>DATE(2013,9,17) + TIME(4,38,40)</f>
        <v>41534.193518518521</v>
      </c>
      <c r="C1639">
        <v>80</v>
      </c>
      <c r="D1639">
        <v>79.958152771000002</v>
      </c>
      <c r="E1639">
        <v>50</v>
      </c>
      <c r="F1639">
        <v>41.047859191999997</v>
      </c>
      <c r="G1639">
        <v>1381.2060547000001</v>
      </c>
      <c r="H1639">
        <v>1367.7424315999999</v>
      </c>
      <c r="I1639">
        <v>1280.7540283000001</v>
      </c>
      <c r="J1639">
        <v>1258.7169189000001</v>
      </c>
      <c r="K1639">
        <v>2400</v>
      </c>
      <c r="L1639">
        <v>0</v>
      </c>
      <c r="M1639">
        <v>0</v>
      </c>
      <c r="N1639">
        <v>2400</v>
      </c>
    </row>
    <row r="1640" spans="1:14" x14ac:dyDescent="0.25">
      <c r="A1640">
        <v>1237.3403470000001</v>
      </c>
      <c r="B1640" s="1">
        <f>DATE(2013,9,19) + TIME(8,10,6)</f>
        <v>41536.34034722222</v>
      </c>
      <c r="C1640">
        <v>80</v>
      </c>
      <c r="D1640">
        <v>79.958190918</v>
      </c>
      <c r="E1640">
        <v>50</v>
      </c>
      <c r="F1640">
        <v>40.892322540000002</v>
      </c>
      <c r="G1640">
        <v>1381.1455077999999</v>
      </c>
      <c r="H1640">
        <v>1367.6890868999999</v>
      </c>
      <c r="I1640">
        <v>1280.5947266000001</v>
      </c>
      <c r="J1640">
        <v>1258.4558105000001</v>
      </c>
      <c r="K1640">
        <v>2400</v>
      </c>
      <c r="L1640">
        <v>0</v>
      </c>
      <c r="M1640">
        <v>0</v>
      </c>
      <c r="N1640">
        <v>2400</v>
      </c>
    </row>
    <row r="1641" spans="1:14" x14ac:dyDescent="0.25">
      <c r="A1641">
        <v>1239.5192629999999</v>
      </c>
      <c r="B1641" s="1">
        <f>DATE(2013,9,21) + TIME(12,27,44)</f>
        <v>41538.519259259258</v>
      </c>
      <c r="C1641">
        <v>80</v>
      </c>
      <c r="D1641">
        <v>79.958221436000002</v>
      </c>
      <c r="E1641">
        <v>50</v>
      </c>
      <c r="F1641">
        <v>40.735588073999999</v>
      </c>
      <c r="G1641">
        <v>1381.0844727000001</v>
      </c>
      <c r="H1641">
        <v>1367.6354980000001</v>
      </c>
      <c r="I1641">
        <v>1280.4337158000001</v>
      </c>
      <c r="J1641">
        <v>1258.190918</v>
      </c>
      <c r="K1641">
        <v>2400</v>
      </c>
      <c r="L1641">
        <v>0</v>
      </c>
      <c r="M1641">
        <v>0</v>
      </c>
      <c r="N1641">
        <v>2400</v>
      </c>
    </row>
    <row r="1642" spans="1:14" x14ac:dyDescent="0.25">
      <c r="A1642">
        <v>1241.7158810000001</v>
      </c>
      <c r="B1642" s="1">
        <f>DATE(2013,9,23) + TIME(17,10,52)</f>
        <v>41540.715879629628</v>
      </c>
      <c r="C1642">
        <v>80</v>
      </c>
      <c r="D1642">
        <v>79.958259583</v>
      </c>
      <c r="E1642">
        <v>50</v>
      </c>
      <c r="F1642">
        <v>40.578273772999999</v>
      </c>
      <c r="G1642">
        <v>1381.0230713000001</v>
      </c>
      <c r="H1642">
        <v>1367.5812988</v>
      </c>
      <c r="I1642">
        <v>1280.2712402</v>
      </c>
      <c r="J1642">
        <v>1257.9227295000001</v>
      </c>
      <c r="K1642">
        <v>2400</v>
      </c>
      <c r="L1642">
        <v>0</v>
      </c>
      <c r="M1642">
        <v>0</v>
      </c>
      <c r="N1642">
        <v>2400</v>
      </c>
    </row>
    <row r="1643" spans="1:14" x14ac:dyDescent="0.25">
      <c r="A1643">
        <v>1243.9210430000001</v>
      </c>
      <c r="B1643" s="1">
        <f>DATE(2013,9,25) + TIME(22,6,18)</f>
        <v>41542.921041666668</v>
      </c>
      <c r="C1643">
        <v>80</v>
      </c>
      <c r="D1643">
        <v>79.958290099999999</v>
      </c>
      <c r="E1643">
        <v>50</v>
      </c>
      <c r="F1643">
        <v>40.421447753999999</v>
      </c>
      <c r="G1643">
        <v>1380.9617920000001</v>
      </c>
      <c r="H1643">
        <v>1367.5270995999999</v>
      </c>
      <c r="I1643">
        <v>1280.1087646000001</v>
      </c>
      <c r="J1643">
        <v>1257.6530762</v>
      </c>
      <c r="K1643">
        <v>2400</v>
      </c>
      <c r="L1643">
        <v>0</v>
      </c>
      <c r="M1643">
        <v>0</v>
      </c>
      <c r="N1643">
        <v>2400</v>
      </c>
    </row>
    <row r="1644" spans="1:14" x14ac:dyDescent="0.25">
      <c r="A1644">
        <v>1246.140138</v>
      </c>
      <c r="B1644" s="1">
        <f>DATE(2013,9,28) + TIME(3,21,47)</f>
        <v>41545.140127314815</v>
      </c>
      <c r="C1644">
        <v>80</v>
      </c>
      <c r="D1644">
        <v>79.958328246999997</v>
      </c>
      <c r="E1644">
        <v>50</v>
      </c>
      <c r="F1644">
        <v>40.265861510999997</v>
      </c>
      <c r="G1644">
        <v>1380.9006348</v>
      </c>
      <c r="H1644">
        <v>1367.4731445</v>
      </c>
      <c r="I1644">
        <v>1279.9470214999999</v>
      </c>
      <c r="J1644">
        <v>1257.3834228999999</v>
      </c>
      <c r="K1644">
        <v>2400</v>
      </c>
      <c r="L1644">
        <v>0</v>
      </c>
      <c r="M1644">
        <v>0</v>
      </c>
      <c r="N1644">
        <v>2400</v>
      </c>
    </row>
    <row r="1645" spans="1:14" x14ac:dyDescent="0.25">
      <c r="A1645">
        <v>1248.3792080000001</v>
      </c>
      <c r="B1645" s="1">
        <f>DATE(2013,9,30) + TIME(9,6,3)</f>
        <v>41547.379201388889</v>
      </c>
      <c r="C1645">
        <v>80</v>
      </c>
      <c r="D1645">
        <v>79.958366393999995</v>
      </c>
      <c r="E1645">
        <v>50</v>
      </c>
      <c r="F1645">
        <v>40.111713408999996</v>
      </c>
      <c r="G1645">
        <v>1380.8397216999999</v>
      </c>
      <c r="H1645">
        <v>1367.4190673999999</v>
      </c>
      <c r="I1645">
        <v>1279.7860106999999</v>
      </c>
      <c r="J1645">
        <v>1257.1136475000001</v>
      </c>
      <c r="K1645">
        <v>2400</v>
      </c>
      <c r="L1645">
        <v>0</v>
      </c>
      <c r="M1645">
        <v>0</v>
      </c>
      <c r="N1645">
        <v>2400</v>
      </c>
    </row>
    <row r="1646" spans="1:14" x14ac:dyDescent="0.25">
      <c r="A1646">
        <v>1249</v>
      </c>
      <c r="B1646" s="1">
        <f>DATE(2013,10,1) + TIME(0,0,0)</f>
        <v>41548</v>
      </c>
      <c r="C1646">
        <v>80</v>
      </c>
      <c r="D1646">
        <v>79.958366393999995</v>
      </c>
      <c r="E1646">
        <v>50</v>
      </c>
      <c r="F1646">
        <v>40.023048400999997</v>
      </c>
      <c r="G1646">
        <v>1380.7790527</v>
      </c>
      <c r="H1646">
        <v>1367.3653564000001</v>
      </c>
      <c r="I1646">
        <v>1279.6346435999999</v>
      </c>
      <c r="J1646">
        <v>1256.8864745999999</v>
      </c>
      <c r="K1646">
        <v>2400</v>
      </c>
      <c r="L1646">
        <v>0</v>
      </c>
      <c r="M1646">
        <v>0</v>
      </c>
      <c r="N1646">
        <v>2400</v>
      </c>
    </row>
    <row r="1647" spans="1:14" x14ac:dyDescent="0.25">
      <c r="A1647">
        <v>1251.265343</v>
      </c>
      <c r="B1647" s="1">
        <f>DATE(2013,10,3) + TIME(6,22,5)</f>
        <v>41550.265335648146</v>
      </c>
      <c r="C1647">
        <v>80</v>
      </c>
      <c r="D1647">
        <v>79.958412170000003</v>
      </c>
      <c r="E1647">
        <v>50</v>
      </c>
      <c r="F1647">
        <v>39.905059813999998</v>
      </c>
      <c r="G1647">
        <v>1380.7615966999999</v>
      </c>
      <c r="H1647">
        <v>1367.3497314000001</v>
      </c>
      <c r="I1647">
        <v>1279.5761719</v>
      </c>
      <c r="J1647">
        <v>1256.7548827999999</v>
      </c>
      <c r="K1647">
        <v>2400</v>
      </c>
      <c r="L1647">
        <v>0</v>
      </c>
      <c r="M1647">
        <v>0</v>
      </c>
      <c r="N1647">
        <v>2400</v>
      </c>
    </row>
    <row r="1648" spans="1:14" x14ac:dyDescent="0.25">
      <c r="A1648">
        <v>1253.572042</v>
      </c>
      <c r="B1648" s="1">
        <f>DATE(2013,10,5) + TIME(13,43,44)</f>
        <v>41552.57203703704</v>
      </c>
      <c r="C1648">
        <v>80</v>
      </c>
      <c r="D1648">
        <v>79.958450317</v>
      </c>
      <c r="E1648">
        <v>50</v>
      </c>
      <c r="F1648">
        <v>39.764144897000001</v>
      </c>
      <c r="G1648">
        <v>1380.7006836</v>
      </c>
      <c r="H1648">
        <v>1367.2956543</v>
      </c>
      <c r="I1648">
        <v>1279.4205322</v>
      </c>
      <c r="J1648">
        <v>1256.4956055</v>
      </c>
      <c r="K1648">
        <v>2400</v>
      </c>
      <c r="L1648">
        <v>0</v>
      </c>
      <c r="M1648">
        <v>0</v>
      </c>
      <c r="N1648">
        <v>2400</v>
      </c>
    </row>
    <row r="1649" spans="1:14" x14ac:dyDescent="0.25">
      <c r="A1649">
        <v>1255.9050030000001</v>
      </c>
      <c r="B1649" s="1">
        <f>DATE(2013,10,7) + TIME(21,43,12)</f>
        <v>41554.904999999999</v>
      </c>
      <c r="C1649">
        <v>80</v>
      </c>
      <c r="D1649">
        <v>79.958488463999998</v>
      </c>
      <c r="E1649">
        <v>50</v>
      </c>
      <c r="F1649">
        <v>39.618289947999997</v>
      </c>
      <c r="G1649">
        <v>1380.6389160000001</v>
      </c>
      <c r="H1649">
        <v>1367.2407227000001</v>
      </c>
      <c r="I1649">
        <v>1279.2619629000001</v>
      </c>
      <c r="J1649">
        <v>1256.2271728999999</v>
      </c>
      <c r="K1649">
        <v>2400</v>
      </c>
      <c r="L1649">
        <v>0</v>
      </c>
      <c r="M1649">
        <v>0</v>
      </c>
      <c r="N1649">
        <v>2400</v>
      </c>
    </row>
    <row r="1650" spans="1:14" x14ac:dyDescent="0.25">
      <c r="A1650">
        <v>1258.271011</v>
      </c>
      <c r="B1650" s="1">
        <f>DATE(2013,10,10) + TIME(6,30,15)</f>
        <v>41557.271006944444</v>
      </c>
      <c r="C1650">
        <v>80</v>
      </c>
      <c r="D1650">
        <v>79.958526610999996</v>
      </c>
      <c r="E1650">
        <v>50</v>
      </c>
      <c r="F1650">
        <v>39.473262787000003</v>
      </c>
      <c r="G1650">
        <v>1380.5769043</v>
      </c>
      <c r="H1650">
        <v>1367.1854248</v>
      </c>
      <c r="I1650">
        <v>1279.1035156</v>
      </c>
      <c r="J1650">
        <v>1255.9570312000001</v>
      </c>
      <c r="K1650">
        <v>2400</v>
      </c>
      <c r="L1650">
        <v>0</v>
      </c>
      <c r="M1650">
        <v>0</v>
      </c>
      <c r="N1650">
        <v>2400</v>
      </c>
    </row>
    <row r="1651" spans="1:14" x14ac:dyDescent="0.25">
      <c r="A1651">
        <v>1260.6489300000001</v>
      </c>
      <c r="B1651" s="1">
        <f>DATE(2013,10,12) + TIME(15,34,27)</f>
        <v>41559.648923611108</v>
      </c>
      <c r="C1651">
        <v>80</v>
      </c>
      <c r="D1651">
        <v>79.958564757999994</v>
      </c>
      <c r="E1651">
        <v>50</v>
      </c>
      <c r="F1651">
        <v>39.331256865999997</v>
      </c>
      <c r="G1651">
        <v>1380.5145264</v>
      </c>
      <c r="H1651">
        <v>1367.1296387</v>
      </c>
      <c r="I1651">
        <v>1278.9458007999999</v>
      </c>
      <c r="J1651">
        <v>1255.6871338000001</v>
      </c>
      <c r="K1651">
        <v>2400</v>
      </c>
      <c r="L1651">
        <v>0</v>
      </c>
      <c r="M1651">
        <v>0</v>
      </c>
      <c r="N1651">
        <v>2400</v>
      </c>
    </row>
    <row r="1652" spans="1:14" x14ac:dyDescent="0.25">
      <c r="A1652">
        <v>1263.040432</v>
      </c>
      <c r="B1652" s="1">
        <f>DATE(2013,10,15) + TIME(0,58,13)</f>
        <v>41562.04042824074</v>
      </c>
      <c r="C1652">
        <v>80</v>
      </c>
      <c r="D1652">
        <v>79.958602905000006</v>
      </c>
      <c r="E1652">
        <v>50</v>
      </c>
      <c r="F1652">
        <v>39.193923949999999</v>
      </c>
      <c r="G1652">
        <v>1380.4522704999999</v>
      </c>
      <c r="H1652">
        <v>1367.0738524999999</v>
      </c>
      <c r="I1652">
        <v>1278.7907714999999</v>
      </c>
      <c r="J1652">
        <v>1255.4202881000001</v>
      </c>
      <c r="K1652">
        <v>2400</v>
      </c>
      <c r="L1652">
        <v>0</v>
      </c>
      <c r="M1652">
        <v>0</v>
      </c>
      <c r="N1652">
        <v>2400</v>
      </c>
    </row>
    <row r="1653" spans="1:14" x14ac:dyDescent="0.25">
      <c r="A1653">
        <v>1265.463299</v>
      </c>
      <c r="B1653" s="1">
        <f>DATE(2013,10,17) + TIME(11,7,9)</f>
        <v>41564.46329861111</v>
      </c>
      <c r="C1653">
        <v>80</v>
      </c>
      <c r="D1653">
        <v>79.958641052000004</v>
      </c>
      <c r="E1653">
        <v>50</v>
      </c>
      <c r="F1653">
        <v>39.061885834000002</v>
      </c>
      <c r="G1653">
        <v>1380.3900146000001</v>
      </c>
      <c r="H1653">
        <v>1367.0181885</v>
      </c>
      <c r="I1653">
        <v>1278.6384277</v>
      </c>
      <c r="J1653">
        <v>1255.1569824000001</v>
      </c>
      <c r="K1653">
        <v>2400</v>
      </c>
      <c r="L1653">
        <v>0</v>
      </c>
      <c r="M1653">
        <v>0</v>
      </c>
      <c r="N1653">
        <v>2400</v>
      </c>
    </row>
    <row r="1654" spans="1:14" x14ac:dyDescent="0.25">
      <c r="A1654">
        <v>1267.9168990000001</v>
      </c>
      <c r="B1654" s="1">
        <f>DATE(2013,10,19) + TIME(22,0,20)</f>
        <v>41566.916898148149</v>
      </c>
      <c r="C1654">
        <v>80</v>
      </c>
      <c r="D1654">
        <v>79.958679199000002</v>
      </c>
      <c r="E1654">
        <v>50</v>
      </c>
      <c r="F1654">
        <v>38.935432433999999</v>
      </c>
      <c r="G1654">
        <v>1380.3275146000001</v>
      </c>
      <c r="H1654">
        <v>1366.9620361</v>
      </c>
      <c r="I1654">
        <v>1278.4884033000001</v>
      </c>
      <c r="J1654">
        <v>1254.8966064000001</v>
      </c>
      <c r="K1654">
        <v>2400</v>
      </c>
      <c r="L1654">
        <v>0</v>
      </c>
      <c r="M1654">
        <v>0</v>
      </c>
      <c r="N1654">
        <v>2400</v>
      </c>
    </row>
    <row r="1655" spans="1:14" x14ac:dyDescent="0.25">
      <c r="A1655">
        <v>1270.39778</v>
      </c>
      <c r="B1655" s="1">
        <f>DATE(2013,10,22) + TIME(9,32,48)</f>
        <v>41569.397777777776</v>
      </c>
      <c r="C1655">
        <v>80</v>
      </c>
      <c r="D1655">
        <v>79.958724975999999</v>
      </c>
      <c r="E1655">
        <v>50</v>
      </c>
      <c r="F1655">
        <v>38.815364838000001</v>
      </c>
      <c r="G1655">
        <v>1380.2645264</v>
      </c>
      <c r="H1655">
        <v>1366.9055175999999</v>
      </c>
      <c r="I1655">
        <v>1278.3409423999999</v>
      </c>
      <c r="J1655">
        <v>1254.6397704999999</v>
      </c>
      <c r="K1655">
        <v>2400</v>
      </c>
      <c r="L1655">
        <v>0</v>
      </c>
      <c r="M1655">
        <v>0</v>
      </c>
      <c r="N1655">
        <v>2400</v>
      </c>
    </row>
    <row r="1656" spans="1:14" x14ac:dyDescent="0.25">
      <c r="A1656">
        <v>1272.904601</v>
      </c>
      <c r="B1656" s="1">
        <f>DATE(2013,10,24) + TIME(21,42,37)</f>
        <v>41571.904594907406</v>
      </c>
      <c r="C1656">
        <v>80</v>
      </c>
      <c r="D1656">
        <v>79.958763122999997</v>
      </c>
      <c r="E1656">
        <v>50</v>
      </c>
      <c r="F1656">
        <v>38.702682494999998</v>
      </c>
      <c r="G1656">
        <v>1380.2012939000001</v>
      </c>
      <c r="H1656">
        <v>1366.8486327999999</v>
      </c>
      <c r="I1656">
        <v>1278.1965332</v>
      </c>
      <c r="J1656">
        <v>1254.3875731999999</v>
      </c>
      <c r="K1656">
        <v>2400</v>
      </c>
      <c r="L1656">
        <v>0</v>
      </c>
      <c r="M1656">
        <v>0</v>
      </c>
      <c r="N1656">
        <v>2400</v>
      </c>
    </row>
    <row r="1657" spans="1:14" x14ac:dyDescent="0.25">
      <c r="A1657">
        <v>1275.4369409999999</v>
      </c>
      <c r="B1657" s="1">
        <f>DATE(2013,10,27) + TIME(10,29,11)</f>
        <v>41574.436932870369</v>
      </c>
      <c r="C1657">
        <v>80</v>
      </c>
      <c r="D1657">
        <v>79.958808899000005</v>
      </c>
      <c r="E1657">
        <v>50</v>
      </c>
      <c r="F1657">
        <v>38.598392486999998</v>
      </c>
      <c r="G1657">
        <v>1380.1379394999999</v>
      </c>
      <c r="H1657">
        <v>1366.7913818</v>
      </c>
      <c r="I1657">
        <v>1278.0556641000001</v>
      </c>
      <c r="J1657">
        <v>1254.1408690999999</v>
      </c>
      <c r="K1657">
        <v>2400</v>
      </c>
      <c r="L1657">
        <v>0</v>
      </c>
      <c r="M1657">
        <v>0</v>
      </c>
      <c r="N1657">
        <v>2400</v>
      </c>
    </row>
    <row r="1658" spans="1:14" x14ac:dyDescent="0.25">
      <c r="A1658">
        <v>1278.001653</v>
      </c>
      <c r="B1658" s="1">
        <f>DATE(2013,10,30) + TIME(0,2,22)</f>
        <v>41577.001643518517</v>
      </c>
      <c r="C1658">
        <v>80</v>
      </c>
      <c r="D1658">
        <v>79.958847046000002</v>
      </c>
      <c r="E1658">
        <v>50</v>
      </c>
      <c r="F1658">
        <v>38.503429412999999</v>
      </c>
      <c r="G1658">
        <v>1380.0742187999999</v>
      </c>
      <c r="H1658">
        <v>1366.7338867000001</v>
      </c>
      <c r="I1658">
        <v>1277.9189452999999</v>
      </c>
      <c r="J1658">
        <v>1253.9005127</v>
      </c>
      <c r="K1658">
        <v>2400</v>
      </c>
      <c r="L1658">
        <v>0</v>
      </c>
      <c r="M1658">
        <v>0</v>
      </c>
      <c r="N1658">
        <v>2400</v>
      </c>
    </row>
    <row r="1659" spans="1:14" x14ac:dyDescent="0.25">
      <c r="A1659">
        <v>1280</v>
      </c>
      <c r="B1659" s="1">
        <f>DATE(2013,11,1) + TIME(0,0,0)</f>
        <v>41579</v>
      </c>
      <c r="C1659">
        <v>80</v>
      </c>
      <c r="D1659">
        <v>79.958877563000001</v>
      </c>
      <c r="E1659">
        <v>50</v>
      </c>
      <c r="F1659">
        <v>38.424446105999998</v>
      </c>
      <c r="G1659">
        <v>1380.0101318</v>
      </c>
      <c r="H1659">
        <v>1366.6760254000001</v>
      </c>
      <c r="I1659">
        <v>1277.7884521000001</v>
      </c>
      <c r="J1659">
        <v>1253.6734618999999</v>
      </c>
      <c r="K1659">
        <v>2400</v>
      </c>
      <c r="L1659">
        <v>0</v>
      </c>
      <c r="M1659">
        <v>0</v>
      </c>
      <c r="N1659">
        <v>2400</v>
      </c>
    </row>
    <row r="1660" spans="1:14" x14ac:dyDescent="0.25">
      <c r="A1660">
        <v>1280.0000010000001</v>
      </c>
      <c r="B1660" s="1">
        <f>DATE(2013,11,1) + TIME(0,0,0)</f>
        <v>41579</v>
      </c>
      <c r="C1660">
        <v>80</v>
      </c>
      <c r="D1660">
        <v>79.958755492999998</v>
      </c>
      <c r="E1660">
        <v>50</v>
      </c>
      <c r="F1660">
        <v>38.424568176000001</v>
      </c>
      <c r="G1660">
        <v>1365.8040771000001</v>
      </c>
      <c r="H1660">
        <v>1353.8244629000001</v>
      </c>
      <c r="I1660">
        <v>1302.6434326000001</v>
      </c>
      <c r="J1660">
        <v>1278.6862793</v>
      </c>
      <c r="K1660">
        <v>0</v>
      </c>
      <c r="L1660">
        <v>2400</v>
      </c>
      <c r="M1660">
        <v>2400</v>
      </c>
      <c r="N1660">
        <v>0</v>
      </c>
    </row>
    <row r="1661" spans="1:14" x14ac:dyDescent="0.25">
      <c r="A1661">
        <v>1280.000004</v>
      </c>
      <c r="B1661" s="1">
        <f>DATE(2013,11,1) + TIME(0,0,0)</f>
        <v>41579</v>
      </c>
      <c r="C1661">
        <v>80</v>
      </c>
      <c r="D1661">
        <v>79.958442688000005</v>
      </c>
      <c r="E1661">
        <v>50</v>
      </c>
      <c r="F1661">
        <v>38.424900055000002</v>
      </c>
      <c r="G1661">
        <v>1363.6015625</v>
      </c>
      <c r="H1661">
        <v>1351.6213379000001</v>
      </c>
      <c r="I1661">
        <v>1305.0408935999999</v>
      </c>
      <c r="J1661">
        <v>1281.1296387</v>
      </c>
      <c r="K1661">
        <v>0</v>
      </c>
      <c r="L1661">
        <v>2400</v>
      </c>
      <c r="M1661">
        <v>2400</v>
      </c>
      <c r="N1661">
        <v>0</v>
      </c>
    </row>
    <row r="1662" spans="1:14" x14ac:dyDescent="0.25">
      <c r="A1662">
        <v>1280.0000130000001</v>
      </c>
      <c r="B1662" s="1">
        <f>DATE(2013,11,1) + TIME(0,0,1)</f>
        <v>41579.000011574077</v>
      </c>
      <c r="C1662">
        <v>80</v>
      </c>
      <c r="D1662">
        <v>79.957809448000006</v>
      </c>
      <c r="E1662">
        <v>50</v>
      </c>
      <c r="F1662">
        <v>38.425704955999997</v>
      </c>
      <c r="G1662">
        <v>1359.1553954999999</v>
      </c>
      <c r="H1662">
        <v>1347.1746826000001</v>
      </c>
      <c r="I1662">
        <v>1310.6824951000001</v>
      </c>
      <c r="J1662">
        <v>1286.8515625</v>
      </c>
      <c r="K1662">
        <v>0</v>
      </c>
      <c r="L1662">
        <v>2400</v>
      </c>
      <c r="M1662">
        <v>2400</v>
      </c>
      <c r="N1662">
        <v>0</v>
      </c>
    </row>
    <row r="1663" spans="1:14" x14ac:dyDescent="0.25">
      <c r="A1663">
        <v>1280.0000399999999</v>
      </c>
      <c r="B1663" s="1">
        <f>DATE(2013,11,1) + TIME(0,0,3)</f>
        <v>41579.000034722223</v>
      </c>
      <c r="C1663">
        <v>80</v>
      </c>
      <c r="D1663">
        <v>79.956886291999993</v>
      </c>
      <c r="E1663">
        <v>50</v>
      </c>
      <c r="F1663">
        <v>38.427295684999997</v>
      </c>
      <c r="G1663">
        <v>1352.6617432</v>
      </c>
      <c r="H1663">
        <v>1340.6816406</v>
      </c>
      <c r="I1663">
        <v>1320.8161620999999</v>
      </c>
      <c r="J1663">
        <v>1297.0501709</v>
      </c>
      <c r="K1663">
        <v>0</v>
      </c>
      <c r="L1663">
        <v>2400</v>
      </c>
      <c r="M1663">
        <v>2400</v>
      </c>
      <c r="N1663">
        <v>0</v>
      </c>
    </row>
    <row r="1664" spans="1:14" x14ac:dyDescent="0.25">
      <c r="A1664">
        <v>1280.000121</v>
      </c>
      <c r="B1664" s="1">
        <f>DATE(2013,11,1) + TIME(0,0,10)</f>
        <v>41579.000115740739</v>
      </c>
      <c r="C1664">
        <v>80</v>
      </c>
      <c r="D1664">
        <v>79.955841063999998</v>
      </c>
      <c r="E1664">
        <v>50</v>
      </c>
      <c r="F1664">
        <v>38.429977417000003</v>
      </c>
      <c r="G1664">
        <v>1345.4327393000001</v>
      </c>
      <c r="H1664">
        <v>1333.4582519999999</v>
      </c>
      <c r="I1664">
        <v>1333.9390868999999</v>
      </c>
      <c r="J1664">
        <v>1310.1812743999999</v>
      </c>
      <c r="K1664">
        <v>0</v>
      </c>
      <c r="L1664">
        <v>2400</v>
      </c>
      <c r="M1664">
        <v>2400</v>
      </c>
      <c r="N1664">
        <v>0</v>
      </c>
    </row>
    <row r="1665" spans="1:14" x14ac:dyDescent="0.25">
      <c r="A1665">
        <v>1280.000364</v>
      </c>
      <c r="B1665" s="1">
        <f>DATE(2013,11,1) + TIME(0,0,31)</f>
        <v>41579.000358796293</v>
      </c>
      <c r="C1665">
        <v>80</v>
      </c>
      <c r="D1665">
        <v>79.954765320000007</v>
      </c>
      <c r="E1665">
        <v>50</v>
      </c>
      <c r="F1665">
        <v>38.434986115000001</v>
      </c>
      <c r="G1665">
        <v>1338.1663818</v>
      </c>
      <c r="H1665">
        <v>1326.1981201000001</v>
      </c>
      <c r="I1665">
        <v>1347.8414307</v>
      </c>
      <c r="J1665">
        <v>1324.0754394999999</v>
      </c>
      <c r="K1665">
        <v>0</v>
      </c>
      <c r="L1665">
        <v>2400</v>
      </c>
      <c r="M1665">
        <v>2400</v>
      </c>
      <c r="N1665">
        <v>0</v>
      </c>
    </row>
    <row r="1666" spans="1:14" x14ac:dyDescent="0.25">
      <c r="A1666">
        <v>1280.0010930000001</v>
      </c>
      <c r="B1666" s="1">
        <f>DATE(2013,11,1) + TIME(0,1,34)</f>
        <v>41579.001087962963</v>
      </c>
      <c r="C1666">
        <v>80</v>
      </c>
      <c r="D1666">
        <v>79.953590392999999</v>
      </c>
      <c r="E1666">
        <v>50</v>
      </c>
      <c r="F1666">
        <v>38.446735382</v>
      </c>
      <c r="G1666">
        <v>1330.8518065999999</v>
      </c>
      <c r="H1666">
        <v>1318.8651123</v>
      </c>
      <c r="I1666">
        <v>1361.9792480000001</v>
      </c>
      <c r="J1666">
        <v>1338.1904297000001</v>
      </c>
      <c r="K1666">
        <v>0</v>
      </c>
      <c r="L1666">
        <v>2400</v>
      </c>
      <c r="M1666">
        <v>2400</v>
      </c>
      <c r="N1666">
        <v>0</v>
      </c>
    </row>
    <row r="1667" spans="1:14" x14ac:dyDescent="0.25">
      <c r="A1667">
        <v>1280.0032799999999</v>
      </c>
      <c r="B1667" s="1">
        <f>DATE(2013,11,1) + TIME(0,4,43)</f>
        <v>41579.003275462965</v>
      </c>
      <c r="C1667">
        <v>80</v>
      </c>
      <c r="D1667">
        <v>79.952072143999999</v>
      </c>
      <c r="E1667">
        <v>50</v>
      </c>
      <c r="F1667">
        <v>38.478694916000002</v>
      </c>
      <c r="G1667">
        <v>1323.1169434000001</v>
      </c>
      <c r="H1667">
        <v>1311.0247803</v>
      </c>
      <c r="I1667">
        <v>1376.5178223</v>
      </c>
      <c r="J1667">
        <v>1352.6516113</v>
      </c>
      <c r="K1667">
        <v>0</v>
      </c>
      <c r="L1667">
        <v>2400</v>
      </c>
      <c r="M1667">
        <v>2400</v>
      </c>
      <c r="N1667">
        <v>0</v>
      </c>
    </row>
    <row r="1668" spans="1:14" x14ac:dyDescent="0.25">
      <c r="A1668">
        <v>1280.0098410000001</v>
      </c>
      <c r="B1668" s="1">
        <f>DATE(2013,11,1) + TIME(0,14,10)</f>
        <v>41579.009837962964</v>
      </c>
      <c r="C1668">
        <v>80</v>
      </c>
      <c r="D1668">
        <v>79.949607849000003</v>
      </c>
      <c r="E1668">
        <v>50</v>
      </c>
      <c r="F1668">
        <v>38.570980071999998</v>
      </c>
      <c r="G1668">
        <v>1314.7193603999999</v>
      </c>
      <c r="H1668">
        <v>1302.4753418</v>
      </c>
      <c r="I1668">
        <v>1390.7341309000001</v>
      </c>
      <c r="J1668">
        <v>1366.7451172000001</v>
      </c>
      <c r="K1668">
        <v>0</v>
      </c>
      <c r="L1668">
        <v>2400</v>
      </c>
      <c r="M1668">
        <v>2400</v>
      </c>
      <c r="N1668">
        <v>0</v>
      </c>
    </row>
    <row r="1669" spans="1:14" x14ac:dyDescent="0.25">
      <c r="A1669">
        <v>1280.029524</v>
      </c>
      <c r="B1669" s="1">
        <f>DATE(2013,11,1) + TIME(0,42,30)</f>
        <v>41579.029513888891</v>
      </c>
      <c r="C1669">
        <v>80</v>
      </c>
      <c r="D1669">
        <v>79.944770813000005</v>
      </c>
      <c r="E1669">
        <v>50</v>
      </c>
      <c r="F1669">
        <v>38.839458466000004</v>
      </c>
      <c r="G1669">
        <v>1307.1114502</v>
      </c>
      <c r="H1669">
        <v>1294.7753906</v>
      </c>
      <c r="I1669">
        <v>1401.6225586</v>
      </c>
      <c r="J1669">
        <v>1377.5985106999999</v>
      </c>
      <c r="K1669">
        <v>0</v>
      </c>
      <c r="L1669">
        <v>2400</v>
      </c>
      <c r="M1669">
        <v>2400</v>
      </c>
      <c r="N1669">
        <v>0</v>
      </c>
    </row>
    <row r="1670" spans="1:14" x14ac:dyDescent="0.25">
      <c r="A1670">
        <v>1280.0804430000001</v>
      </c>
      <c r="B1670" s="1">
        <f>DATE(2013,11,1) + TIME(1,55,50)</f>
        <v>41579.080439814818</v>
      </c>
      <c r="C1670">
        <v>80</v>
      </c>
      <c r="D1670">
        <v>79.934829711999996</v>
      </c>
      <c r="E1670">
        <v>50</v>
      </c>
      <c r="F1670">
        <v>39.493038177000003</v>
      </c>
      <c r="G1670">
        <v>1302.996582</v>
      </c>
      <c r="H1670">
        <v>1290.6289062000001</v>
      </c>
      <c r="I1670">
        <v>1405.9801024999999</v>
      </c>
      <c r="J1670">
        <v>1382.1677245999999</v>
      </c>
      <c r="K1670">
        <v>0</v>
      </c>
      <c r="L1670">
        <v>2400</v>
      </c>
      <c r="M1670">
        <v>2400</v>
      </c>
      <c r="N1670">
        <v>0</v>
      </c>
    </row>
    <row r="1671" spans="1:14" x14ac:dyDescent="0.25">
      <c r="A1671">
        <v>1280.134094</v>
      </c>
      <c r="B1671" s="1">
        <f>DATE(2013,11,1) + TIME(3,13,5)</f>
        <v>41579.134085648147</v>
      </c>
      <c r="C1671">
        <v>80</v>
      </c>
      <c r="D1671">
        <v>79.924987793</v>
      </c>
      <c r="E1671">
        <v>50</v>
      </c>
      <c r="F1671">
        <v>40.140148162999999</v>
      </c>
      <c r="G1671">
        <v>1301.9530029</v>
      </c>
      <c r="H1671">
        <v>1289.5787353999999</v>
      </c>
      <c r="I1671">
        <v>1406.4410399999999</v>
      </c>
      <c r="J1671">
        <v>1382.8752440999999</v>
      </c>
      <c r="K1671">
        <v>0</v>
      </c>
      <c r="L1671">
        <v>2400</v>
      </c>
      <c r="M1671">
        <v>2400</v>
      </c>
      <c r="N1671">
        <v>0</v>
      </c>
    </row>
    <row r="1672" spans="1:14" x14ac:dyDescent="0.25">
      <c r="A1672">
        <v>1280.1904750000001</v>
      </c>
      <c r="B1672" s="1">
        <f>DATE(2013,11,1) + TIME(4,34,17)</f>
        <v>41579.190474537034</v>
      </c>
      <c r="C1672">
        <v>80</v>
      </c>
      <c r="D1672">
        <v>79.914947510000005</v>
      </c>
      <c r="E1672">
        <v>50</v>
      </c>
      <c r="F1672">
        <v>40.777267455999997</v>
      </c>
      <c r="G1672">
        <v>1301.6641846</v>
      </c>
      <c r="H1672">
        <v>1289.2879639</v>
      </c>
      <c r="I1672">
        <v>1406.1700439000001</v>
      </c>
      <c r="J1672">
        <v>1382.8525391000001</v>
      </c>
      <c r="K1672">
        <v>0</v>
      </c>
      <c r="L1672">
        <v>2400</v>
      </c>
      <c r="M1672">
        <v>2400</v>
      </c>
      <c r="N1672">
        <v>0</v>
      </c>
    </row>
    <row r="1673" spans="1:14" x14ac:dyDescent="0.25">
      <c r="A1673">
        <v>1280.249838</v>
      </c>
      <c r="B1673" s="1">
        <f>DATE(2013,11,1) + TIME(5,59,46)</f>
        <v>41579.249837962961</v>
      </c>
      <c r="C1673">
        <v>80</v>
      </c>
      <c r="D1673">
        <v>79.904617310000006</v>
      </c>
      <c r="E1673">
        <v>50</v>
      </c>
      <c r="F1673">
        <v>41.403392791999998</v>
      </c>
      <c r="G1673">
        <v>1301.5769043</v>
      </c>
      <c r="H1673">
        <v>1289.199707</v>
      </c>
      <c r="I1673">
        <v>1405.7860106999999</v>
      </c>
      <c r="J1673">
        <v>1382.7097168</v>
      </c>
      <c r="K1673">
        <v>0</v>
      </c>
      <c r="L1673">
        <v>2400</v>
      </c>
      <c r="M1673">
        <v>2400</v>
      </c>
      <c r="N1673">
        <v>0</v>
      </c>
    </row>
    <row r="1674" spans="1:14" x14ac:dyDescent="0.25">
      <c r="A1674">
        <v>1280.3125279999999</v>
      </c>
      <c r="B1674" s="1">
        <f>DATE(2013,11,1) + TIME(7,30,2)</f>
        <v>41579.312523148146</v>
      </c>
      <c r="C1674">
        <v>80</v>
      </c>
      <c r="D1674">
        <v>79.893928528000004</v>
      </c>
      <c r="E1674">
        <v>50</v>
      </c>
      <c r="F1674">
        <v>42.018115997000002</v>
      </c>
      <c r="G1674">
        <v>1301.5477295000001</v>
      </c>
      <c r="H1674">
        <v>1289.1699219</v>
      </c>
      <c r="I1674">
        <v>1405.4019774999999</v>
      </c>
      <c r="J1674">
        <v>1382.5581055</v>
      </c>
      <c r="K1674">
        <v>0</v>
      </c>
      <c r="L1674">
        <v>2400</v>
      </c>
      <c r="M1674">
        <v>2400</v>
      </c>
      <c r="N1674">
        <v>0</v>
      </c>
    </row>
    <row r="1675" spans="1:14" x14ac:dyDescent="0.25">
      <c r="A1675">
        <v>1280.378964</v>
      </c>
      <c r="B1675" s="1">
        <f>DATE(2013,11,1) + TIME(9,5,42)</f>
        <v>41579.378958333335</v>
      </c>
      <c r="C1675">
        <v>80</v>
      </c>
      <c r="D1675">
        <v>79.882843018000003</v>
      </c>
      <c r="E1675">
        <v>50</v>
      </c>
      <c r="F1675">
        <v>42.621089935000001</v>
      </c>
      <c r="G1675">
        <v>1301.536499</v>
      </c>
      <c r="H1675">
        <v>1289.1580810999999</v>
      </c>
      <c r="I1675">
        <v>1405.0330810999999</v>
      </c>
      <c r="J1675">
        <v>1382.4128418</v>
      </c>
      <c r="K1675">
        <v>0</v>
      </c>
      <c r="L1675">
        <v>2400</v>
      </c>
      <c r="M1675">
        <v>2400</v>
      </c>
      <c r="N1675">
        <v>0</v>
      </c>
    </row>
    <row r="1676" spans="1:14" x14ac:dyDescent="0.25">
      <c r="A1676">
        <v>1280.44965</v>
      </c>
      <c r="B1676" s="1">
        <f>DATE(2013,11,1) + TIME(10,47,29)</f>
        <v>41579.449641203704</v>
      </c>
      <c r="C1676">
        <v>80</v>
      </c>
      <c r="D1676">
        <v>79.871292113999999</v>
      </c>
      <c r="E1676">
        <v>50</v>
      </c>
      <c r="F1676">
        <v>43.211921691999997</v>
      </c>
      <c r="G1676">
        <v>1301.5311279</v>
      </c>
      <c r="H1676">
        <v>1289.1520995999999</v>
      </c>
      <c r="I1676">
        <v>1404.6782227000001</v>
      </c>
      <c r="J1676">
        <v>1382.2730713000001</v>
      </c>
      <c r="K1676">
        <v>0</v>
      </c>
      <c r="L1676">
        <v>2400</v>
      </c>
      <c r="M1676">
        <v>2400</v>
      </c>
      <c r="N1676">
        <v>0</v>
      </c>
    </row>
    <row r="1677" spans="1:14" x14ac:dyDescent="0.25">
      <c r="A1677">
        <v>1280.5251949999999</v>
      </c>
      <c r="B1677" s="1">
        <f>DATE(2013,11,1) + TIME(12,36,16)</f>
        <v>41579.525185185186</v>
      </c>
      <c r="C1677">
        <v>80</v>
      </c>
      <c r="D1677">
        <v>79.859207153</v>
      </c>
      <c r="E1677">
        <v>50</v>
      </c>
      <c r="F1677">
        <v>43.790145873999997</v>
      </c>
      <c r="G1677">
        <v>1301.5275879000001</v>
      </c>
      <c r="H1677">
        <v>1289.1479492000001</v>
      </c>
      <c r="I1677">
        <v>1404.3353271000001</v>
      </c>
      <c r="J1677">
        <v>1382.1370850000001</v>
      </c>
      <c r="K1677">
        <v>0</v>
      </c>
      <c r="L1677">
        <v>2400</v>
      </c>
      <c r="M1677">
        <v>2400</v>
      </c>
      <c r="N1677">
        <v>0</v>
      </c>
    </row>
    <row r="1678" spans="1:14" x14ac:dyDescent="0.25">
      <c r="A1678">
        <v>1280.6063409999999</v>
      </c>
      <c r="B1678" s="1">
        <f>DATE(2013,11,1) + TIME(14,33,7)</f>
        <v>41579.60633101852</v>
      </c>
      <c r="C1678">
        <v>80</v>
      </c>
      <c r="D1678">
        <v>79.846511840999995</v>
      </c>
      <c r="E1678">
        <v>50</v>
      </c>
      <c r="F1678">
        <v>44.355209350999999</v>
      </c>
      <c r="G1678">
        <v>1301.5245361</v>
      </c>
      <c r="H1678">
        <v>1289.1442870999999</v>
      </c>
      <c r="I1678">
        <v>1404.0031738</v>
      </c>
      <c r="J1678">
        <v>1382.0035399999999</v>
      </c>
      <c r="K1678">
        <v>0</v>
      </c>
      <c r="L1678">
        <v>2400</v>
      </c>
      <c r="M1678">
        <v>2400</v>
      </c>
      <c r="N1678">
        <v>0</v>
      </c>
    </row>
    <row r="1679" spans="1:14" x14ac:dyDescent="0.25">
      <c r="A1679">
        <v>1280.6940079999999</v>
      </c>
      <c r="B1679" s="1">
        <f>DATE(2013,11,1) + TIME(16,39,22)</f>
        <v>41579.694004629629</v>
      </c>
      <c r="C1679">
        <v>80</v>
      </c>
      <c r="D1679">
        <v>79.833106994999994</v>
      </c>
      <c r="E1679">
        <v>50</v>
      </c>
      <c r="F1679">
        <v>44.906448363999999</v>
      </c>
      <c r="G1679">
        <v>1301.5214844</v>
      </c>
      <c r="H1679">
        <v>1289.140625</v>
      </c>
      <c r="I1679">
        <v>1403.6806641000001</v>
      </c>
      <c r="J1679">
        <v>1381.8717041</v>
      </c>
      <c r="K1679">
        <v>0</v>
      </c>
      <c r="L1679">
        <v>2400</v>
      </c>
      <c r="M1679">
        <v>2400</v>
      </c>
      <c r="N1679">
        <v>0</v>
      </c>
    </row>
    <row r="1680" spans="1:14" x14ac:dyDescent="0.25">
      <c r="A1680">
        <v>1280.789354</v>
      </c>
      <c r="B1680" s="1">
        <f>DATE(2013,11,1) + TIME(18,56,40)</f>
        <v>41579.789351851854</v>
      </c>
      <c r="C1680">
        <v>80</v>
      </c>
      <c r="D1680">
        <v>79.818870544000006</v>
      </c>
      <c r="E1680">
        <v>50</v>
      </c>
      <c r="F1680">
        <v>45.443058014000002</v>
      </c>
      <c r="G1680">
        <v>1301.5183105000001</v>
      </c>
      <c r="H1680">
        <v>1289.1367187999999</v>
      </c>
      <c r="I1680">
        <v>1403.3670654</v>
      </c>
      <c r="J1680">
        <v>1381.7408447</v>
      </c>
      <c r="K1680">
        <v>0</v>
      </c>
      <c r="L1680">
        <v>2400</v>
      </c>
      <c r="M1680">
        <v>2400</v>
      </c>
      <c r="N1680">
        <v>0</v>
      </c>
    </row>
    <row r="1681" spans="1:14" x14ac:dyDescent="0.25">
      <c r="A1681">
        <v>1280.8938350000001</v>
      </c>
      <c r="B1681" s="1">
        <f>DATE(2013,11,1) + TIME(21,27,7)</f>
        <v>41579.893831018519</v>
      </c>
      <c r="C1681">
        <v>80</v>
      </c>
      <c r="D1681">
        <v>79.803642272999994</v>
      </c>
      <c r="E1681">
        <v>50</v>
      </c>
      <c r="F1681">
        <v>45.963970183999997</v>
      </c>
      <c r="G1681">
        <v>1301.5147704999999</v>
      </c>
      <c r="H1681">
        <v>1289.1324463000001</v>
      </c>
      <c r="I1681">
        <v>1403.0618896000001</v>
      </c>
      <c r="J1681">
        <v>1381.6105957</v>
      </c>
      <c r="K1681">
        <v>0</v>
      </c>
      <c r="L1681">
        <v>2400</v>
      </c>
      <c r="M1681">
        <v>2400</v>
      </c>
      <c r="N1681">
        <v>0</v>
      </c>
    </row>
    <row r="1682" spans="1:14" x14ac:dyDescent="0.25">
      <c r="A1682">
        <v>1281.0093999999999</v>
      </c>
      <c r="B1682" s="1">
        <f>DATE(2013,11,2) + TIME(0,13,32)</f>
        <v>41580.009398148148</v>
      </c>
      <c r="C1682">
        <v>80</v>
      </c>
      <c r="D1682">
        <v>79.787231445000003</v>
      </c>
      <c r="E1682">
        <v>50</v>
      </c>
      <c r="F1682">
        <v>46.468105315999999</v>
      </c>
      <c r="G1682">
        <v>1301.5109863</v>
      </c>
      <c r="H1682">
        <v>1289.1278076000001</v>
      </c>
      <c r="I1682">
        <v>1402.7644043</v>
      </c>
      <c r="J1682">
        <v>1381.4801024999999</v>
      </c>
      <c r="K1682">
        <v>0</v>
      </c>
      <c r="L1682">
        <v>2400</v>
      </c>
      <c r="M1682">
        <v>2400</v>
      </c>
      <c r="N1682">
        <v>0</v>
      </c>
    </row>
    <row r="1683" spans="1:14" x14ac:dyDescent="0.25">
      <c r="A1683">
        <v>1281.1386339999999</v>
      </c>
      <c r="B1683" s="1">
        <f>DATE(2013,11,2) + TIME(3,19,38)</f>
        <v>41580.13863425926</v>
      </c>
      <c r="C1683">
        <v>80</v>
      </c>
      <c r="D1683">
        <v>79.769378661999994</v>
      </c>
      <c r="E1683">
        <v>50</v>
      </c>
      <c r="F1683">
        <v>46.954021453999999</v>
      </c>
      <c r="G1683">
        <v>1301.5067139</v>
      </c>
      <c r="H1683">
        <v>1289.1226807</v>
      </c>
      <c r="I1683">
        <v>1402.4738769999999</v>
      </c>
      <c r="J1683">
        <v>1381.3488769999999</v>
      </c>
      <c r="K1683">
        <v>0</v>
      </c>
      <c r="L1683">
        <v>2400</v>
      </c>
      <c r="M1683">
        <v>2400</v>
      </c>
      <c r="N1683">
        <v>0</v>
      </c>
    </row>
    <row r="1684" spans="1:14" x14ac:dyDescent="0.25">
      <c r="A1684">
        <v>1281.285093</v>
      </c>
      <c r="B1684" s="1">
        <f>DATE(2013,11,2) + TIME(6,50,32)</f>
        <v>41580.285092592596</v>
      </c>
      <c r="C1684">
        <v>80</v>
      </c>
      <c r="D1684">
        <v>79.749725342000005</v>
      </c>
      <c r="E1684">
        <v>50</v>
      </c>
      <c r="F1684">
        <v>47.419910430999998</v>
      </c>
      <c r="G1684">
        <v>1301.5019531</v>
      </c>
      <c r="H1684">
        <v>1289.1169434000001</v>
      </c>
      <c r="I1684">
        <v>1402.1898193</v>
      </c>
      <c r="J1684">
        <v>1381.2159423999999</v>
      </c>
      <c r="K1684">
        <v>0</v>
      </c>
      <c r="L1684">
        <v>2400</v>
      </c>
      <c r="M1684">
        <v>2400</v>
      </c>
      <c r="N1684">
        <v>0</v>
      </c>
    </row>
    <row r="1685" spans="1:14" x14ac:dyDescent="0.25">
      <c r="A1685">
        <v>1281.4538379999999</v>
      </c>
      <c r="B1685" s="1">
        <f>DATE(2013,11,2) + TIME(10,53,31)</f>
        <v>41580.453831018516</v>
      </c>
      <c r="C1685">
        <v>80</v>
      </c>
      <c r="D1685">
        <v>79.727806091000005</v>
      </c>
      <c r="E1685">
        <v>50</v>
      </c>
      <c r="F1685">
        <v>47.863475800000003</v>
      </c>
      <c r="G1685">
        <v>1301.496582</v>
      </c>
      <c r="H1685">
        <v>1289.1105957</v>
      </c>
      <c r="I1685">
        <v>1401.9112548999999</v>
      </c>
      <c r="J1685">
        <v>1381.0803223</v>
      </c>
      <c r="K1685">
        <v>0</v>
      </c>
      <c r="L1685">
        <v>2400</v>
      </c>
      <c r="M1685">
        <v>2400</v>
      </c>
      <c r="N1685">
        <v>0</v>
      </c>
    </row>
    <row r="1686" spans="1:14" x14ac:dyDescent="0.25">
      <c r="A1686">
        <v>1281.6523790000001</v>
      </c>
      <c r="B1686" s="1">
        <f>DATE(2013,11,2) + TIME(15,39,25)</f>
        <v>41580.652372685188</v>
      </c>
      <c r="C1686">
        <v>80</v>
      </c>
      <c r="D1686">
        <v>79.702919006000002</v>
      </c>
      <c r="E1686">
        <v>50</v>
      </c>
      <c r="F1686">
        <v>48.281753539999997</v>
      </c>
      <c r="G1686">
        <v>1301.4903564000001</v>
      </c>
      <c r="H1686">
        <v>1289.1031493999999</v>
      </c>
      <c r="I1686">
        <v>1401.6374512</v>
      </c>
      <c r="J1686">
        <v>1380.9404297000001</v>
      </c>
      <c r="K1686">
        <v>0</v>
      </c>
      <c r="L1686">
        <v>2400</v>
      </c>
      <c r="M1686">
        <v>2400</v>
      </c>
      <c r="N1686">
        <v>0</v>
      </c>
    </row>
    <row r="1687" spans="1:14" x14ac:dyDescent="0.25">
      <c r="A1687">
        <v>1281.867129</v>
      </c>
      <c r="B1687" s="1">
        <f>DATE(2013,11,2) + TIME(20,48,39)</f>
        <v>41580.867118055554</v>
      </c>
      <c r="C1687">
        <v>80</v>
      </c>
      <c r="D1687">
        <v>79.676467896000005</v>
      </c>
      <c r="E1687">
        <v>50</v>
      </c>
      <c r="F1687">
        <v>48.638488770000002</v>
      </c>
      <c r="G1687">
        <v>1301.4829102000001</v>
      </c>
      <c r="H1687">
        <v>1289.0946045000001</v>
      </c>
      <c r="I1687">
        <v>1401.3863524999999</v>
      </c>
      <c r="J1687">
        <v>1380.8027344</v>
      </c>
      <c r="K1687">
        <v>0</v>
      </c>
      <c r="L1687">
        <v>2400</v>
      </c>
      <c r="M1687">
        <v>2400</v>
      </c>
      <c r="N1687">
        <v>0</v>
      </c>
    </row>
    <row r="1688" spans="1:14" x14ac:dyDescent="0.25">
      <c r="A1688">
        <v>1282.084705</v>
      </c>
      <c r="B1688" s="1">
        <f>DATE(2013,11,3) + TIME(2,1,58)</f>
        <v>41581.084699074076</v>
      </c>
      <c r="C1688">
        <v>80</v>
      </c>
      <c r="D1688">
        <v>79.649742126000007</v>
      </c>
      <c r="E1688">
        <v>50</v>
      </c>
      <c r="F1688">
        <v>48.922626495000003</v>
      </c>
      <c r="G1688">
        <v>1301.4748535000001</v>
      </c>
      <c r="H1688">
        <v>1289.0854492000001</v>
      </c>
      <c r="I1688">
        <v>1401.1671143000001</v>
      </c>
      <c r="J1688">
        <v>1380.6737060999999</v>
      </c>
      <c r="K1688">
        <v>0</v>
      </c>
      <c r="L1688">
        <v>2400</v>
      </c>
      <c r="M1688">
        <v>2400</v>
      </c>
      <c r="N1688">
        <v>0</v>
      </c>
    </row>
    <row r="1689" spans="1:14" x14ac:dyDescent="0.25">
      <c r="A1689">
        <v>1282.3090099999999</v>
      </c>
      <c r="B1689" s="1">
        <f>DATE(2013,11,3) + TIME(7,24,58)</f>
        <v>41581.309004629627</v>
      </c>
      <c r="C1689">
        <v>80</v>
      </c>
      <c r="D1689">
        <v>79.622406006000006</v>
      </c>
      <c r="E1689">
        <v>50</v>
      </c>
      <c r="F1689">
        <v>49.151363373000002</v>
      </c>
      <c r="G1689">
        <v>1301.4666748</v>
      </c>
      <c r="H1689">
        <v>1289.0761719</v>
      </c>
      <c r="I1689">
        <v>1400.9743652</v>
      </c>
      <c r="J1689">
        <v>1380.5545654</v>
      </c>
      <c r="K1689">
        <v>0</v>
      </c>
      <c r="L1689">
        <v>2400</v>
      </c>
      <c r="M1689">
        <v>2400</v>
      </c>
      <c r="N1689">
        <v>0</v>
      </c>
    </row>
    <row r="1690" spans="1:14" x14ac:dyDescent="0.25">
      <c r="A1690">
        <v>1282.5423949999999</v>
      </c>
      <c r="B1690" s="1">
        <f>DATE(2013,11,3) + TIME(13,1,2)</f>
        <v>41581.542384259257</v>
      </c>
      <c r="C1690">
        <v>80</v>
      </c>
      <c r="D1690">
        <v>79.594230651999993</v>
      </c>
      <c r="E1690">
        <v>50</v>
      </c>
      <c r="F1690">
        <v>49.335575104</v>
      </c>
      <c r="G1690">
        <v>1301.4582519999999</v>
      </c>
      <c r="H1690">
        <v>1289.0665283000001</v>
      </c>
      <c r="I1690">
        <v>1400.8018798999999</v>
      </c>
      <c r="J1690">
        <v>1380.4425048999999</v>
      </c>
      <c r="K1690">
        <v>0</v>
      </c>
      <c r="L1690">
        <v>2400</v>
      </c>
      <c r="M1690">
        <v>2400</v>
      </c>
      <c r="N1690">
        <v>0</v>
      </c>
    </row>
    <row r="1691" spans="1:14" x14ac:dyDescent="0.25">
      <c r="A1691">
        <v>1282.787521</v>
      </c>
      <c r="B1691" s="1">
        <f>DATE(2013,11,3) + TIME(18,54,1)</f>
        <v>41581.787511574075</v>
      </c>
      <c r="C1691">
        <v>80</v>
      </c>
      <c r="D1691">
        <v>79.564994811999995</v>
      </c>
      <c r="E1691">
        <v>50</v>
      </c>
      <c r="F1691">
        <v>49.483661652000002</v>
      </c>
      <c r="G1691">
        <v>1301.4495850000001</v>
      </c>
      <c r="H1691">
        <v>1289.0565185999999</v>
      </c>
      <c r="I1691">
        <v>1400.6455077999999</v>
      </c>
      <c r="J1691">
        <v>1380.3359375</v>
      </c>
      <c r="K1691">
        <v>0</v>
      </c>
      <c r="L1691">
        <v>2400</v>
      </c>
      <c r="M1691">
        <v>2400</v>
      </c>
      <c r="N1691">
        <v>0</v>
      </c>
    </row>
    <row r="1692" spans="1:14" x14ac:dyDescent="0.25">
      <c r="A1692">
        <v>1283.0473999999999</v>
      </c>
      <c r="B1692" s="1">
        <f>DATE(2013,11,4) + TIME(1,8,15)</f>
        <v>41582.047395833331</v>
      </c>
      <c r="C1692">
        <v>80</v>
      </c>
      <c r="D1692">
        <v>79.534416199000006</v>
      </c>
      <c r="E1692">
        <v>50</v>
      </c>
      <c r="F1692">
        <v>49.602180480999998</v>
      </c>
      <c r="G1692">
        <v>1301.4404297000001</v>
      </c>
      <c r="H1692">
        <v>1289.0461425999999</v>
      </c>
      <c r="I1692">
        <v>1400.5017089999999</v>
      </c>
      <c r="J1692">
        <v>1380.2333983999999</v>
      </c>
      <c r="K1692">
        <v>0</v>
      </c>
      <c r="L1692">
        <v>2400</v>
      </c>
      <c r="M1692">
        <v>2400</v>
      </c>
      <c r="N1692">
        <v>0</v>
      </c>
    </row>
    <row r="1693" spans="1:14" x14ac:dyDescent="0.25">
      <c r="A1693">
        <v>1283.325564</v>
      </c>
      <c r="B1693" s="1">
        <f>DATE(2013,11,4) + TIME(7,48,48)</f>
        <v>41582.325555555559</v>
      </c>
      <c r="C1693">
        <v>80</v>
      </c>
      <c r="D1693">
        <v>79.502174377000003</v>
      </c>
      <c r="E1693">
        <v>50</v>
      </c>
      <c r="F1693">
        <v>49.696369171000001</v>
      </c>
      <c r="G1693">
        <v>1301.4307861</v>
      </c>
      <c r="H1693">
        <v>1289.0350341999999</v>
      </c>
      <c r="I1693">
        <v>1400.3676757999999</v>
      </c>
      <c r="J1693">
        <v>1380.1335449000001</v>
      </c>
      <c r="K1693">
        <v>0</v>
      </c>
      <c r="L1693">
        <v>2400</v>
      </c>
      <c r="M1693">
        <v>2400</v>
      </c>
      <c r="N1693">
        <v>0</v>
      </c>
    </row>
    <row r="1694" spans="1:14" x14ac:dyDescent="0.25">
      <c r="A1694">
        <v>1283.626469</v>
      </c>
      <c r="B1694" s="1">
        <f>DATE(2013,11,4) + TIME(15,2,6)</f>
        <v>41582.626458333332</v>
      </c>
      <c r="C1694">
        <v>80</v>
      </c>
      <c r="D1694">
        <v>79.467887877999999</v>
      </c>
      <c r="E1694">
        <v>50</v>
      </c>
      <c r="F1694">
        <v>49.770500183000003</v>
      </c>
      <c r="G1694">
        <v>1301.4204102000001</v>
      </c>
      <c r="H1694">
        <v>1289.0231934000001</v>
      </c>
      <c r="I1694">
        <v>1400.2407227000001</v>
      </c>
      <c r="J1694">
        <v>1380.0352783000001</v>
      </c>
      <c r="K1694">
        <v>0</v>
      </c>
      <c r="L1694">
        <v>2400</v>
      </c>
      <c r="M1694">
        <v>2400</v>
      </c>
      <c r="N1694">
        <v>0</v>
      </c>
    </row>
    <row r="1695" spans="1:14" x14ac:dyDescent="0.25">
      <c r="A1695">
        <v>1283.953829</v>
      </c>
      <c r="B1695" s="1">
        <f>DATE(2013,11,4) + TIME(22,53,30)</f>
        <v>41582.953819444447</v>
      </c>
      <c r="C1695">
        <v>80</v>
      </c>
      <c r="D1695">
        <v>79.431221007999994</v>
      </c>
      <c r="E1695">
        <v>50</v>
      </c>
      <c r="F1695">
        <v>49.827865600999999</v>
      </c>
      <c r="G1695">
        <v>1301.4093018000001</v>
      </c>
      <c r="H1695">
        <v>1289.010376</v>
      </c>
      <c r="I1695">
        <v>1400.1188964999999</v>
      </c>
      <c r="J1695">
        <v>1379.9373779</v>
      </c>
      <c r="K1695">
        <v>0</v>
      </c>
      <c r="L1695">
        <v>2400</v>
      </c>
      <c r="M1695">
        <v>2400</v>
      </c>
      <c r="N1695">
        <v>0</v>
      </c>
    </row>
    <row r="1696" spans="1:14" x14ac:dyDescent="0.25">
      <c r="A1696">
        <v>1284.309029</v>
      </c>
      <c r="B1696" s="1">
        <f>DATE(2013,11,5) + TIME(7,25,0)</f>
        <v>41583.309027777781</v>
      </c>
      <c r="C1696">
        <v>80</v>
      </c>
      <c r="D1696">
        <v>79.392028808999996</v>
      </c>
      <c r="E1696">
        <v>50</v>
      </c>
      <c r="F1696">
        <v>49.871135711999997</v>
      </c>
      <c r="G1696">
        <v>1301.3970947</v>
      </c>
      <c r="H1696">
        <v>1288.9964600000001</v>
      </c>
      <c r="I1696">
        <v>1400.0008545000001</v>
      </c>
      <c r="J1696">
        <v>1379.8394774999999</v>
      </c>
      <c r="K1696">
        <v>0</v>
      </c>
      <c r="L1696">
        <v>2400</v>
      </c>
      <c r="M1696">
        <v>2400</v>
      </c>
      <c r="N1696">
        <v>0</v>
      </c>
    </row>
    <row r="1697" spans="1:14" x14ac:dyDescent="0.25">
      <c r="A1697">
        <v>1284.6992479999999</v>
      </c>
      <c r="B1697" s="1">
        <f>DATE(2013,11,5) + TIME(16,46,55)</f>
        <v>41583.699247685188</v>
      </c>
      <c r="C1697">
        <v>80</v>
      </c>
      <c r="D1697">
        <v>79.349746703999998</v>
      </c>
      <c r="E1697">
        <v>50</v>
      </c>
      <c r="F1697">
        <v>49.903278350999997</v>
      </c>
      <c r="G1697">
        <v>1301.3839111</v>
      </c>
      <c r="H1697">
        <v>1288.9814452999999</v>
      </c>
      <c r="I1697">
        <v>1399.8854980000001</v>
      </c>
      <c r="J1697">
        <v>1379.7414550999999</v>
      </c>
      <c r="K1697">
        <v>0</v>
      </c>
      <c r="L1697">
        <v>2400</v>
      </c>
      <c r="M1697">
        <v>2400</v>
      </c>
      <c r="N1697">
        <v>0</v>
      </c>
    </row>
    <row r="1698" spans="1:14" x14ac:dyDescent="0.25">
      <c r="A1698">
        <v>1285.1334380000001</v>
      </c>
      <c r="B1698" s="1">
        <f>DATE(2013,11,6) + TIME(3,12,9)</f>
        <v>41584.133437500001</v>
      </c>
      <c r="C1698">
        <v>80</v>
      </c>
      <c r="D1698">
        <v>79.303649902000004</v>
      </c>
      <c r="E1698">
        <v>50</v>
      </c>
      <c r="F1698">
        <v>49.926677703999999</v>
      </c>
      <c r="G1698">
        <v>1301.3695068</v>
      </c>
      <c r="H1698">
        <v>1288.9648437999999</v>
      </c>
      <c r="I1698">
        <v>1399.770874</v>
      </c>
      <c r="J1698">
        <v>1379.6420897999999</v>
      </c>
      <c r="K1698">
        <v>0</v>
      </c>
      <c r="L1698">
        <v>2400</v>
      </c>
      <c r="M1698">
        <v>2400</v>
      </c>
      <c r="N1698">
        <v>0</v>
      </c>
    </row>
    <row r="1699" spans="1:14" x14ac:dyDescent="0.25">
      <c r="A1699">
        <v>1285.5829040000001</v>
      </c>
      <c r="B1699" s="1">
        <f>DATE(2013,11,6) + TIME(13,59,22)</f>
        <v>41584.58289351852</v>
      </c>
      <c r="C1699">
        <v>80</v>
      </c>
      <c r="D1699">
        <v>79.255577087000006</v>
      </c>
      <c r="E1699">
        <v>50</v>
      </c>
      <c r="F1699">
        <v>49.942394256999997</v>
      </c>
      <c r="G1699">
        <v>1301.3531493999999</v>
      </c>
      <c r="H1699">
        <v>1288.9465332</v>
      </c>
      <c r="I1699">
        <v>1399.6556396000001</v>
      </c>
      <c r="J1699">
        <v>1379.5402832</v>
      </c>
      <c r="K1699">
        <v>0</v>
      </c>
      <c r="L1699">
        <v>2400</v>
      </c>
      <c r="M1699">
        <v>2400</v>
      </c>
      <c r="N1699">
        <v>0</v>
      </c>
    </row>
    <row r="1700" spans="1:14" x14ac:dyDescent="0.25">
      <c r="A1700">
        <v>1286.041704</v>
      </c>
      <c r="B1700" s="1">
        <f>DATE(2013,11,7) + TIME(1,0,3)</f>
        <v>41585.041701388887</v>
      </c>
      <c r="C1700">
        <v>80</v>
      </c>
      <c r="D1700">
        <v>79.206192017000006</v>
      </c>
      <c r="E1700">
        <v>50</v>
      </c>
      <c r="F1700">
        <v>49.952770233000003</v>
      </c>
      <c r="G1700">
        <v>1301.3363036999999</v>
      </c>
      <c r="H1700">
        <v>1288.9276123</v>
      </c>
      <c r="I1700">
        <v>1399.5463867000001</v>
      </c>
      <c r="J1700">
        <v>1379.4429932</v>
      </c>
      <c r="K1700">
        <v>0</v>
      </c>
      <c r="L1700">
        <v>2400</v>
      </c>
      <c r="M1700">
        <v>2400</v>
      </c>
      <c r="N1700">
        <v>0</v>
      </c>
    </row>
    <row r="1701" spans="1:14" x14ac:dyDescent="0.25">
      <c r="A1701">
        <v>1286.5165999999999</v>
      </c>
      <c r="B1701" s="1">
        <f>DATE(2013,11,7) + TIME(12,23,54)</f>
        <v>41585.516597222224</v>
      </c>
      <c r="C1701">
        <v>80</v>
      </c>
      <c r="D1701">
        <v>79.155303954999994</v>
      </c>
      <c r="E1701">
        <v>50</v>
      </c>
      <c r="F1701">
        <v>49.959674835000001</v>
      </c>
      <c r="G1701">
        <v>1301.3192139</v>
      </c>
      <c r="H1701">
        <v>1288.9080810999999</v>
      </c>
      <c r="I1701">
        <v>1399.4434814000001</v>
      </c>
      <c r="J1701">
        <v>1379.3508300999999</v>
      </c>
      <c r="K1701">
        <v>0</v>
      </c>
      <c r="L1701">
        <v>2400</v>
      </c>
      <c r="M1701">
        <v>2400</v>
      </c>
      <c r="N1701">
        <v>0</v>
      </c>
    </row>
    <row r="1702" spans="1:14" x14ac:dyDescent="0.25">
      <c r="A1702">
        <v>1287.008421</v>
      </c>
      <c r="B1702" s="1">
        <f>DATE(2013,11,8) + TIME(0,12,7)</f>
        <v>41586.008414351854</v>
      </c>
      <c r="C1702">
        <v>80</v>
      </c>
      <c r="D1702">
        <v>79.102958678999997</v>
      </c>
      <c r="E1702">
        <v>50</v>
      </c>
      <c r="F1702">
        <v>49.964244843000003</v>
      </c>
      <c r="G1702">
        <v>1301.3013916</v>
      </c>
      <c r="H1702">
        <v>1288.8879394999999</v>
      </c>
      <c r="I1702">
        <v>1399.3446045000001</v>
      </c>
      <c r="J1702">
        <v>1379.2620850000001</v>
      </c>
      <c r="K1702">
        <v>0</v>
      </c>
      <c r="L1702">
        <v>2400</v>
      </c>
      <c r="M1702">
        <v>2400</v>
      </c>
      <c r="N1702">
        <v>0</v>
      </c>
    </row>
    <row r="1703" spans="1:14" x14ac:dyDescent="0.25">
      <c r="A1703">
        <v>1287.521127</v>
      </c>
      <c r="B1703" s="1">
        <f>DATE(2013,11,8) + TIME(12,30,25)</f>
        <v>41586.521122685182</v>
      </c>
      <c r="C1703">
        <v>80</v>
      </c>
      <c r="D1703">
        <v>79.048965453999998</v>
      </c>
      <c r="E1703">
        <v>50</v>
      </c>
      <c r="F1703">
        <v>49.967277527</v>
      </c>
      <c r="G1703">
        <v>1301.2829589999999</v>
      </c>
      <c r="H1703">
        <v>1288.8670654</v>
      </c>
      <c r="I1703">
        <v>1399.2492675999999</v>
      </c>
      <c r="J1703">
        <v>1379.1762695</v>
      </c>
      <c r="K1703">
        <v>0</v>
      </c>
      <c r="L1703">
        <v>2400</v>
      </c>
      <c r="M1703">
        <v>2400</v>
      </c>
      <c r="N1703">
        <v>0</v>
      </c>
    </row>
    <row r="1704" spans="1:14" x14ac:dyDescent="0.25">
      <c r="A1704">
        <v>1288.0610839999999</v>
      </c>
      <c r="B1704" s="1">
        <f>DATE(2013,11,9) + TIME(1,27,57)</f>
        <v>41587.061076388891</v>
      </c>
      <c r="C1704">
        <v>80</v>
      </c>
      <c r="D1704">
        <v>78.992912292</v>
      </c>
      <c r="E1704">
        <v>50</v>
      </c>
      <c r="F1704">
        <v>49.969295502000001</v>
      </c>
      <c r="G1704">
        <v>1301.2637939000001</v>
      </c>
      <c r="H1704">
        <v>1288.8452147999999</v>
      </c>
      <c r="I1704">
        <v>1399.15625</v>
      </c>
      <c r="J1704">
        <v>1379.0925293</v>
      </c>
      <c r="K1704">
        <v>0</v>
      </c>
      <c r="L1704">
        <v>2400</v>
      </c>
      <c r="M1704">
        <v>2400</v>
      </c>
      <c r="N1704">
        <v>0</v>
      </c>
    </row>
    <row r="1705" spans="1:14" x14ac:dyDescent="0.25">
      <c r="A1705">
        <v>1288.635509</v>
      </c>
      <c r="B1705" s="1">
        <f>DATE(2013,11,9) + TIME(15,15,7)</f>
        <v>41587.635497685187</v>
      </c>
      <c r="C1705">
        <v>80</v>
      </c>
      <c r="D1705">
        <v>78.934288025000001</v>
      </c>
      <c r="E1705">
        <v>50</v>
      </c>
      <c r="F1705">
        <v>49.970642089999998</v>
      </c>
      <c r="G1705">
        <v>1301.2435303</v>
      </c>
      <c r="H1705">
        <v>1288.8221435999999</v>
      </c>
      <c r="I1705">
        <v>1399.0643310999999</v>
      </c>
      <c r="J1705">
        <v>1379.0100098</v>
      </c>
      <c r="K1705">
        <v>0</v>
      </c>
      <c r="L1705">
        <v>2400</v>
      </c>
      <c r="M1705">
        <v>2400</v>
      </c>
      <c r="N1705">
        <v>0</v>
      </c>
    </row>
    <row r="1706" spans="1:14" x14ac:dyDescent="0.25">
      <c r="A1706">
        <v>1289.2534969999999</v>
      </c>
      <c r="B1706" s="1">
        <f>DATE(2013,11,10) + TIME(6,5,2)</f>
        <v>41588.253495370373</v>
      </c>
      <c r="C1706">
        <v>80</v>
      </c>
      <c r="D1706">
        <v>78.872428893999995</v>
      </c>
      <c r="E1706">
        <v>50</v>
      </c>
      <c r="F1706">
        <v>49.971546173</v>
      </c>
      <c r="G1706">
        <v>1301.2219238</v>
      </c>
      <c r="H1706">
        <v>1288.7974853999999</v>
      </c>
      <c r="I1706">
        <v>1398.9725341999999</v>
      </c>
      <c r="J1706">
        <v>1378.9277344</v>
      </c>
      <c r="K1706">
        <v>0</v>
      </c>
      <c r="L1706">
        <v>2400</v>
      </c>
      <c r="M1706">
        <v>2400</v>
      </c>
      <c r="N1706">
        <v>0</v>
      </c>
    </row>
    <row r="1707" spans="1:14" x14ac:dyDescent="0.25">
      <c r="A1707">
        <v>1289.9265809999999</v>
      </c>
      <c r="B1707" s="1">
        <f>DATE(2013,11,10) + TIME(22,14,16)</f>
        <v>41588.926574074074</v>
      </c>
      <c r="C1707">
        <v>80</v>
      </c>
      <c r="D1707">
        <v>78.806503296000002</v>
      </c>
      <c r="E1707">
        <v>50</v>
      </c>
      <c r="F1707">
        <v>49.972152710000003</v>
      </c>
      <c r="G1707">
        <v>1301.1987305</v>
      </c>
      <c r="H1707">
        <v>1288.7709961</v>
      </c>
      <c r="I1707">
        <v>1398.8797606999999</v>
      </c>
      <c r="J1707">
        <v>1378.8447266000001</v>
      </c>
      <c r="K1707">
        <v>0</v>
      </c>
      <c r="L1707">
        <v>2400</v>
      </c>
      <c r="M1707">
        <v>2400</v>
      </c>
      <c r="N1707">
        <v>0</v>
      </c>
    </row>
    <row r="1708" spans="1:14" x14ac:dyDescent="0.25">
      <c r="A1708">
        <v>1290.637536</v>
      </c>
      <c r="B1708" s="1">
        <f>DATE(2013,11,11) + TIME(15,18,3)</f>
        <v>41589.63753472222</v>
      </c>
      <c r="C1708">
        <v>80</v>
      </c>
      <c r="D1708">
        <v>78.737106323000006</v>
      </c>
      <c r="E1708">
        <v>50</v>
      </c>
      <c r="F1708">
        <v>49.972553253000001</v>
      </c>
      <c r="G1708">
        <v>1301.1732178</v>
      </c>
      <c r="H1708">
        <v>1288.7421875</v>
      </c>
      <c r="I1708">
        <v>1398.7849120999999</v>
      </c>
      <c r="J1708">
        <v>1378.7598877</v>
      </c>
      <c r="K1708">
        <v>0</v>
      </c>
      <c r="L1708">
        <v>2400</v>
      </c>
      <c r="M1708">
        <v>2400</v>
      </c>
      <c r="N1708">
        <v>0</v>
      </c>
    </row>
    <row r="1709" spans="1:14" x14ac:dyDescent="0.25">
      <c r="A1709">
        <v>1291.360895</v>
      </c>
      <c r="B1709" s="1">
        <f>DATE(2013,11,12) + TIME(8,39,41)</f>
        <v>41590.360891203702</v>
      </c>
      <c r="C1709">
        <v>80</v>
      </c>
      <c r="D1709">
        <v>78.665763854999994</v>
      </c>
      <c r="E1709">
        <v>50</v>
      </c>
      <c r="F1709">
        <v>49.972812652999998</v>
      </c>
      <c r="G1709">
        <v>1301.1461182</v>
      </c>
      <c r="H1709">
        <v>1288.7115478999999</v>
      </c>
      <c r="I1709">
        <v>1398.6907959</v>
      </c>
      <c r="J1709">
        <v>1378.6760254000001</v>
      </c>
      <c r="K1709">
        <v>0</v>
      </c>
      <c r="L1709">
        <v>2400</v>
      </c>
      <c r="M1709">
        <v>2400</v>
      </c>
      <c r="N1709">
        <v>0</v>
      </c>
    </row>
    <row r="1710" spans="1:14" x14ac:dyDescent="0.25">
      <c r="A1710">
        <v>1292.1068720000001</v>
      </c>
      <c r="B1710" s="1">
        <f>DATE(2013,11,13) + TIME(2,33,53)</f>
        <v>41591.106863425928</v>
      </c>
      <c r="C1710">
        <v>80</v>
      </c>
      <c r="D1710">
        <v>78.592613220000004</v>
      </c>
      <c r="E1710">
        <v>50</v>
      </c>
      <c r="F1710">
        <v>49.972984314000001</v>
      </c>
      <c r="G1710">
        <v>1301.1185303</v>
      </c>
      <c r="H1710">
        <v>1288.6801757999999</v>
      </c>
      <c r="I1710">
        <v>1398.6008300999999</v>
      </c>
      <c r="J1710">
        <v>1378.5960693</v>
      </c>
      <c r="K1710">
        <v>0</v>
      </c>
      <c r="L1710">
        <v>2400</v>
      </c>
      <c r="M1710">
        <v>2400</v>
      </c>
      <c r="N1710">
        <v>0</v>
      </c>
    </row>
    <row r="1711" spans="1:14" x14ac:dyDescent="0.25">
      <c r="A1711">
        <v>1292.882989</v>
      </c>
      <c r="B1711" s="1">
        <f>DATE(2013,11,13) + TIME(21,11,30)</f>
        <v>41591.882986111108</v>
      </c>
      <c r="C1711">
        <v>80</v>
      </c>
      <c r="D1711">
        <v>78.517463684000006</v>
      </c>
      <c r="E1711">
        <v>50</v>
      </c>
      <c r="F1711">
        <v>49.973102570000002</v>
      </c>
      <c r="G1711">
        <v>1301.0899658000001</v>
      </c>
      <c r="H1711">
        <v>1288.6477050999999</v>
      </c>
      <c r="I1711">
        <v>1398.5134277</v>
      </c>
      <c r="J1711">
        <v>1378.5185547000001</v>
      </c>
      <c r="K1711">
        <v>0</v>
      </c>
      <c r="L1711">
        <v>2400</v>
      </c>
      <c r="M1711">
        <v>2400</v>
      </c>
      <c r="N1711">
        <v>0</v>
      </c>
    </row>
    <row r="1712" spans="1:14" x14ac:dyDescent="0.25">
      <c r="A1712">
        <v>1293.682699</v>
      </c>
      <c r="B1712" s="1">
        <f>DATE(2013,11,14) + TIME(16,23,5)</f>
        <v>41592.682696759257</v>
      </c>
      <c r="C1712">
        <v>80</v>
      </c>
      <c r="D1712">
        <v>78.440597534000005</v>
      </c>
      <c r="E1712">
        <v>50</v>
      </c>
      <c r="F1712">
        <v>49.973186493</v>
      </c>
      <c r="G1712">
        <v>1301.0600586</v>
      </c>
      <c r="H1712">
        <v>1288.6136475000001</v>
      </c>
      <c r="I1712">
        <v>1398.4273682</v>
      </c>
      <c r="J1712">
        <v>1378.4425048999999</v>
      </c>
      <c r="K1712">
        <v>0</v>
      </c>
      <c r="L1712">
        <v>2400</v>
      </c>
      <c r="M1712">
        <v>2400</v>
      </c>
      <c r="N1712">
        <v>0</v>
      </c>
    </row>
    <row r="1713" spans="1:14" x14ac:dyDescent="0.25">
      <c r="A1713">
        <v>1294.5157859999999</v>
      </c>
      <c r="B1713" s="1">
        <f>DATE(2013,11,15) + TIME(12,22,43)</f>
        <v>41593.515775462962</v>
      </c>
      <c r="C1713">
        <v>80</v>
      </c>
      <c r="D1713">
        <v>78.361686707000004</v>
      </c>
      <c r="E1713">
        <v>50</v>
      </c>
      <c r="F1713">
        <v>49.973243713000002</v>
      </c>
      <c r="G1713">
        <v>1301.0291748</v>
      </c>
      <c r="H1713">
        <v>1288.5783690999999</v>
      </c>
      <c r="I1713">
        <v>1398.3436279</v>
      </c>
      <c r="J1713">
        <v>1378.3685303</v>
      </c>
      <c r="K1713">
        <v>0</v>
      </c>
      <c r="L1713">
        <v>2400</v>
      </c>
      <c r="M1713">
        <v>2400</v>
      </c>
      <c r="N1713">
        <v>0</v>
      </c>
    </row>
    <row r="1714" spans="1:14" x14ac:dyDescent="0.25">
      <c r="A1714">
        <v>1295.3927719999999</v>
      </c>
      <c r="B1714" s="1">
        <f>DATE(2013,11,16) + TIME(9,25,35)</f>
        <v>41594.392766203702</v>
      </c>
      <c r="C1714">
        <v>80</v>
      </c>
      <c r="D1714">
        <v>78.280143738000007</v>
      </c>
      <c r="E1714">
        <v>50</v>
      </c>
      <c r="F1714">
        <v>49.973285675</v>
      </c>
      <c r="G1714">
        <v>1300.9968262</v>
      </c>
      <c r="H1714">
        <v>1288.5413818</v>
      </c>
      <c r="I1714">
        <v>1398.2609863</v>
      </c>
      <c r="J1714">
        <v>1378.2956543</v>
      </c>
      <c r="K1714">
        <v>0</v>
      </c>
      <c r="L1714">
        <v>2400</v>
      </c>
      <c r="M1714">
        <v>2400</v>
      </c>
      <c r="N1714">
        <v>0</v>
      </c>
    </row>
    <row r="1715" spans="1:14" x14ac:dyDescent="0.25">
      <c r="A1715">
        <v>1296.32608</v>
      </c>
      <c r="B1715" s="1">
        <f>DATE(2013,11,17) + TIME(7,49,33)</f>
        <v>41595.32607638889</v>
      </c>
      <c r="C1715">
        <v>80</v>
      </c>
      <c r="D1715">
        <v>78.195159911999994</v>
      </c>
      <c r="E1715">
        <v>50</v>
      </c>
      <c r="F1715">
        <v>49.973320006999998</v>
      </c>
      <c r="G1715">
        <v>1300.9625243999999</v>
      </c>
      <c r="H1715">
        <v>1288.5020752</v>
      </c>
      <c r="I1715">
        <v>1398.1783447</v>
      </c>
      <c r="J1715">
        <v>1378.2230225000001</v>
      </c>
      <c r="K1715">
        <v>0</v>
      </c>
      <c r="L1715">
        <v>2400</v>
      </c>
      <c r="M1715">
        <v>2400</v>
      </c>
      <c r="N1715">
        <v>0</v>
      </c>
    </row>
    <row r="1716" spans="1:14" x14ac:dyDescent="0.25">
      <c r="A1716">
        <v>1297.3029349999999</v>
      </c>
      <c r="B1716" s="1">
        <f>DATE(2013,11,18) + TIME(7,16,13)</f>
        <v>41596.302928240744</v>
      </c>
      <c r="C1716">
        <v>80</v>
      </c>
      <c r="D1716">
        <v>78.106887817</v>
      </c>
      <c r="E1716">
        <v>50</v>
      </c>
      <c r="F1716">
        <v>49.973346710000001</v>
      </c>
      <c r="G1716">
        <v>1300.9257812000001</v>
      </c>
      <c r="H1716">
        <v>1288.4599608999999</v>
      </c>
      <c r="I1716">
        <v>1398.0949707</v>
      </c>
      <c r="J1716">
        <v>1378.1499022999999</v>
      </c>
      <c r="K1716">
        <v>0</v>
      </c>
      <c r="L1716">
        <v>2400</v>
      </c>
      <c r="M1716">
        <v>2400</v>
      </c>
      <c r="N1716">
        <v>0</v>
      </c>
    </row>
    <row r="1717" spans="1:14" x14ac:dyDescent="0.25">
      <c r="A1717">
        <v>1298.3062130000001</v>
      </c>
      <c r="B1717" s="1">
        <f>DATE(2013,11,19) + TIME(7,20,56)</f>
        <v>41597.306203703702</v>
      </c>
      <c r="C1717">
        <v>80</v>
      </c>
      <c r="D1717">
        <v>78.016220093000001</v>
      </c>
      <c r="E1717">
        <v>50</v>
      </c>
      <c r="F1717">
        <v>49.973369597999998</v>
      </c>
      <c r="G1717">
        <v>1300.8869629000001</v>
      </c>
      <c r="H1717">
        <v>1288.4155272999999</v>
      </c>
      <c r="I1717">
        <v>1398.012207</v>
      </c>
      <c r="J1717">
        <v>1378.0773925999999</v>
      </c>
      <c r="K1717">
        <v>0</v>
      </c>
      <c r="L1717">
        <v>2400</v>
      </c>
      <c r="M1717">
        <v>2400</v>
      </c>
      <c r="N1717">
        <v>0</v>
      </c>
    </row>
    <row r="1718" spans="1:14" x14ac:dyDescent="0.25">
      <c r="A1718">
        <v>1299.3505170000001</v>
      </c>
      <c r="B1718" s="1">
        <f>DATE(2013,11,20) + TIME(8,24,44)</f>
        <v>41598.35050925926</v>
      </c>
      <c r="C1718">
        <v>80</v>
      </c>
      <c r="D1718">
        <v>77.923156738000003</v>
      </c>
      <c r="E1718">
        <v>50</v>
      </c>
      <c r="F1718">
        <v>49.973388671999999</v>
      </c>
      <c r="G1718">
        <v>1300.8468018000001</v>
      </c>
      <c r="H1718">
        <v>1288.3693848</v>
      </c>
      <c r="I1718">
        <v>1397.9313964999999</v>
      </c>
      <c r="J1718">
        <v>1378.0068358999999</v>
      </c>
      <c r="K1718">
        <v>0</v>
      </c>
      <c r="L1718">
        <v>2400</v>
      </c>
      <c r="M1718">
        <v>2400</v>
      </c>
      <c r="N1718">
        <v>0</v>
      </c>
    </row>
    <row r="1719" spans="1:14" x14ac:dyDescent="0.25">
      <c r="A1719">
        <v>1300.4377899999999</v>
      </c>
      <c r="B1719" s="1">
        <f>DATE(2013,11,21) + TIME(10,30,25)</f>
        <v>41599.437789351854</v>
      </c>
      <c r="C1719">
        <v>80</v>
      </c>
      <c r="D1719">
        <v>77.827552795000003</v>
      </c>
      <c r="E1719">
        <v>50</v>
      </c>
      <c r="F1719">
        <v>49.973403931</v>
      </c>
      <c r="G1719">
        <v>1300.8046875</v>
      </c>
      <c r="H1719">
        <v>1288.3208007999999</v>
      </c>
      <c r="I1719">
        <v>1397.8515625</v>
      </c>
      <c r="J1719">
        <v>1377.9370117000001</v>
      </c>
      <c r="K1719">
        <v>0</v>
      </c>
      <c r="L1719">
        <v>2400</v>
      </c>
      <c r="M1719">
        <v>2400</v>
      </c>
      <c r="N1719">
        <v>0</v>
      </c>
    </row>
    <row r="1720" spans="1:14" x14ac:dyDescent="0.25">
      <c r="A1720">
        <v>1301.5546850000001</v>
      </c>
      <c r="B1720" s="1">
        <f>DATE(2013,11,22) + TIME(13,18,44)</f>
        <v>41600.554675925923</v>
      </c>
      <c r="C1720">
        <v>80</v>
      </c>
      <c r="D1720">
        <v>77.729881286999998</v>
      </c>
      <c r="E1720">
        <v>50</v>
      </c>
      <c r="F1720">
        <v>49.973419188999998</v>
      </c>
      <c r="G1720">
        <v>1300.7602539</v>
      </c>
      <c r="H1720">
        <v>1288.2695312000001</v>
      </c>
      <c r="I1720">
        <v>1397.7723389</v>
      </c>
      <c r="J1720">
        <v>1377.8680420000001</v>
      </c>
      <c r="K1720">
        <v>0</v>
      </c>
      <c r="L1720">
        <v>2400</v>
      </c>
      <c r="M1720">
        <v>2400</v>
      </c>
      <c r="N1720">
        <v>0</v>
      </c>
    </row>
    <row r="1721" spans="1:14" x14ac:dyDescent="0.25">
      <c r="A1721">
        <v>1302.7149939999999</v>
      </c>
      <c r="B1721" s="1">
        <f>DATE(2013,11,23) + TIME(17,9,35)</f>
        <v>41601.714988425927</v>
      </c>
      <c r="C1721">
        <v>80</v>
      </c>
      <c r="D1721">
        <v>77.630035399999997</v>
      </c>
      <c r="E1721">
        <v>50</v>
      </c>
      <c r="F1721">
        <v>49.973434447999999</v>
      </c>
      <c r="G1721">
        <v>1300.7142334</v>
      </c>
      <c r="H1721">
        <v>1288.2161865</v>
      </c>
      <c r="I1721">
        <v>1397.6948242000001</v>
      </c>
      <c r="J1721">
        <v>1377.8006591999999</v>
      </c>
      <c r="K1721">
        <v>0</v>
      </c>
      <c r="L1721">
        <v>2400</v>
      </c>
      <c r="M1721">
        <v>2400</v>
      </c>
      <c r="N1721">
        <v>0</v>
      </c>
    </row>
    <row r="1722" spans="1:14" x14ac:dyDescent="0.25">
      <c r="A1722">
        <v>1303.9335799999999</v>
      </c>
      <c r="B1722" s="1">
        <f>DATE(2013,11,24) + TIME(22,24,21)</f>
        <v>41602.933576388888</v>
      </c>
      <c r="C1722">
        <v>80</v>
      </c>
      <c r="D1722">
        <v>77.527328491000006</v>
      </c>
      <c r="E1722">
        <v>50</v>
      </c>
      <c r="F1722">
        <v>49.973453522</v>
      </c>
      <c r="G1722">
        <v>1300.6657714999999</v>
      </c>
      <c r="H1722">
        <v>1288.1599120999999</v>
      </c>
      <c r="I1722">
        <v>1397.6180420000001</v>
      </c>
      <c r="J1722">
        <v>1377.7338867000001</v>
      </c>
      <c r="K1722">
        <v>0</v>
      </c>
      <c r="L1722">
        <v>2400</v>
      </c>
      <c r="M1722">
        <v>2400</v>
      </c>
      <c r="N1722">
        <v>0</v>
      </c>
    </row>
    <row r="1723" spans="1:14" x14ac:dyDescent="0.25">
      <c r="A1723">
        <v>1305.227183</v>
      </c>
      <c r="B1723" s="1">
        <f>DATE(2013,11,26) + TIME(5,27,8)</f>
        <v>41604.227175925924</v>
      </c>
      <c r="C1723">
        <v>80</v>
      </c>
      <c r="D1723">
        <v>77.420791625999996</v>
      </c>
      <c r="E1723">
        <v>50</v>
      </c>
      <c r="F1723">
        <v>49.973468781000001</v>
      </c>
      <c r="G1723">
        <v>1300.6143798999999</v>
      </c>
      <c r="H1723">
        <v>1288.0998535000001</v>
      </c>
      <c r="I1723">
        <v>1397.5411377</v>
      </c>
      <c r="J1723">
        <v>1377.6671143000001</v>
      </c>
      <c r="K1723">
        <v>0</v>
      </c>
      <c r="L1723">
        <v>2400</v>
      </c>
      <c r="M1723">
        <v>2400</v>
      </c>
      <c r="N1723">
        <v>0</v>
      </c>
    </row>
    <row r="1724" spans="1:14" x14ac:dyDescent="0.25">
      <c r="A1724">
        <v>1306.5518850000001</v>
      </c>
      <c r="B1724" s="1">
        <f>DATE(2013,11,27) + TIME(13,14,42)</f>
        <v>41605.551874999997</v>
      </c>
      <c r="C1724">
        <v>80</v>
      </c>
      <c r="D1724">
        <v>77.311210631999998</v>
      </c>
      <c r="E1724">
        <v>50</v>
      </c>
      <c r="F1724">
        <v>49.973487853999998</v>
      </c>
      <c r="G1724">
        <v>1300.5589600000001</v>
      </c>
      <c r="H1724">
        <v>1288.0352783000001</v>
      </c>
      <c r="I1724">
        <v>1397.4632568</v>
      </c>
      <c r="J1724">
        <v>1377.5994873</v>
      </c>
      <c r="K1724">
        <v>0</v>
      </c>
      <c r="L1724">
        <v>2400</v>
      </c>
      <c r="M1724">
        <v>2400</v>
      </c>
      <c r="N1724">
        <v>0</v>
      </c>
    </row>
    <row r="1725" spans="1:14" x14ac:dyDescent="0.25">
      <c r="A1725">
        <v>1307.922722</v>
      </c>
      <c r="B1725" s="1">
        <f>DATE(2013,11,28) + TIME(22,8,43)</f>
        <v>41606.922719907408</v>
      </c>
      <c r="C1725">
        <v>80</v>
      </c>
      <c r="D1725">
        <v>77.199295043999996</v>
      </c>
      <c r="E1725">
        <v>50</v>
      </c>
      <c r="F1725">
        <v>49.973506927000003</v>
      </c>
      <c r="G1725">
        <v>1300.5013428</v>
      </c>
      <c r="H1725">
        <v>1287.9676514</v>
      </c>
      <c r="I1725">
        <v>1397.3870850000001</v>
      </c>
      <c r="J1725">
        <v>1377.5335693</v>
      </c>
      <c r="K1725">
        <v>0</v>
      </c>
      <c r="L1725">
        <v>2400</v>
      </c>
      <c r="M1725">
        <v>2400</v>
      </c>
      <c r="N1725">
        <v>0</v>
      </c>
    </row>
    <row r="1726" spans="1:14" x14ac:dyDescent="0.25">
      <c r="A1726">
        <v>1309.359089</v>
      </c>
      <c r="B1726" s="1">
        <f>DATE(2013,11,30) + TIME(8,37,5)</f>
        <v>41608.359085648146</v>
      </c>
      <c r="C1726">
        <v>80</v>
      </c>
      <c r="D1726">
        <v>77.084526061999995</v>
      </c>
      <c r="E1726">
        <v>50</v>
      </c>
      <c r="F1726">
        <v>49.973526001000003</v>
      </c>
      <c r="G1726">
        <v>1300.4407959</v>
      </c>
      <c r="H1726">
        <v>1287.8963623</v>
      </c>
      <c r="I1726">
        <v>1397.3117675999999</v>
      </c>
      <c r="J1726">
        <v>1377.4683838000001</v>
      </c>
      <c r="K1726">
        <v>0</v>
      </c>
      <c r="L1726">
        <v>2400</v>
      </c>
      <c r="M1726">
        <v>2400</v>
      </c>
      <c r="N1726">
        <v>0</v>
      </c>
    </row>
    <row r="1727" spans="1:14" x14ac:dyDescent="0.25">
      <c r="A1727">
        <v>1310</v>
      </c>
      <c r="B1727" s="1">
        <f>DATE(2013,12,1) + TIME(0,0,0)</f>
        <v>41609</v>
      </c>
      <c r="C1727">
        <v>80</v>
      </c>
      <c r="D1727">
        <v>77.005035399999997</v>
      </c>
      <c r="E1727">
        <v>50</v>
      </c>
      <c r="F1727">
        <v>49.973529816000003</v>
      </c>
      <c r="G1727">
        <v>1300.3751221</v>
      </c>
      <c r="H1727">
        <v>1287.8229980000001</v>
      </c>
      <c r="I1727">
        <v>1397.2360839999999</v>
      </c>
      <c r="J1727">
        <v>1377.402832</v>
      </c>
      <c r="K1727">
        <v>0</v>
      </c>
      <c r="L1727">
        <v>2400</v>
      </c>
      <c r="M1727">
        <v>2400</v>
      </c>
      <c r="N1727">
        <v>0</v>
      </c>
    </row>
    <row r="1728" spans="1:14" x14ac:dyDescent="0.25">
      <c r="A1728">
        <v>1311.4665560000001</v>
      </c>
      <c r="B1728" s="1">
        <f>DATE(2013,12,2) + TIME(11,11,50)</f>
        <v>41610.466550925928</v>
      </c>
      <c r="C1728">
        <v>80</v>
      </c>
      <c r="D1728">
        <v>76.905540466000005</v>
      </c>
      <c r="E1728">
        <v>50</v>
      </c>
      <c r="F1728">
        <v>49.973552703999999</v>
      </c>
      <c r="G1728">
        <v>1300.3464355000001</v>
      </c>
      <c r="H1728">
        <v>1287.7833252</v>
      </c>
      <c r="I1728">
        <v>1397.2039795000001</v>
      </c>
      <c r="J1728">
        <v>1377.3751221</v>
      </c>
      <c r="K1728">
        <v>0</v>
      </c>
      <c r="L1728">
        <v>2400</v>
      </c>
      <c r="M1728">
        <v>2400</v>
      </c>
      <c r="N1728">
        <v>0</v>
      </c>
    </row>
    <row r="1729" spans="1:14" x14ac:dyDescent="0.25">
      <c r="A1729">
        <v>1313.0024229999999</v>
      </c>
      <c r="B1729" s="1">
        <f>DATE(2013,12,4) + TIME(0,3,29)</f>
        <v>41612.002418981479</v>
      </c>
      <c r="C1729">
        <v>80</v>
      </c>
      <c r="D1729">
        <v>76.792991638000004</v>
      </c>
      <c r="E1729">
        <v>50</v>
      </c>
      <c r="F1729">
        <v>49.973575592000003</v>
      </c>
      <c r="G1729">
        <v>1300.2791748</v>
      </c>
      <c r="H1729">
        <v>1287.7039795000001</v>
      </c>
      <c r="I1729">
        <v>1397.1317139</v>
      </c>
      <c r="J1729">
        <v>1377.3127440999999</v>
      </c>
      <c r="K1729">
        <v>0</v>
      </c>
      <c r="L1729">
        <v>2400</v>
      </c>
      <c r="M1729">
        <v>2400</v>
      </c>
      <c r="N1729">
        <v>0</v>
      </c>
    </row>
    <row r="1730" spans="1:14" x14ac:dyDescent="0.25">
      <c r="A1730">
        <v>1314.6036750000001</v>
      </c>
      <c r="B1730" s="1">
        <f>DATE(2013,12,5) + TIME(14,29,17)</f>
        <v>41613.603668981479</v>
      </c>
      <c r="C1730">
        <v>80</v>
      </c>
      <c r="D1730">
        <v>76.673271178999997</v>
      </c>
      <c r="E1730">
        <v>50</v>
      </c>
      <c r="F1730">
        <v>49.97359848</v>
      </c>
      <c r="G1730">
        <v>1300.2071533000001</v>
      </c>
      <c r="H1730">
        <v>1287.6181641000001</v>
      </c>
      <c r="I1730">
        <v>1397.0592041</v>
      </c>
      <c r="J1730">
        <v>1377.2501221</v>
      </c>
      <c r="K1730">
        <v>0</v>
      </c>
      <c r="L1730">
        <v>2400</v>
      </c>
      <c r="M1730">
        <v>2400</v>
      </c>
      <c r="N1730">
        <v>0</v>
      </c>
    </row>
    <row r="1731" spans="1:14" x14ac:dyDescent="0.25">
      <c r="A1731">
        <v>1316.252868</v>
      </c>
      <c r="B1731" s="1">
        <f>DATE(2013,12,7) + TIME(6,4,7)</f>
        <v>41615.252858796295</v>
      </c>
      <c r="C1731">
        <v>80</v>
      </c>
      <c r="D1731">
        <v>76.549278259000005</v>
      </c>
      <c r="E1731">
        <v>50</v>
      </c>
      <c r="F1731">
        <v>49.973625183000003</v>
      </c>
      <c r="G1731">
        <v>1300.1303711</v>
      </c>
      <c r="H1731">
        <v>1287.5261230000001</v>
      </c>
      <c r="I1731">
        <v>1396.9866943</v>
      </c>
      <c r="J1731">
        <v>1377.1875</v>
      </c>
      <c r="K1731">
        <v>0</v>
      </c>
      <c r="L1731">
        <v>2400</v>
      </c>
      <c r="M1731">
        <v>2400</v>
      </c>
      <c r="N1731">
        <v>0</v>
      </c>
    </row>
    <row r="1732" spans="1:14" x14ac:dyDescent="0.25">
      <c r="A1732">
        <v>1317.974082</v>
      </c>
      <c r="B1732" s="1">
        <f>DATE(2013,12,8) + TIME(23,22,40)</f>
        <v>41616.974074074074</v>
      </c>
      <c r="C1732">
        <v>80</v>
      </c>
      <c r="D1732">
        <v>76.421989440999994</v>
      </c>
      <c r="E1732">
        <v>50</v>
      </c>
      <c r="F1732">
        <v>49.973648071</v>
      </c>
      <c r="G1732">
        <v>1300.0495605000001</v>
      </c>
      <c r="H1732">
        <v>1287.4285889</v>
      </c>
      <c r="I1732">
        <v>1396.9151611</v>
      </c>
      <c r="J1732">
        <v>1377.1258545000001</v>
      </c>
      <c r="K1732">
        <v>0</v>
      </c>
      <c r="L1732">
        <v>2400</v>
      </c>
      <c r="M1732">
        <v>2400</v>
      </c>
      <c r="N1732">
        <v>0</v>
      </c>
    </row>
    <row r="1733" spans="1:14" x14ac:dyDescent="0.25">
      <c r="A1733">
        <v>1319.7748180000001</v>
      </c>
      <c r="B1733" s="1">
        <f>DATE(2013,12,10) + TIME(18,35,44)</f>
        <v>41618.774814814817</v>
      </c>
      <c r="C1733">
        <v>80</v>
      </c>
      <c r="D1733">
        <v>76.291046143000003</v>
      </c>
      <c r="E1733">
        <v>50</v>
      </c>
      <c r="F1733">
        <v>49.973678589000002</v>
      </c>
      <c r="G1733">
        <v>1299.963501</v>
      </c>
      <c r="H1733">
        <v>1287.3239745999999</v>
      </c>
      <c r="I1733">
        <v>1396.8435059000001</v>
      </c>
      <c r="J1733">
        <v>1377.0639647999999</v>
      </c>
      <c r="K1733">
        <v>0</v>
      </c>
      <c r="L1733">
        <v>2400</v>
      </c>
      <c r="M1733">
        <v>2400</v>
      </c>
      <c r="N1733">
        <v>0</v>
      </c>
    </row>
    <row r="1734" spans="1:14" x14ac:dyDescent="0.25">
      <c r="A1734">
        <v>1321.609948</v>
      </c>
      <c r="B1734" s="1">
        <f>DATE(2013,12,12) + TIME(14,38,19)</f>
        <v>41620.609942129631</v>
      </c>
      <c r="C1734">
        <v>80</v>
      </c>
      <c r="D1734">
        <v>76.157272339000002</v>
      </c>
      <c r="E1734">
        <v>50</v>
      </c>
      <c r="F1734">
        <v>49.973705291999998</v>
      </c>
      <c r="G1734">
        <v>1299.8712158000001</v>
      </c>
      <c r="H1734">
        <v>1287.2114257999999</v>
      </c>
      <c r="I1734">
        <v>1396.7716064000001</v>
      </c>
      <c r="J1734">
        <v>1377.0019531</v>
      </c>
      <c r="K1734">
        <v>0</v>
      </c>
      <c r="L1734">
        <v>2400</v>
      </c>
      <c r="M1734">
        <v>2400</v>
      </c>
      <c r="N1734">
        <v>0</v>
      </c>
    </row>
    <row r="1735" spans="1:14" x14ac:dyDescent="0.25">
      <c r="A1735">
        <v>1323.5018520000001</v>
      </c>
      <c r="B1735" s="1">
        <f>DATE(2013,12,14) + TIME(12,2,40)</f>
        <v>41622.501851851855</v>
      </c>
      <c r="C1735">
        <v>80</v>
      </c>
      <c r="D1735">
        <v>76.021682738999999</v>
      </c>
      <c r="E1735">
        <v>50</v>
      </c>
      <c r="F1735">
        <v>49.973731995000001</v>
      </c>
      <c r="G1735">
        <v>1299.7747803</v>
      </c>
      <c r="H1735">
        <v>1287.0930175999999</v>
      </c>
      <c r="I1735">
        <v>1396.7011719</v>
      </c>
      <c r="J1735">
        <v>1376.9412841999999</v>
      </c>
      <c r="K1735">
        <v>0</v>
      </c>
      <c r="L1735">
        <v>2400</v>
      </c>
      <c r="M1735">
        <v>2400</v>
      </c>
      <c r="N1735">
        <v>0</v>
      </c>
    </row>
    <row r="1736" spans="1:14" x14ac:dyDescent="0.25">
      <c r="A1736">
        <v>1325.4532879999999</v>
      </c>
      <c r="B1736" s="1">
        <f>DATE(2013,12,16) + TIME(10,52,44)</f>
        <v>41624.453287037039</v>
      </c>
      <c r="C1736">
        <v>80</v>
      </c>
      <c r="D1736">
        <v>75.883995056000003</v>
      </c>
      <c r="E1736">
        <v>50</v>
      </c>
      <c r="F1736">
        <v>49.973762512</v>
      </c>
      <c r="G1736">
        <v>1299.6728516000001</v>
      </c>
      <c r="H1736">
        <v>1286.9672852000001</v>
      </c>
      <c r="I1736">
        <v>1396.6315918</v>
      </c>
      <c r="J1736">
        <v>1376.8811035000001</v>
      </c>
      <c r="K1736">
        <v>0</v>
      </c>
      <c r="L1736">
        <v>2400</v>
      </c>
      <c r="M1736">
        <v>2400</v>
      </c>
      <c r="N1736">
        <v>0</v>
      </c>
    </row>
    <row r="1737" spans="1:14" x14ac:dyDescent="0.25">
      <c r="A1737">
        <v>1327.444074</v>
      </c>
      <c r="B1737" s="1">
        <f>DATE(2013,12,18) + TIME(10,39,27)</f>
        <v>41626.444062499999</v>
      </c>
      <c r="C1737">
        <v>80</v>
      </c>
      <c r="D1737">
        <v>75.744491577000005</v>
      </c>
      <c r="E1737">
        <v>50</v>
      </c>
      <c r="F1737">
        <v>49.973796843999999</v>
      </c>
      <c r="G1737">
        <v>1299.5650635</v>
      </c>
      <c r="H1737">
        <v>1286.8334961</v>
      </c>
      <c r="I1737">
        <v>1396.5625</v>
      </c>
      <c r="J1737">
        <v>1376.8215332</v>
      </c>
      <c r="K1737">
        <v>0</v>
      </c>
      <c r="L1737">
        <v>2400</v>
      </c>
      <c r="M1737">
        <v>2400</v>
      </c>
      <c r="N1737">
        <v>0</v>
      </c>
    </row>
    <row r="1738" spans="1:14" x14ac:dyDescent="0.25">
      <c r="A1738">
        <v>1329.4595629999999</v>
      </c>
      <c r="B1738" s="1">
        <f>DATE(2013,12,20) + TIME(11,1,46)</f>
        <v>41628.459560185183</v>
      </c>
      <c r="C1738">
        <v>80</v>
      </c>
      <c r="D1738">
        <v>75.604141235</v>
      </c>
      <c r="E1738">
        <v>50</v>
      </c>
      <c r="F1738">
        <v>49.973827362000002</v>
      </c>
      <c r="G1738">
        <v>1299.4520264</v>
      </c>
      <c r="H1738">
        <v>1286.6925048999999</v>
      </c>
      <c r="I1738">
        <v>1396.4946289</v>
      </c>
      <c r="J1738">
        <v>1376.7630615</v>
      </c>
      <c r="K1738">
        <v>0</v>
      </c>
      <c r="L1738">
        <v>2400</v>
      </c>
      <c r="M1738">
        <v>2400</v>
      </c>
      <c r="N1738">
        <v>0</v>
      </c>
    </row>
    <row r="1739" spans="1:14" x14ac:dyDescent="0.25">
      <c r="A1739">
        <v>1331.504889</v>
      </c>
      <c r="B1739" s="1">
        <f>DATE(2013,12,22) + TIME(12,7,2)</f>
        <v>41630.504884259259</v>
      </c>
      <c r="C1739">
        <v>80</v>
      </c>
      <c r="D1739">
        <v>75.463516235</v>
      </c>
      <c r="E1739">
        <v>50</v>
      </c>
      <c r="F1739">
        <v>49.973857879999997</v>
      </c>
      <c r="G1739">
        <v>1299.3345947</v>
      </c>
      <c r="H1739">
        <v>1286.5450439000001</v>
      </c>
      <c r="I1739">
        <v>1396.4285889</v>
      </c>
      <c r="J1739">
        <v>1376.7059326000001</v>
      </c>
      <c r="K1739">
        <v>0</v>
      </c>
      <c r="L1739">
        <v>2400</v>
      </c>
      <c r="M1739">
        <v>2400</v>
      </c>
      <c r="N1739">
        <v>0</v>
      </c>
    </row>
    <row r="1740" spans="1:14" x14ac:dyDescent="0.25">
      <c r="A1740">
        <v>1333.5841069999999</v>
      </c>
      <c r="B1740" s="1">
        <f>DATE(2013,12,24) + TIME(14,1,6)</f>
        <v>41632.584097222221</v>
      </c>
      <c r="C1740">
        <v>80</v>
      </c>
      <c r="D1740">
        <v>75.322532654</v>
      </c>
      <c r="E1740">
        <v>50</v>
      </c>
      <c r="F1740">
        <v>49.973892212000003</v>
      </c>
      <c r="G1740">
        <v>1299.2120361</v>
      </c>
      <c r="H1740">
        <v>1286.3903809000001</v>
      </c>
      <c r="I1740">
        <v>1396.3638916</v>
      </c>
      <c r="J1740">
        <v>1376.6501464999999</v>
      </c>
      <c r="K1740">
        <v>0</v>
      </c>
      <c r="L1740">
        <v>2400</v>
      </c>
      <c r="M1740">
        <v>2400</v>
      </c>
      <c r="N1740">
        <v>0</v>
      </c>
    </row>
    <row r="1741" spans="1:14" x14ac:dyDescent="0.25">
      <c r="A1741">
        <v>1335.70126</v>
      </c>
      <c r="B1741" s="1">
        <f>DATE(2013,12,26) + TIME(16,49,48)</f>
        <v>41634.701249999998</v>
      </c>
      <c r="C1741">
        <v>80</v>
      </c>
      <c r="D1741">
        <v>75.180923461999996</v>
      </c>
      <c r="E1741">
        <v>50</v>
      </c>
      <c r="F1741">
        <v>49.973926544000001</v>
      </c>
      <c r="G1741">
        <v>1299.0842285000001</v>
      </c>
      <c r="H1741">
        <v>1286.2281493999999</v>
      </c>
      <c r="I1741">
        <v>1396.3005370999999</v>
      </c>
      <c r="J1741">
        <v>1376.5953368999999</v>
      </c>
      <c r="K1741">
        <v>0</v>
      </c>
      <c r="L1741">
        <v>2400</v>
      </c>
      <c r="M1741">
        <v>2400</v>
      </c>
      <c r="N1741">
        <v>0</v>
      </c>
    </row>
    <row r="1742" spans="1:14" x14ac:dyDescent="0.25">
      <c r="A1742">
        <v>1337.8469600000001</v>
      </c>
      <c r="B1742" s="1">
        <f>DATE(2013,12,28) + TIME(20,19,37)</f>
        <v>41636.846956018519</v>
      </c>
      <c r="C1742">
        <v>80</v>
      </c>
      <c r="D1742">
        <v>75.038681030000006</v>
      </c>
      <c r="E1742">
        <v>50</v>
      </c>
      <c r="F1742">
        <v>49.973960876</v>
      </c>
      <c r="G1742">
        <v>1298.9505615</v>
      </c>
      <c r="H1742">
        <v>1286.0576172000001</v>
      </c>
      <c r="I1742">
        <v>1396.2381591999999</v>
      </c>
      <c r="J1742">
        <v>1376.5413818</v>
      </c>
      <c r="K1742">
        <v>0</v>
      </c>
      <c r="L1742">
        <v>2400</v>
      </c>
      <c r="M1742">
        <v>2400</v>
      </c>
      <c r="N1742">
        <v>0</v>
      </c>
    </row>
    <row r="1743" spans="1:14" x14ac:dyDescent="0.25">
      <c r="A1743">
        <v>1340.015864</v>
      </c>
      <c r="B1743" s="1">
        <f>DATE(2013,12,31) + TIME(0,22,50)</f>
        <v>41639.015856481485</v>
      </c>
      <c r="C1743">
        <v>80</v>
      </c>
      <c r="D1743">
        <v>74.896011353000006</v>
      </c>
      <c r="E1743">
        <v>50</v>
      </c>
      <c r="F1743">
        <v>49.973995209000002</v>
      </c>
      <c r="G1743">
        <v>1298.8114014</v>
      </c>
      <c r="H1743">
        <v>1285.8791504000001</v>
      </c>
      <c r="I1743">
        <v>1396.177124</v>
      </c>
      <c r="J1743">
        <v>1376.4886475000001</v>
      </c>
      <c r="K1743">
        <v>0</v>
      </c>
      <c r="L1743">
        <v>2400</v>
      </c>
      <c r="M1743">
        <v>2400</v>
      </c>
      <c r="N1743">
        <v>0</v>
      </c>
    </row>
    <row r="1744" spans="1:14" x14ac:dyDescent="0.25">
      <c r="A1744">
        <v>1341</v>
      </c>
      <c r="B1744" s="1">
        <f>DATE(2014,1,1) + TIME(0,0,0)</f>
        <v>41640</v>
      </c>
      <c r="C1744">
        <v>80</v>
      </c>
      <c r="D1744">
        <v>74.789611816000004</v>
      </c>
      <c r="E1744">
        <v>50</v>
      </c>
      <c r="F1744">
        <v>49.974006653000004</v>
      </c>
      <c r="G1744">
        <v>1298.6694336</v>
      </c>
      <c r="H1744">
        <v>1285.7023925999999</v>
      </c>
      <c r="I1744">
        <v>1396.1169434000001</v>
      </c>
      <c r="J1744">
        <v>1376.4364014</v>
      </c>
      <c r="K1744">
        <v>0</v>
      </c>
      <c r="L1744">
        <v>2400</v>
      </c>
      <c r="M1744">
        <v>2400</v>
      </c>
      <c r="N1744">
        <v>0</v>
      </c>
    </row>
    <row r="1745" spans="1:14" x14ac:dyDescent="0.25">
      <c r="A1745">
        <v>1343.1976179999999</v>
      </c>
      <c r="B1745" s="1">
        <f>DATE(2014,1,3) + TIME(4,44,34)</f>
        <v>41642.197615740741</v>
      </c>
      <c r="C1745">
        <v>80</v>
      </c>
      <c r="D1745">
        <v>74.676940918</v>
      </c>
      <c r="E1745">
        <v>50</v>
      </c>
      <c r="F1745">
        <v>49.974048615000001</v>
      </c>
      <c r="G1745">
        <v>1298.5957031</v>
      </c>
      <c r="H1745">
        <v>1285.5976562000001</v>
      </c>
      <c r="I1745">
        <v>1396.0909423999999</v>
      </c>
      <c r="J1745">
        <v>1376.4140625</v>
      </c>
      <c r="K1745">
        <v>0</v>
      </c>
      <c r="L1745">
        <v>2400</v>
      </c>
      <c r="M1745">
        <v>2400</v>
      </c>
      <c r="N1745">
        <v>0</v>
      </c>
    </row>
    <row r="1746" spans="1:14" x14ac:dyDescent="0.25">
      <c r="A1746">
        <v>1345.438375</v>
      </c>
      <c r="B1746" s="1">
        <f>DATE(2014,1,5) + TIME(10,31,15)</f>
        <v>41644.438368055555</v>
      </c>
      <c r="C1746">
        <v>80</v>
      </c>
      <c r="D1746">
        <v>74.541877747000001</v>
      </c>
      <c r="E1746">
        <v>50</v>
      </c>
      <c r="F1746">
        <v>49.974082946999999</v>
      </c>
      <c r="G1746">
        <v>1298.4468993999999</v>
      </c>
      <c r="H1746">
        <v>1285.4066161999999</v>
      </c>
      <c r="I1746">
        <v>1396.0333252</v>
      </c>
      <c r="J1746">
        <v>1376.3640137</v>
      </c>
      <c r="K1746">
        <v>0</v>
      </c>
      <c r="L1746">
        <v>2400</v>
      </c>
      <c r="M1746">
        <v>2400</v>
      </c>
      <c r="N1746">
        <v>0</v>
      </c>
    </row>
    <row r="1747" spans="1:14" x14ac:dyDescent="0.25">
      <c r="A1747">
        <v>1347.708308</v>
      </c>
      <c r="B1747" s="1">
        <f>DATE(2014,1,7) + TIME(16,59,57)</f>
        <v>41646.708298611113</v>
      </c>
      <c r="C1747">
        <v>80</v>
      </c>
      <c r="D1747">
        <v>74.399490356000001</v>
      </c>
      <c r="E1747">
        <v>50</v>
      </c>
      <c r="F1747">
        <v>49.974121093999997</v>
      </c>
      <c r="G1747">
        <v>1298.2889404</v>
      </c>
      <c r="H1747">
        <v>1285.2012939000001</v>
      </c>
      <c r="I1747">
        <v>1395.9761963000001</v>
      </c>
      <c r="J1747">
        <v>1376.3144531</v>
      </c>
      <c r="K1747">
        <v>0</v>
      </c>
      <c r="L1747">
        <v>2400</v>
      </c>
      <c r="M1747">
        <v>2400</v>
      </c>
      <c r="N1747">
        <v>0</v>
      </c>
    </row>
    <row r="1748" spans="1:14" x14ac:dyDescent="0.25">
      <c r="A1748">
        <v>1350.004719</v>
      </c>
      <c r="B1748" s="1">
        <f>DATE(2014,1,10) + TIME(0,6,47)</f>
        <v>41649.004710648151</v>
      </c>
      <c r="C1748">
        <v>80</v>
      </c>
      <c r="D1748">
        <v>74.254356384000005</v>
      </c>
      <c r="E1748">
        <v>50</v>
      </c>
      <c r="F1748">
        <v>49.974159241000002</v>
      </c>
      <c r="G1748">
        <v>1298.1241454999999</v>
      </c>
      <c r="H1748">
        <v>1284.9857178</v>
      </c>
      <c r="I1748">
        <v>1395.9200439000001</v>
      </c>
      <c r="J1748">
        <v>1376.2657471</v>
      </c>
      <c r="K1748">
        <v>0</v>
      </c>
      <c r="L1748">
        <v>2400</v>
      </c>
      <c r="M1748">
        <v>2400</v>
      </c>
      <c r="N1748">
        <v>0</v>
      </c>
    </row>
    <row r="1749" spans="1:14" x14ac:dyDescent="0.25">
      <c r="A1749">
        <v>1352.333075</v>
      </c>
      <c r="B1749" s="1">
        <f>DATE(2014,1,12) + TIME(7,59,37)</f>
        <v>41651.333067129628</v>
      </c>
      <c r="C1749">
        <v>80</v>
      </c>
      <c r="D1749">
        <v>74.107612610000004</v>
      </c>
      <c r="E1749">
        <v>50</v>
      </c>
      <c r="F1749">
        <v>49.974197388</v>
      </c>
      <c r="G1749">
        <v>1297.9532471</v>
      </c>
      <c r="H1749">
        <v>1284.7607422000001</v>
      </c>
      <c r="I1749">
        <v>1395.8649902</v>
      </c>
      <c r="J1749">
        <v>1376.2178954999999</v>
      </c>
      <c r="K1749">
        <v>0</v>
      </c>
      <c r="L1749">
        <v>2400</v>
      </c>
      <c r="M1749">
        <v>2400</v>
      </c>
      <c r="N1749">
        <v>0</v>
      </c>
    </row>
    <row r="1750" spans="1:14" x14ac:dyDescent="0.25">
      <c r="A1750">
        <v>1354.6982620000001</v>
      </c>
      <c r="B1750" s="1">
        <f>DATE(2014,1,14) + TIME(16,45,29)</f>
        <v>41653.698252314818</v>
      </c>
      <c r="C1750">
        <v>80</v>
      </c>
      <c r="D1750">
        <v>73.959197997999993</v>
      </c>
      <c r="E1750">
        <v>50</v>
      </c>
      <c r="F1750">
        <v>49.974235534999998</v>
      </c>
      <c r="G1750">
        <v>1297.7756348</v>
      </c>
      <c r="H1750">
        <v>1284.5261230000001</v>
      </c>
      <c r="I1750">
        <v>1395.8106689000001</v>
      </c>
      <c r="J1750">
        <v>1376.1707764</v>
      </c>
      <c r="K1750">
        <v>0</v>
      </c>
      <c r="L1750">
        <v>2400</v>
      </c>
      <c r="M1750">
        <v>2400</v>
      </c>
      <c r="N1750">
        <v>0</v>
      </c>
    </row>
    <row r="1751" spans="1:14" x14ac:dyDescent="0.25">
      <c r="A1751">
        <v>1357.0918220000001</v>
      </c>
      <c r="B1751" s="1">
        <f>DATE(2014,1,17) + TIME(2,12,13)</f>
        <v>41656.091817129629</v>
      </c>
      <c r="C1751">
        <v>80</v>
      </c>
      <c r="D1751">
        <v>73.808937072999996</v>
      </c>
      <c r="E1751">
        <v>50</v>
      </c>
      <c r="F1751">
        <v>49.974273682000003</v>
      </c>
      <c r="G1751">
        <v>1297.5909423999999</v>
      </c>
      <c r="H1751">
        <v>1284.2811279</v>
      </c>
      <c r="I1751">
        <v>1395.7570800999999</v>
      </c>
      <c r="J1751">
        <v>1376.1241454999999</v>
      </c>
      <c r="K1751">
        <v>0</v>
      </c>
      <c r="L1751">
        <v>2400</v>
      </c>
      <c r="M1751">
        <v>2400</v>
      </c>
      <c r="N1751">
        <v>0</v>
      </c>
    </row>
    <row r="1752" spans="1:14" x14ac:dyDescent="0.25">
      <c r="A1752">
        <v>1359.51387</v>
      </c>
      <c r="B1752" s="1">
        <f>DATE(2014,1,19) + TIME(12,19,58)</f>
        <v>41658.513865740744</v>
      </c>
      <c r="C1752">
        <v>80</v>
      </c>
      <c r="D1752">
        <v>73.656867981000005</v>
      </c>
      <c r="E1752">
        <v>50</v>
      </c>
      <c r="F1752">
        <v>49.974315642999997</v>
      </c>
      <c r="G1752">
        <v>1297.3996582</v>
      </c>
      <c r="H1752">
        <v>1284.0263672000001</v>
      </c>
      <c r="I1752">
        <v>1395.7043457</v>
      </c>
      <c r="J1752">
        <v>1376.078125</v>
      </c>
      <c r="K1752">
        <v>0</v>
      </c>
      <c r="L1752">
        <v>2400</v>
      </c>
      <c r="M1752">
        <v>2400</v>
      </c>
      <c r="N1752">
        <v>0</v>
      </c>
    </row>
    <row r="1753" spans="1:14" x14ac:dyDescent="0.25">
      <c r="A1753">
        <v>1361.9696690000001</v>
      </c>
      <c r="B1753" s="1">
        <f>DATE(2014,1,21) + TIME(23,16,19)</f>
        <v>41660.969664351855</v>
      </c>
      <c r="C1753">
        <v>80</v>
      </c>
      <c r="D1753">
        <v>73.502738953000005</v>
      </c>
      <c r="E1753">
        <v>50</v>
      </c>
      <c r="F1753">
        <v>49.974353790000002</v>
      </c>
      <c r="G1753">
        <v>1297.2016602000001</v>
      </c>
      <c r="H1753">
        <v>1283.7615966999999</v>
      </c>
      <c r="I1753">
        <v>1395.6523437999999</v>
      </c>
      <c r="J1753">
        <v>1376.0328368999999</v>
      </c>
      <c r="K1753">
        <v>0</v>
      </c>
      <c r="L1753">
        <v>2400</v>
      </c>
      <c r="M1753">
        <v>2400</v>
      </c>
      <c r="N1753">
        <v>0</v>
      </c>
    </row>
    <row r="1754" spans="1:14" x14ac:dyDescent="0.25">
      <c r="A1754">
        <v>1364.4527169999999</v>
      </c>
      <c r="B1754" s="1">
        <f>DATE(2014,1,24) + TIME(10,51,54)</f>
        <v>41663.452708333331</v>
      </c>
      <c r="C1754">
        <v>80</v>
      </c>
      <c r="D1754">
        <v>73.346221924000005</v>
      </c>
      <c r="E1754">
        <v>50</v>
      </c>
      <c r="F1754">
        <v>49.974395752</v>
      </c>
      <c r="G1754">
        <v>1296.9964600000001</v>
      </c>
      <c r="H1754">
        <v>1283.4862060999999</v>
      </c>
      <c r="I1754">
        <v>1395.6009521000001</v>
      </c>
      <c r="J1754">
        <v>1375.9880370999999</v>
      </c>
      <c r="K1754">
        <v>0</v>
      </c>
      <c r="L1754">
        <v>2400</v>
      </c>
      <c r="M1754">
        <v>2400</v>
      </c>
      <c r="N1754">
        <v>0</v>
      </c>
    </row>
    <row r="1755" spans="1:14" x14ac:dyDescent="0.25">
      <c r="A1755">
        <v>1366.9683889999999</v>
      </c>
      <c r="B1755" s="1">
        <f>DATE(2014,1,26) + TIME(23,14,28)</f>
        <v>41665.96837962963</v>
      </c>
      <c r="C1755">
        <v>80</v>
      </c>
      <c r="D1755">
        <v>73.187141417999996</v>
      </c>
      <c r="E1755">
        <v>50</v>
      </c>
      <c r="F1755">
        <v>49.974437713999997</v>
      </c>
      <c r="G1755">
        <v>1296.7845459</v>
      </c>
      <c r="H1755">
        <v>1283.2008057</v>
      </c>
      <c r="I1755">
        <v>1395.5504149999999</v>
      </c>
      <c r="J1755">
        <v>1375.9438477000001</v>
      </c>
      <c r="K1755">
        <v>0</v>
      </c>
      <c r="L1755">
        <v>2400</v>
      </c>
      <c r="M1755">
        <v>2400</v>
      </c>
      <c r="N1755">
        <v>0</v>
      </c>
    </row>
    <row r="1756" spans="1:14" x14ac:dyDescent="0.25">
      <c r="A1756">
        <v>1369.5218640000001</v>
      </c>
      <c r="B1756" s="1">
        <f>DATE(2014,1,29) + TIME(12,31,29)</f>
        <v>41668.521863425929</v>
      </c>
      <c r="C1756">
        <v>80</v>
      </c>
      <c r="D1756">
        <v>73.024971007999994</v>
      </c>
      <c r="E1756">
        <v>50</v>
      </c>
      <c r="F1756">
        <v>49.974479674999998</v>
      </c>
      <c r="G1756">
        <v>1296.5653076000001</v>
      </c>
      <c r="H1756">
        <v>1282.9045410000001</v>
      </c>
      <c r="I1756">
        <v>1395.5003661999999</v>
      </c>
      <c r="J1756">
        <v>1375.9001464999999</v>
      </c>
      <c r="K1756">
        <v>0</v>
      </c>
      <c r="L1756">
        <v>2400</v>
      </c>
      <c r="M1756">
        <v>2400</v>
      </c>
      <c r="N1756">
        <v>0</v>
      </c>
    </row>
    <row r="1757" spans="1:14" x14ac:dyDescent="0.25">
      <c r="A1757">
        <v>1372</v>
      </c>
      <c r="B1757" s="1">
        <f>DATE(2014,2,1) + TIME(0,0,0)</f>
        <v>41671</v>
      </c>
      <c r="C1757">
        <v>80</v>
      </c>
      <c r="D1757">
        <v>72.860961914000001</v>
      </c>
      <c r="E1757">
        <v>50</v>
      </c>
      <c r="F1757">
        <v>49.974517822000003</v>
      </c>
      <c r="G1757">
        <v>1296.3387451000001</v>
      </c>
      <c r="H1757">
        <v>1282.5975341999999</v>
      </c>
      <c r="I1757">
        <v>1395.4509277</v>
      </c>
      <c r="J1757">
        <v>1375.8566894999999</v>
      </c>
      <c r="K1757">
        <v>0</v>
      </c>
      <c r="L1757">
        <v>2400</v>
      </c>
      <c r="M1757">
        <v>2400</v>
      </c>
      <c r="N1757">
        <v>0</v>
      </c>
    </row>
    <row r="1758" spans="1:14" x14ac:dyDescent="0.25">
      <c r="A1758">
        <v>1374.5964100000001</v>
      </c>
      <c r="B1758" s="1">
        <f>DATE(2014,2,3) + TIME(14,18,49)</f>
        <v>41673.596400462964</v>
      </c>
      <c r="C1758">
        <v>80</v>
      </c>
      <c r="D1758">
        <v>72.695838928000001</v>
      </c>
      <c r="E1758">
        <v>50</v>
      </c>
      <c r="F1758">
        <v>49.974563599</v>
      </c>
      <c r="G1758">
        <v>1296.1131591999999</v>
      </c>
      <c r="H1758">
        <v>1282.2896728999999</v>
      </c>
      <c r="I1758">
        <v>1395.4039307</v>
      </c>
      <c r="J1758">
        <v>1375.8156738</v>
      </c>
      <c r="K1758">
        <v>0</v>
      </c>
      <c r="L1758">
        <v>2400</v>
      </c>
      <c r="M1758">
        <v>2400</v>
      </c>
      <c r="N1758">
        <v>0</v>
      </c>
    </row>
    <row r="1759" spans="1:14" x14ac:dyDescent="0.25">
      <c r="A1759">
        <v>1377.256122</v>
      </c>
      <c r="B1759" s="1">
        <f>DATE(2014,2,6) + TIME(6,8,48)</f>
        <v>41676.256111111114</v>
      </c>
      <c r="C1759">
        <v>80</v>
      </c>
      <c r="D1759">
        <v>72.523971558</v>
      </c>
      <c r="E1759">
        <v>50</v>
      </c>
      <c r="F1759">
        <v>49.974605560000001</v>
      </c>
      <c r="G1759">
        <v>1295.8740233999999</v>
      </c>
      <c r="H1759">
        <v>1281.963501</v>
      </c>
      <c r="I1759">
        <v>1395.3558350000001</v>
      </c>
      <c r="J1759">
        <v>1375.7734375</v>
      </c>
      <c r="K1759">
        <v>0</v>
      </c>
      <c r="L1759">
        <v>2400</v>
      </c>
      <c r="M1759">
        <v>2400</v>
      </c>
      <c r="N1759">
        <v>0</v>
      </c>
    </row>
    <row r="1760" spans="1:14" x14ac:dyDescent="0.25">
      <c r="A1760">
        <v>1379.9468879999999</v>
      </c>
      <c r="B1760" s="1">
        <f>DATE(2014,2,8) + TIME(22,43,31)</f>
        <v>41678.946886574071</v>
      </c>
      <c r="C1760">
        <v>80</v>
      </c>
      <c r="D1760">
        <v>72.345916747999993</v>
      </c>
      <c r="E1760">
        <v>50</v>
      </c>
      <c r="F1760">
        <v>49.974647521999998</v>
      </c>
      <c r="G1760">
        <v>1295.6247559000001</v>
      </c>
      <c r="H1760">
        <v>1281.6223144999999</v>
      </c>
      <c r="I1760">
        <v>1395.3077393000001</v>
      </c>
      <c r="J1760">
        <v>1375.7312012</v>
      </c>
      <c r="K1760">
        <v>0</v>
      </c>
      <c r="L1760">
        <v>2400</v>
      </c>
      <c r="M1760">
        <v>2400</v>
      </c>
      <c r="N1760">
        <v>0</v>
      </c>
    </row>
    <row r="1761" spans="1:14" x14ac:dyDescent="0.25">
      <c r="A1761">
        <v>1382.6741099999999</v>
      </c>
      <c r="B1761" s="1">
        <f>DATE(2014,2,11) + TIME(16,10,43)</f>
        <v>41681.674108796295</v>
      </c>
      <c r="C1761">
        <v>80</v>
      </c>
      <c r="D1761">
        <v>72.162544249999996</v>
      </c>
      <c r="E1761">
        <v>50</v>
      </c>
      <c r="F1761">
        <v>49.974693297999998</v>
      </c>
      <c r="G1761">
        <v>1295.3676757999999</v>
      </c>
      <c r="H1761">
        <v>1281.2692870999999</v>
      </c>
      <c r="I1761">
        <v>1395.2600098</v>
      </c>
      <c r="J1761">
        <v>1375.6892089999999</v>
      </c>
      <c r="K1761">
        <v>0</v>
      </c>
      <c r="L1761">
        <v>2400</v>
      </c>
      <c r="M1761">
        <v>2400</v>
      </c>
      <c r="N1761">
        <v>0</v>
      </c>
    </row>
    <row r="1762" spans="1:14" x14ac:dyDescent="0.25">
      <c r="A1762">
        <v>1385.443313</v>
      </c>
      <c r="B1762" s="1">
        <f>DATE(2014,2,14) + TIME(10,38,22)</f>
        <v>41684.443310185183</v>
      </c>
      <c r="C1762">
        <v>80</v>
      </c>
      <c r="D1762">
        <v>71.973411560000002</v>
      </c>
      <c r="E1762">
        <v>50</v>
      </c>
      <c r="F1762">
        <v>49.974739075000002</v>
      </c>
      <c r="G1762">
        <v>1295.1027832</v>
      </c>
      <c r="H1762">
        <v>1280.9041748</v>
      </c>
      <c r="I1762">
        <v>1395.2127685999999</v>
      </c>
      <c r="J1762">
        <v>1375.6475829999999</v>
      </c>
      <c r="K1762">
        <v>0</v>
      </c>
      <c r="L1762">
        <v>2400</v>
      </c>
      <c r="M1762">
        <v>2400</v>
      </c>
      <c r="N1762">
        <v>0</v>
      </c>
    </row>
    <row r="1763" spans="1:14" x14ac:dyDescent="0.25">
      <c r="A1763">
        <v>1388.259965</v>
      </c>
      <c r="B1763" s="1">
        <f>DATE(2014,2,17) + TIME(6,14,20)</f>
        <v>41687.259953703702</v>
      </c>
      <c r="C1763">
        <v>80</v>
      </c>
      <c r="D1763">
        <v>71.777763367000006</v>
      </c>
      <c r="E1763">
        <v>50</v>
      </c>
      <c r="F1763">
        <v>49.974781036000003</v>
      </c>
      <c r="G1763">
        <v>1294.8294678</v>
      </c>
      <c r="H1763">
        <v>1280.5263672000001</v>
      </c>
      <c r="I1763">
        <v>1395.1657714999999</v>
      </c>
      <c r="J1763">
        <v>1375.6062012</v>
      </c>
      <c r="K1763">
        <v>0</v>
      </c>
      <c r="L1763">
        <v>2400</v>
      </c>
      <c r="M1763">
        <v>2400</v>
      </c>
      <c r="N1763">
        <v>0</v>
      </c>
    </row>
    <row r="1764" spans="1:14" x14ac:dyDescent="0.25">
      <c r="A1764">
        <v>1391.1210900000001</v>
      </c>
      <c r="B1764" s="1">
        <f>DATE(2014,2,20) + TIME(2,54,22)</f>
        <v>41690.121087962965</v>
      </c>
      <c r="C1764">
        <v>80</v>
      </c>
      <c r="D1764">
        <v>71.574829101999995</v>
      </c>
      <c r="E1764">
        <v>50</v>
      </c>
      <c r="F1764">
        <v>49.974826813</v>
      </c>
      <c r="G1764">
        <v>1294.5472411999999</v>
      </c>
      <c r="H1764">
        <v>1280.1352539</v>
      </c>
      <c r="I1764">
        <v>1395.1188964999999</v>
      </c>
      <c r="J1764">
        <v>1375.5648193</v>
      </c>
      <c r="K1764">
        <v>0</v>
      </c>
      <c r="L1764">
        <v>2400</v>
      </c>
      <c r="M1764">
        <v>2400</v>
      </c>
      <c r="N1764">
        <v>0</v>
      </c>
    </row>
    <row r="1765" spans="1:14" x14ac:dyDescent="0.25">
      <c r="A1765">
        <v>1394.0099949999999</v>
      </c>
      <c r="B1765" s="1">
        <f>DATE(2014,2,23) + TIME(0,14,23)</f>
        <v>41693.009988425925</v>
      </c>
      <c r="C1765">
        <v>80</v>
      </c>
      <c r="D1765">
        <v>71.364387511999993</v>
      </c>
      <c r="E1765">
        <v>50</v>
      </c>
      <c r="F1765">
        <v>49.974872589</v>
      </c>
      <c r="G1765">
        <v>1294.2564697</v>
      </c>
      <c r="H1765">
        <v>1279.730957</v>
      </c>
      <c r="I1765">
        <v>1395.0721435999999</v>
      </c>
      <c r="J1765">
        <v>1375.5235596</v>
      </c>
      <c r="K1765">
        <v>0</v>
      </c>
      <c r="L1765">
        <v>2400</v>
      </c>
      <c r="M1765">
        <v>2400</v>
      </c>
      <c r="N1765">
        <v>0</v>
      </c>
    </row>
    <row r="1766" spans="1:14" x14ac:dyDescent="0.25">
      <c r="A1766">
        <v>1396.931102</v>
      </c>
      <c r="B1766" s="1">
        <f>DATE(2014,2,25) + TIME(22,20,47)</f>
        <v>41695.93109953704</v>
      </c>
      <c r="C1766">
        <v>80</v>
      </c>
      <c r="D1766">
        <v>71.146591186999999</v>
      </c>
      <c r="E1766">
        <v>50</v>
      </c>
      <c r="F1766">
        <v>49.97492218</v>
      </c>
      <c r="G1766">
        <v>1293.9584961</v>
      </c>
      <c r="H1766">
        <v>1279.3155518000001</v>
      </c>
      <c r="I1766">
        <v>1395.0258789</v>
      </c>
      <c r="J1766">
        <v>1375.4825439000001</v>
      </c>
      <c r="K1766">
        <v>0</v>
      </c>
      <c r="L1766">
        <v>2400</v>
      </c>
      <c r="M1766">
        <v>2400</v>
      </c>
      <c r="N1766">
        <v>0</v>
      </c>
    </row>
    <row r="1767" spans="1:14" x14ac:dyDescent="0.25">
      <c r="A1767">
        <v>1398.465551</v>
      </c>
      <c r="B1767" s="1">
        <f>DATE(2014,2,27) + TIME(11,10,23)</f>
        <v>41697.465543981481</v>
      </c>
      <c r="C1767">
        <v>80</v>
      </c>
      <c r="D1767">
        <v>70.957710266000007</v>
      </c>
      <c r="E1767">
        <v>50</v>
      </c>
      <c r="F1767">
        <v>49.974941254000001</v>
      </c>
      <c r="G1767">
        <v>1293.6605225000001</v>
      </c>
      <c r="H1767">
        <v>1278.9083252</v>
      </c>
      <c r="I1767">
        <v>1394.9794922000001</v>
      </c>
      <c r="J1767">
        <v>1375.4415283000001</v>
      </c>
      <c r="K1767">
        <v>0</v>
      </c>
      <c r="L1767">
        <v>2400</v>
      </c>
      <c r="M1767">
        <v>2400</v>
      </c>
      <c r="N1767">
        <v>0</v>
      </c>
    </row>
    <row r="1768" spans="1:14" x14ac:dyDescent="0.25">
      <c r="A1768">
        <v>1400</v>
      </c>
      <c r="B1768" s="1">
        <f>DATE(2014,3,1) + TIME(0,0,0)</f>
        <v>41699</v>
      </c>
      <c r="C1768">
        <v>80</v>
      </c>
      <c r="D1768">
        <v>70.812530518000003</v>
      </c>
      <c r="E1768">
        <v>50</v>
      </c>
      <c r="F1768">
        <v>49.974967956999997</v>
      </c>
      <c r="G1768">
        <v>1293.4831543</v>
      </c>
      <c r="H1768">
        <v>1278.651001</v>
      </c>
      <c r="I1768">
        <v>1394.9558105000001</v>
      </c>
      <c r="J1768">
        <v>1375.4202881000001</v>
      </c>
      <c r="K1768">
        <v>0</v>
      </c>
      <c r="L1768">
        <v>2400</v>
      </c>
      <c r="M1768">
        <v>2400</v>
      </c>
      <c r="N1768">
        <v>0</v>
      </c>
    </row>
    <row r="1769" spans="1:14" x14ac:dyDescent="0.25">
      <c r="A1769">
        <v>1401.9841739999999</v>
      </c>
      <c r="B1769" s="1">
        <f>DATE(2014,3,2) + TIME(23,37,12)</f>
        <v>41700.984166666669</v>
      </c>
      <c r="C1769">
        <v>80</v>
      </c>
      <c r="D1769">
        <v>70.670135497999993</v>
      </c>
      <c r="E1769">
        <v>50</v>
      </c>
      <c r="F1769">
        <v>49.974998474000003</v>
      </c>
      <c r="G1769">
        <v>1293.3125</v>
      </c>
      <c r="H1769">
        <v>1278.4052733999999</v>
      </c>
      <c r="I1769">
        <v>1394.9323730000001</v>
      </c>
      <c r="J1769">
        <v>1375.3996582</v>
      </c>
      <c r="K1769">
        <v>0</v>
      </c>
      <c r="L1769">
        <v>2400</v>
      </c>
      <c r="M1769">
        <v>2400</v>
      </c>
      <c r="N1769">
        <v>0</v>
      </c>
    </row>
    <row r="1770" spans="1:14" x14ac:dyDescent="0.25">
      <c r="A1770">
        <v>1404.924139</v>
      </c>
      <c r="B1770" s="1">
        <f>DATE(2014,3,5) + TIME(22,10,45)</f>
        <v>41703.924131944441</v>
      </c>
      <c r="C1770">
        <v>80</v>
      </c>
      <c r="D1770">
        <v>70.496955872000001</v>
      </c>
      <c r="E1770">
        <v>50</v>
      </c>
      <c r="F1770">
        <v>49.975048065000003</v>
      </c>
      <c r="G1770">
        <v>1293.1002197</v>
      </c>
      <c r="H1770">
        <v>1278.1042480000001</v>
      </c>
      <c r="I1770">
        <v>1394.9024658000001</v>
      </c>
      <c r="J1770">
        <v>1375.3730469</v>
      </c>
      <c r="K1770">
        <v>0</v>
      </c>
      <c r="L1770">
        <v>2400</v>
      </c>
      <c r="M1770">
        <v>2400</v>
      </c>
      <c r="N1770">
        <v>0</v>
      </c>
    </row>
    <row r="1771" spans="1:14" x14ac:dyDescent="0.25">
      <c r="A1771">
        <v>1407.939648</v>
      </c>
      <c r="B1771" s="1">
        <f>DATE(2014,3,8) + TIME(22,33,5)</f>
        <v>41706.939641203702</v>
      </c>
      <c r="C1771">
        <v>80</v>
      </c>
      <c r="D1771">
        <v>70.265296935999999</v>
      </c>
      <c r="E1771">
        <v>50</v>
      </c>
      <c r="F1771">
        <v>49.975093842</v>
      </c>
      <c r="G1771">
        <v>1292.7950439000001</v>
      </c>
      <c r="H1771">
        <v>1277.6796875</v>
      </c>
      <c r="I1771">
        <v>1394.8583983999999</v>
      </c>
      <c r="J1771">
        <v>1375.3338623</v>
      </c>
      <c r="K1771">
        <v>0</v>
      </c>
      <c r="L1771">
        <v>2400</v>
      </c>
      <c r="M1771">
        <v>2400</v>
      </c>
      <c r="N1771">
        <v>0</v>
      </c>
    </row>
    <row r="1772" spans="1:14" x14ac:dyDescent="0.25">
      <c r="A1772">
        <v>1411.050015</v>
      </c>
      <c r="B1772" s="1">
        <f>DATE(2014,3,12) + TIME(1,12,1)</f>
        <v>41710.050011574072</v>
      </c>
      <c r="C1772">
        <v>80</v>
      </c>
      <c r="D1772">
        <v>70.010414123999993</v>
      </c>
      <c r="E1772">
        <v>50</v>
      </c>
      <c r="F1772">
        <v>49.975143433</v>
      </c>
      <c r="G1772">
        <v>1292.4697266000001</v>
      </c>
      <c r="H1772">
        <v>1277.2211914</v>
      </c>
      <c r="I1772">
        <v>1394.8138428</v>
      </c>
      <c r="J1772">
        <v>1375.2941894999999</v>
      </c>
      <c r="K1772">
        <v>0</v>
      </c>
      <c r="L1772">
        <v>2400</v>
      </c>
      <c r="M1772">
        <v>2400</v>
      </c>
      <c r="N1772">
        <v>0</v>
      </c>
    </row>
    <row r="1773" spans="1:14" x14ac:dyDescent="0.25">
      <c r="A1773">
        <v>1414.2218889999999</v>
      </c>
      <c r="B1773" s="1">
        <f>DATE(2014,3,15) + TIME(5,19,31)</f>
        <v>41713.221886574072</v>
      </c>
      <c r="C1773">
        <v>80</v>
      </c>
      <c r="D1773">
        <v>69.738319396999998</v>
      </c>
      <c r="E1773">
        <v>50</v>
      </c>
      <c r="F1773">
        <v>49.975189209</v>
      </c>
      <c r="G1773">
        <v>1292.1293945</v>
      </c>
      <c r="H1773">
        <v>1276.7395019999999</v>
      </c>
      <c r="I1773">
        <v>1394.7685547000001</v>
      </c>
      <c r="J1773">
        <v>1375.2539062000001</v>
      </c>
      <c r="K1773">
        <v>0</v>
      </c>
      <c r="L1773">
        <v>2400</v>
      </c>
      <c r="M1773">
        <v>2400</v>
      </c>
      <c r="N1773">
        <v>0</v>
      </c>
    </row>
    <row r="1774" spans="1:14" x14ac:dyDescent="0.25">
      <c r="A1774">
        <v>1417.4376549999999</v>
      </c>
      <c r="B1774" s="1">
        <f>DATE(2014,3,18) + TIME(10,30,13)</f>
        <v>41716.437650462962</v>
      </c>
      <c r="C1774">
        <v>80</v>
      </c>
      <c r="D1774">
        <v>69.452056885000005</v>
      </c>
      <c r="E1774">
        <v>50</v>
      </c>
      <c r="F1774">
        <v>49.9752388</v>
      </c>
      <c r="G1774">
        <v>1291.7784423999999</v>
      </c>
      <c r="H1774">
        <v>1276.2409668</v>
      </c>
      <c r="I1774">
        <v>1394.7231445</v>
      </c>
      <c r="J1774">
        <v>1375.2132568</v>
      </c>
      <c r="K1774">
        <v>0</v>
      </c>
      <c r="L1774">
        <v>2400</v>
      </c>
      <c r="M1774">
        <v>2400</v>
      </c>
      <c r="N1774">
        <v>0</v>
      </c>
    </row>
    <row r="1775" spans="1:14" x14ac:dyDescent="0.25">
      <c r="A1775">
        <v>1420.7132260000001</v>
      </c>
      <c r="B1775" s="1">
        <f>DATE(2014,3,21) + TIME(17,7,2)</f>
        <v>41719.713217592594</v>
      </c>
      <c r="C1775">
        <v>80</v>
      </c>
      <c r="D1775">
        <v>69.152328491000006</v>
      </c>
      <c r="E1775">
        <v>50</v>
      </c>
      <c r="F1775">
        <v>49.975288390999999</v>
      </c>
      <c r="G1775">
        <v>1291.4191894999999</v>
      </c>
      <c r="H1775">
        <v>1275.7290039</v>
      </c>
      <c r="I1775">
        <v>1394.6777344</v>
      </c>
      <c r="J1775">
        <v>1375.1727295000001</v>
      </c>
      <c r="K1775">
        <v>0</v>
      </c>
      <c r="L1775">
        <v>2400</v>
      </c>
      <c r="M1775">
        <v>2400</v>
      </c>
      <c r="N1775">
        <v>0</v>
      </c>
    </row>
    <row r="1776" spans="1:14" x14ac:dyDescent="0.25">
      <c r="A1776">
        <v>1424.058857</v>
      </c>
      <c r="B1776" s="1">
        <f>DATE(2014,3,25) + TIME(1,24,45)</f>
        <v>41723.058854166666</v>
      </c>
      <c r="C1776">
        <v>80</v>
      </c>
      <c r="D1776">
        <v>68.837615967000005</v>
      </c>
      <c r="E1776">
        <v>50</v>
      </c>
      <c r="F1776">
        <v>49.975341796999999</v>
      </c>
      <c r="G1776">
        <v>1291.0507812000001</v>
      </c>
      <c r="H1776">
        <v>1275.2025146000001</v>
      </c>
      <c r="I1776">
        <v>1394.6322021000001</v>
      </c>
      <c r="J1776">
        <v>1375.1318358999999</v>
      </c>
      <c r="K1776">
        <v>0</v>
      </c>
      <c r="L1776">
        <v>2400</v>
      </c>
      <c r="M1776">
        <v>2400</v>
      </c>
      <c r="N1776">
        <v>0</v>
      </c>
    </row>
    <row r="1777" spans="1:14" x14ac:dyDescent="0.25">
      <c r="A1777">
        <v>1427.453297</v>
      </c>
      <c r="B1777" s="1">
        <f>DATE(2014,3,28) + TIME(10,52,44)</f>
        <v>41726.453287037039</v>
      </c>
      <c r="C1777">
        <v>80</v>
      </c>
      <c r="D1777">
        <v>68.506866454999994</v>
      </c>
      <c r="E1777">
        <v>50</v>
      </c>
      <c r="F1777">
        <v>49.975391387999998</v>
      </c>
      <c r="G1777">
        <v>1290.6723632999999</v>
      </c>
      <c r="H1777">
        <v>1274.6601562000001</v>
      </c>
      <c r="I1777">
        <v>1394.5861815999999</v>
      </c>
      <c r="J1777">
        <v>1375.0906981999999</v>
      </c>
      <c r="K1777">
        <v>0</v>
      </c>
      <c r="L1777">
        <v>2400</v>
      </c>
      <c r="M1777">
        <v>2400</v>
      </c>
      <c r="N1777">
        <v>0</v>
      </c>
    </row>
    <row r="1778" spans="1:14" x14ac:dyDescent="0.25">
      <c r="A1778">
        <v>1429.2266480000001</v>
      </c>
      <c r="B1778" s="1">
        <f>DATE(2014,3,30) + TIME(5,26,22)</f>
        <v>41728.226643518516</v>
      </c>
      <c r="C1778">
        <v>80</v>
      </c>
      <c r="D1778">
        <v>68.210533142000003</v>
      </c>
      <c r="E1778">
        <v>50</v>
      </c>
      <c r="F1778">
        <v>49.975414276000002</v>
      </c>
      <c r="G1778">
        <v>1290.2939452999999</v>
      </c>
      <c r="H1778">
        <v>1274.1297606999999</v>
      </c>
      <c r="I1778">
        <v>1394.5397949000001</v>
      </c>
      <c r="J1778">
        <v>1375.0489502</v>
      </c>
      <c r="K1778">
        <v>0</v>
      </c>
      <c r="L1778">
        <v>2400</v>
      </c>
      <c r="M1778">
        <v>2400</v>
      </c>
      <c r="N1778">
        <v>0</v>
      </c>
    </row>
    <row r="1779" spans="1:14" x14ac:dyDescent="0.25">
      <c r="A1779">
        <v>1431</v>
      </c>
      <c r="B1779" s="1">
        <f>DATE(2014,4,1) + TIME(0,0,0)</f>
        <v>41730</v>
      </c>
      <c r="C1779">
        <v>80</v>
      </c>
      <c r="D1779">
        <v>67.990425110000004</v>
      </c>
      <c r="E1779">
        <v>50</v>
      </c>
      <c r="F1779">
        <v>49.975440978999998</v>
      </c>
      <c r="G1779">
        <v>1290.0711670000001</v>
      </c>
      <c r="H1779">
        <v>1273.7960204999999</v>
      </c>
      <c r="I1779">
        <v>1394.5159911999999</v>
      </c>
      <c r="J1779">
        <v>1375.0274658000001</v>
      </c>
      <c r="K1779">
        <v>0</v>
      </c>
      <c r="L1779">
        <v>2400</v>
      </c>
      <c r="M1779">
        <v>2400</v>
      </c>
      <c r="N1779">
        <v>0</v>
      </c>
    </row>
    <row r="1780" spans="1:14" x14ac:dyDescent="0.25">
      <c r="A1780">
        <v>1433.2214100000001</v>
      </c>
      <c r="B1780" s="1">
        <f>DATE(2014,4,3) + TIME(5,18,49)</f>
        <v>41732.221400462964</v>
      </c>
      <c r="C1780">
        <v>80</v>
      </c>
      <c r="D1780">
        <v>67.778320312000005</v>
      </c>
      <c r="E1780">
        <v>50</v>
      </c>
      <c r="F1780">
        <v>49.975475310999997</v>
      </c>
      <c r="G1780">
        <v>1289.8608397999999</v>
      </c>
      <c r="H1780">
        <v>1273.4849853999999</v>
      </c>
      <c r="I1780">
        <v>1394.4924315999999</v>
      </c>
      <c r="J1780">
        <v>1375.0062256000001</v>
      </c>
      <c r="K1780">
        <v>0</v>
      </c>
      <c r="L1780">
        <v>2400</v>
      </c>
      <c r="M1780">
        <v>2400</v>
      </c>
      <c r="N1780">
        <v>0</v>
      </c>
    </row>
    <row r="1781" spans="1:14" x14ac:dyDescent="0.25">
      <c r="A1781">
        <v>1436.5292910000001</v>
      </c>
      <c r="B1781" s="1">
        <f>DATE(2014,4,6) + TIME(12,42,10)</f>
        <v>41735.529282407406</v>
      </c>
      <c r="C1781">
        <v>80</v>
      </c>
      <c r="D1781">
        <v>67.522422790999997</v>
      </c>
      <c r="E1781">
        <v>50</v>
      </c>
      <c r="F1781">
        <v>49.975528717000003</v>
      </c>
      <c r="G1781">
        <v>1289.6065673999999</v>
      </c>
      <c r="H1781">
        <v>1273.1136475000001</v>
      </c>
      <c r="I1781">
        <v>1394.4631348</v>
      </c>
      <c r="J1781">
        <v>1374.9799805</v>
      </c>
      <c r="K1781">
        <v>0</v>
      </c>
      <c r="L1781">
        <v>2400</v>
      </c>
      <c r="M1781">
        <v>2400</v>
      </c>
      <c r="N1781">
        <v>0</v>
      </c>
    </row>
    <row r="1782" spans="1:14" x14ac:dyDescent="0.25">
      <c r="A1782">
        <v>1440.0496800000001</v>
      </c>
      <c r="B1782" s="1">
        <f>DATE(2014,4,10) + TIME(1,11,32)</f>
        <v>41739.049675925926</v>
      </c>
      <c r="C1782">
        <v>80</v>
      </c>
      <c r="D1782">
        <v>67.171882628999995</v>
      </c>
      <c r="E1782">
        <v>50</v>
      </c>
      <c r="F1782">
        <v>49.975578308000003</v>
      </c>
      <c r="G1782">
        <v>1289.239624</v>
      </c>
      <c r="H1782">
        <v>1272.588501</v>
      </c>
      <c r="I1782">
        <v>1394.4196777</v>
      </c>
      <c r="J1782">
        <v>1374.9407959</v>
      </c>
      <c r="K1782">
        <v>0</v>
      </c>
      <c r="L1782">
        <v>2400</v>
      </c>
      <c r="M1782">
        <v>2400</v>
      </c>
      <c r="N1782">
        <v>0</v>
      </c>
    </row>
    <row r="1783" spans="1:14" x14ac:dyDescent="0.25">
      <c r="A1783">
        <v>1443.7490299999999</v>
      </c>
      <c r="B1783" s="1">
        <f>DATE(2014,4,13) + TIME(17,58,36)</f>
        <v>41742.749027777776</v>
      </c>
      <c r="C1783">
        <v>80</v>
      </c>
      <c r="D1783">
        <v>66.776161193999997</v>
      </c>
      <c r="E1783">
        <v>50</v>
      </c>
      <c r="F1783">
        <v>49.975631714000002</v>
      </c>
      <c r="G1783">
        <v>1288.8383789</v>
      </c>
      <c r="H1783">
        <v>1272.0069579999999</v>
      </c>
      <c r="I1783">
        <v>1394.3739014</v>
      </c>
      <c r="J1783">
        <v>1374.8994141000001</v>
      </c>
      <c r="K1783">
        <v>0</v>
      </c>
      <c r="L1783">
        <v>2400</v>
      </c>
      <c r="M1783">
        <v>2400</v>
      </c>
      <c r="N1783">
        <v>0</v>
      </c>
    </row>
    <row r="1784" spans="1:14" x14ac:dyDescent="0.25">
      <c r="A1784">
        <v>1447.5295209999999</v>
      </c>
      <c r="B1784" s="1">
        <f>DATE(2014,4,17) + TIME(12,42,30)</f>
        <v>41746.529513888891</v>
      </c>
      <c r="C1784">
        <v>80</v>
      </c>
      <c r="D1784">
        <v>66.348182678000001</v>
      </c>
      <c r="E1784">
        <v>50</v>
      </c>
      <c r="F1784">
        <v>49.975688933999997</v>
      </c>
      <c r="G1784">
        <v>1288.4138184000001</v>
      </c>
      <c r="H1784">
        <v>1271.3891602000001</v>
      </c>
      <c r="I1784">
        <v>1394.3262939000001</v>
      </c>
      <c r="J1784">
        <v>1374.8563231999999</v>
      </c>
      <c r="K1784">
        <v>0</v>
      </c>
      <c r="L1784">
        <v>2400</v>
      </c>
      <c r="M1784">
        <v>2400</v>
      </c>
      <c r="N1784">
        <v>0</v>
      </c>
    </row>
    <row r="1785" spans="1:14" x14ac:dyDescent="0.25">
      <c r="A1785">
        <v>1451.3821049999999</v>
      </c>
      <c r="B1785" s="1">
        <f>DATE(2014,4,21) + TIME(9,10,13)</f>
        <v>41750.382094907407</v>
      </c>
      <c r="C1785">
        <v>80</v>
      </c>
      <c r="D1785">
        <v>65.897094726999995</v>
      </c>
      <c r="E1785">
        <v>50</v>
      </c>
      <c r="F1785">
        <v>49.975742339999996</v>
      </c>
      <c r="G1785">
        <v>1287.9781493999999</v>
      </c>
      <c r="H1785">
        <v>1270.7521973</v>
      </c>
      <c r="I1785">
        <v>1394.2780762</v>
      </c>
      <c r="J1785">
        <v>1374.8126221</v>
      </c>
      <c r="K1785">
        <v>0</v>
      </c>
      <c r="L1785">
        <v>2400</v>
      </c>
      <c r="M1785">
        <v>2400</v>
      </c>
      <c r="N1785">
        <v>0</v>
      </c>
    </row>
    <row r="1786" spans="1:14" x14ac:dyDescent="0.25">
      <c r="A1786">
        <v>1455.315877</v>
      </c>
      <c r="B1786" s="1">
        <f>DATE(2014,4,25) + TIME(7,34,51)</f>
        <v>41754.315868055557</v>
      </c>
      <c r="C1786">
        <v>80</v>
      </c>
      <c r="D1786">
        <v>65.424804687999995</v>
      </c>
      <c r="E1786">
        <v>50</v>
      </c>
      <c r="F1786">
        <v>49.975799561000002</v>
      </c>
      <c r="G1786">
        <v>1287.5339355000001</v>
      </c>
      <c r="H1786">
        <v>1270.1002197</v>
      </c>
      <c r="I1786">
        <v>1394.2294922000001</v>
      </c>
      <c r="J1786">
        <v>1374.7684326000001</v>
      </c>
      <c r="K1786">
        <v>0</v>
      </c>
      <c r="L1786">
        <v>2400</v>
      </c>
      <c r="M1786">
        <v>2400</v>
      </c>
      <c r="N1786">
        <v>0</v>
      </c>
    </row>
    <row r="1787" spans="1:14" x14ac:dyDescent="0.25">
      <c r="A1787">
        <v>1459.340434</v>
      </c>
      <c r="B1787" s="1">
        <f>DATE(2014,4,29) + TIME(8,10,13)</f>
        <v>41758.340428240743</v>
      </c>
      <c r="C1787">
        <v>80</v>
      </c>
      <c r="D1787">
        <v>64.930679321</v>
      </c>
      <c r="E1787">
        <v>50</v>
      </c>
      <c r="F1787">
        <v>49.975856780999997</v>
      </c>
      <c r="G1787">
        <v>1287.0810547000001</v>
      </c>
      <c r="H1787">
        <v>1269.4334716999999</v>
      </c>
      <c r="I1787">
        <v>1394.1801757999999</v>
      </c>
      <c r="J1787">
        <v>1374.7236327999999</v>
      </c>
      <c r="K1787">
        <v>0</v>
      </c>
      <c r="L1787">
        <v>2400</v>
      </c>
      <c r="M1787">
        <v>2400</v>
      </c>
      <c r="N1787">
        <v>0</v>
      </c>
    </row>
    <row r="1788" spans="1:14" x14ac:dyDescent="0.25">
      <c r="A1788">
        <v>1461</v>
      </c>
      <c r="B1788" s="1">
        <f>DATE(2014,5,1) + TIME(0,0,0)</f>
        <v>41760</v>
      </c>
      <c r="C1788">
        <v>80</v>
      </c>
      <c r="D1788">
        <v>64.506874084000003</v>
      </c>
      <c r="E1788">
        <v>50</v>
      </c>
      <c r="F1788">
        <v>49.975875854000002</v>
      </c>
      <c r="G1788">
        <v>1286.6300048999999</v>
      </c>
      <c r="H1788">
        <v>1268.7941894999999</v>
      </c>
      <c r="I1788">
        <v>1394.1297606999999</v>
      </c>
      <c r="J1788">
        <v>1374.6777344</v>
      </c>
      <c r="K1788">
        <v>0</v>
      </c>
      <c r="L1788">
        <v>2400</v>
      </c>
      <c r="M1788">
        <v>2400</v>
      </c>
      <c r="N1788">
        <v>0</v>
      </c>
    </row>
    <row r="1789" spans="1:14" x14ac:dyDescent="0.25">
      <c r="A1789">
        <v>1461.0000010000001</v>
      </c>
      <c r="B1789" s="1">
        <f>DATE(2014,5,1) + TIME(0,0,0)</f>
        <v>41760</v>
      </c>
      <c r="C1789">
        <v>80</v>
      </c>
      <c r="D1789">
        <v>64.507034301999994</v>
      </c>
      <c r="E1789">
        <v>50</v>
      </c>
      <c r="F1789">
        <v>49.975765228</v>
      </c>
      <c r="G1789">
        <v>1305.9136963000001</v>
      </c>
      <c r="H1789">
        <v>1287.6530762</v>
      </c>
      <c r="I1789">
        <v>1373.8032227000001</v>
      </c>
      <c r="J1789">
        <v>1354.9145507999999</v>
      </c>
      <c r="K1789">
        <v>2400</v>
      </c>
      <c r="L1789">
        <v>0</v>
      </c>
      <c r="M1789">
        <v>0</v>
      </c>
      <c r="N1789">
        <v>2400</v>
      </c>
    </row>
    <row r="1790" spans="1:14" x14ac:dyDescent="0.25">
      <c r="A1790">
        <v>1461.000004</v>
      </c>
      <c r="B1790" s="1">
        <f>DATE(2014,5,1) + TIME(0,0,0)</f>
        <v>41760</v>
      </c>
      <c r="C1790">
        <v>80</v>
      </c>
      <c r="D1790">
        <v>64.507446289000001</v>
      </c>
      <c r="E1790">
        <v>50</v>
      </c>
      <c r="F1790">
        <v>49.975471497000001</v>
      </c>
      <c r="G1790">
        <v>1308.2860106999999</v>
      </c>
      <c r="H1790">
        <v>1290.2935791</v>
      </c>
      <c r="I1790">
        <v>1371.4707031</v>
      </c>
      <c r="J1790">
        <v>1352.5814209</v>
      </c>
      <c r="K1790">
        <v>2400</v>
      </c>
      <c r="L1790">
        <v>0</v>
      </c>
      <c r="M1790">
        <v>0</v>
      </c>
      <c r="N1790">
        <v>2400</v>
      </c>
    </row>
    <row r="1791" spans="1:14" x14ac:dyDescent="0.25">
      <c r="A1791">
        <v>1461.0000130000001</v>
      </c>
      <c r="B1791" s="1">
        <f>DATE(2014,5,1) + TIME(0,0,1)</f>
        <v>41760.000011574077</v>
      </c>
      <c r="C1791">
        <v>80</v>
      </c>
      <c r="D1791">
        <v>64.508384704999997</v>
      </c>
      <c r="E1791">
        <v>50</v>
      </c>
      <c r="F1791">
        <v>49.974815368999998</v>
      </c>
      <c r="G1791">
        <v>1313.4895019999999</v>
      </c>
      <c r="H1791">
        <v>1295.8576660000001</v>
      </c>
      <c r="I1791">
        <v>1366.2384033000001</v>
      </c>
      <c r="J1791">
        <v>1347.3482666</v>
      </c>
      <c r="K1791">
        <v>2400</v>
      </c>
      <c r="L1791">
        <v>0</v>
      </c>
      <c r="M1791">
        <v>0</v>
      </c>
      <c r="N1791">
        <v>2400</v>
      </c>
    </row>
    <row r="1792" spans="1:14" x14ac:dyDescent="0.25">
      <c r="A1792">
        <v>1461.0000399999999</v>
      </c>
      <c r="B1792" s="1">
        <f>DATE(2014,5,1) + TIME(0,0,3)</f>
        <v>41760.000034722223</v>
      </c>
      <c r="C1792">
        <v>80</v>
      </c>
      <c r="D1792">
        <v>64.510116577000005</v>
      </c>
      <c r="E1792">
        <v>50</v>
      </c>
      <c r="F1792">
        <v>49.973709106000001</v>
      </c>
      <c r="G1792">
        <v>1321.9663086</v>
      </c>
      <c r="H1792">
        <v>1304.4853516000001</v>
      </c>
      <c r="I1792">
        <v>1357.494751</v>
      </c>
      <c r="J1792">
        <v>1338.6052245999999</v>
      </c>
      <c r="K1792">
        <v>2400</v>
      </c>
      <c r="L1792">
        <v>0</v>
      </c>
      <c r="M1792">
        <v>0</v>
      </c>
      <c r="N1792">
        <v>2400</v>
      </c>
    </row>
    <row r="1793" spans="1:14" x14ac:dyDescent="0.25">
      <c r="A1793">
        <v>1461.000121</v>
      </c>
      <c r="B1793" s="1">
        <f>DATE(2014,5,1) + TIME(0,0,10)</f>
        <v>41760.000115740739</v>
      </c>
      <c r="C1793">
        <v>80</v>
      </c>
      <c r="D1793">
        <v>64.513214110999996</v>
      </c>
      <c r="E1793">
        <v>50</v>
      </c>
      <c r="F1793">
        <v>49.972358704000001</v>
      </c>
      <c r="G1793">
        <v>1332.1887207</v>
      </c>
      <c r="H1793">
        <v>1314.5965576000001</v>
      </c>
      <c r="I1793">
        <v>1346.8215332</v>
      </c>
      <c r="J1793">
        <v>1327.9365233999999</v>
      </c>
      <c r="K1793">
        <v>2400</v>
      </c>
      <c r="L1793">
        <v>0</v>
      </c>
      <c r="M1793">
        <v>0</v>
      </c>
      <c r="N1793">
        <v>2400</v>
      </c>
    </row>
    <row r="1794" spans="1:14" x14ac:dyDescent="0.25">
      <c r="A1794">
        <v>1461.000364</v>
      </c>
      <c r="B1794" s="1">
        <f>DATE(2014,5,1) + TIME(0,0,31)</f>
        <v>41760.000358796293</v>
      </c>
      <c r="C1794">
        <v>80</v>
      </c>
      <c r="D1794">
        <v>64.519874572999996</v>
      </c>
      <c r="E1794">
        <v>50</v>
      </c>
      <c r="F1794">
        <v>49.970951079999999</v>
      </c>
      <c r="G1794">
        <v>1342.7922363</v>
      </c>
      <c r="H1794">
        <v>1325.0418701000001</v>
      </c>
      <c r="I1794">
        <v>1335.8343506000001</v>
      </c>
      <c r="J1794">
        <v>1316.9581298999999</v>
      </c>
      <c r="K1794">
        <v>2400</v>
      </c>
      <c r="L1794">
        <v>0</v>
      </c>
      <c r="M1794">
        <v>0</v>
      </c>
      <c r="N1794">
        <v>2400</v>
      </c>
    </row>
    <row r="1795" spans="1:14" x14ac:dyDescent="0.25">
      <c r="A1795">
        <v>1461.0010930000001</v>
      </c>
      <c r="B1795" s="1">
        <f>DATE(2014,5,1) + TIME(0,1,34)</f>
        <v>41760.001087962963</v>
      </c>
      <c r="C1795">
        <v>80</v>
      </c>
      <c r="D1795">
        <v>64.537223815999994</v>
      </c>
      <c r="E1795">
        <v>50</v>
      </c>
      <c r="F1795">
        <v>49.969490051000001</v>
      </c>
      <c r="G1795">
        <v>1353.6859131000001</v>
      </c>
      <c r="H1795">
        <v>1335.7570800999999</v>
      </c>
      <c r="I1795">
        <v>1324.8521728999999</v>
      </c>
      <c r="J1795">
        <v>1305.9859618999999</v>
      </c>
      <c r="K1795">
        <v>2400</v>
      </c>
      <c r="L1795">
        <v>0</v>
      </c>
      <c r="M1795">
        <v>0</v>
      </c>
      <c r="N1795">
        <v>2400</v>
      </c>
    </row>
    <row r="1796" spans="1:14" x14ac:dyDescent="0.25">
      <c r="A1796">
        <v>1461.0032799999999</v>
      </c>
      <c r="B1796" s="1">
        <f>DATE(2014,5,1) + TIME(0,4,43)</f>
        <v>41760.003275462965</v>
      </c>
      <c r="C1796">
        <v>80</v>
      </c>
      <c r="D1796">
        <v>64.586967467999997</v>
      </c>
      <c r="E1796">
        <v>50</v>
      </c>
      <c r="F1796">
        <v>49.967849731000001</v>
      </c>
      <c r="G1796">
        <v>1365.2724608999999</v>
      </c>
      <c r="H1796">
        <v>1347.125</v>
      </c>
      <c r="I1796">
        <v>1313.7037353999999</v>
      </c>
      <c r="J1796">
        <v>1294.8234863</v>
      </c>
      <c r="K1796">
        <v>2400</v>
      </c>
      <c r="L1796">
        <v>0</v>
      </c>
      <c r="M1796">
        <v>0</v>
      </c>
      <c r="N1796">
        <v>2400</v>
      </c>
    </row>
    <row r="1797" spans="1:14" x14ac:dyDescent="0.25">
      <c r="A1797">
        <v>1461.0098410000001</v>
      </c>
      <c r="B1797" s="1">
        <f>DATE(2014,5,1) + TIME(0,14,10)</f>
        <v>41760.009837962964</v>
      </c>
      <c r="C1797">
        <v>80</v>
      </c>
      <c r="D1797">
        <v>64.733673096000004</v>
      </c>
      <c r="E1797">
        <v>50</v>
      </c>
      <c r="F1797">
        <v>49.965709685999997</v>
      </c>
      <c r="G1797">
        <v>1377.3693848</v>
      </c>
      <c r="H1797">
        <v>1359.0258789</v>
      </c>
      <c r="I1797">
        <v>1302.3625488</v>
      </c>
      <c r="J1797">
        <v>1283.4221190999999</v>
      </c>
      <c r="K1797">
        <v>2400</v>
      </c>
      <c r="L1797">
        <v>0</v>
      </c>
      <c r="M1797">
        <v>0</v>
      </c>
      <c r="N1797">
        <v>2400</v>
      </c>
    </row>
    <row r="1798" spans="1:14" x14ac:dyDescent="0.25">
      <c r="A1798">
        <v>1461.029524</v>
      </c>
      <c r="B1798" s="1">
        <f>DATE(2014,5,1) + TIME(0,42,30)</f>
        <v>41760.029513888891</v>
      </c>
      <c r="C1798">
        <v>80</v>
      </c>
      <c r="D1798">
        <v>65.161651610999996</v>
      </c>
      <c r="E1798">
        <v>50</v>
      </c>
      <c r="F1798">
        <v>49.962402343999997</v>
      </c>
      <c r="G1798">
        <v>1387.7052002</v>
      </c>
      <c r="H1798">
        <v>1369.3237305</v>
      </c>
      <c r="I1798">
        <v>1292.8684082</v>
      </c>
      <c r="J1798">
        <v>1273.8690185999999</v>
      </c>
      <c r="K1798">
        <v>2400</v>
      </c>
      <c r="L1798">
        <v>0</v>
      </c>
      <c r="M1798">
        <v>0</v>
      </c>
      <c r="N1798">
        <v>2400</v>
      </c>
    </row>
    <row r="1799" spans="1:14" x14ac:dyDescent="0.25">
      <c r="A1799">
        <v>1461.0567390000001</v>
      </c>
      <c r="B1799" s="1">
        <f>DATE(2014,5,1) + TIME(1,21,42)</f>
        <v>41760.05673611111</v>
      </c>
      <c r="C1799">
        <v>80</v>
      </c>
      <c r="D1799">
        <v>65.731063843000001</v>
      </c>
      <c r="E1799">
        <v>50</v>
      </c>
      <c r="F1799">
        <v>49.959041595000002</v>
      </c>
      <c r="G1799">
        <v>1392.145874</v>
      </c>
      <c r="H1799">
        <v>1373.8637695</v>
      </c>
      <c r="I1799">
        <v>1289.1763916</v>
      </c>
      <c r="J1799">
        <v>1270.1556396000001</v>
      </c>
      <c r="K1799">
        <v>2400</v>
      </c>
      <c r="L1799">
        <v>0</v>
      </c>
      <c r="M1799">
        <v>0</v>
      </c>
      <c r="N1799">
        <v>2400</v>
      </c>
    </row>
    <row r="1800" spans="1:14" x14ac:dyDescent="0.25">
      <c r="A1800">
        <v>1461.084642</v>
      </c>
      <c r="B1800" s="1">
        <f>DATE(2014,5,1) + TIME(2,1,53)</f>
        <v>41760.084641203706</v>
      </c>
      <c r="C1800">
        <v>80</v>
      </c>
      <c r="D1800">
        <v>66.292167664000004</v>
      </c>
      <c r="E1800">
        <v>50</v>
      </c>
      <c r="F1800">
        <v>49.955955504999999</v>
      </c>
      <c r="G1800">
        <v>1393.7263184000001</v>
      </c>
      <c r="H1800">
        <v>1375.5695800999999</v>
      </c>
      <c r="I1800">
        <v>1288.0980225000001</v>
      </c>
      <c r="J1800">
        <v>1269.0706786999999</v>
      </c>
      <c r="K1800">
        <v>2400</v>
      </c>
      <c r="L1800">
        <v>0</v>
      </c>
      <c r="M1800">
        <v>0</v>
      </c>
      <c r="N1800">
        <v>2400</v>
      </c>
    </row>
    <row r="1801" spans="1:14" x14ac:dyDescent="0.25">
      <c r="A1801">
        <v>1461.1131539999999</v>
      </c>
      <c r="B1801" s="1">
        <f>DATE(2014,5,1) + TIME(2,42,56)</f>
        <v>41760.11314814815</v>
      </c>
      <c r="C1801">
        <v>80</v>
      </c>
      <c r="D1801">
        <v>66.842643738000007</v>
      </c>
      <c r="E1801">
        <v>50</v>
      </c>
      <c r="F1801">
        <v>49.952930449999997</v>
      </c>
      <c r="G1801">
        <v>1394.2624512</v>
      </c>
      <c r="H1801">
        <v>1376.2371826000001</v>
      </c>
      <c r="I1801">
        <v>1287.8283690999999</v>
      </c>
      <c r="J1801">
        <v>1268.7987060999999</v>
      </c>
      <c r="K1801">
        <v>2400</v>
      </c>
      <c r="L1801">
        <v>0</v>
      </c>
      <c r="M1801">
        <v>0</v>
      </c>
      <c r="N1801">
        <v>2400</v>
      </c>
    </row>
    <row r="1802" spans="1:14" x14ac:dyDescent="0.25">
      <c r="A1802">
        <v>1461.1422700000001</v>
      </c>
      <c r="B1802" s="1">
        <f>DATE(2014,5,1) + TIME(3,24,52)</f>
        <v>41760.142268518517</v>
      </c>
      <c r="C1802">
        <v>80</v>
      </c>
      <c r="D1802">
        <v>67.381858825999998</v>
      </c>
      <c r="E1802">
        <v>50</v>
      </c>
      <c r="F1802">
        <v>49.949901580999999</v>
      </c>
      <c r="G1802">
        <v>1394.3835449000001</v>
      </c>
      <c r="H1802">
        <v>1376.4885254000001</v>
      </c>
      <c r="I1802">
        <v>1287.7963867000001</v>
      </c>
      <c r="J1802">
        <v>1268.7658690999999</v>
      </c>
      <c r="K1802">
        <v>2400</v>
      </c>
      <c r="L1802">
        <v>0</v>
      </c>
      <c r="M1802">
        <v>0</v>
      </c>
      <c r="N1802">
        <v>2400</v>
      </c>
    </row>
    <row r="1803" spans="1:14" x14ac:dyDescent="0.25">
      <c r="A1803">
        <v>1461.1720089999999</v>
      </c>
      <c r="B1803" s="1">
        <f>DATE(2014,5,1) + TIME(4,7,41)</f>
        <v>41760.172002314815</v>
      </c>
      <c r="C1803">
        <v>80</v>
      </c>
      <c r="D1803">
        <v>67.909706115999995</v>
      </c>
      <c r="E1803">
        <v>50</v>
      </c>
      <c r="F1803">
        <v>49.946846008000001</v>
      </c>
      <c r="G1803">
        <v>1394.3305664</v>
      </c>
      <c r="H1803">
        <v>1376.5622559000001</v>
      </c>
      <c r="I1803">
        <v>1287.8212891000001</v>
      </c>
      <c r="J1803">
        <v>1268.7902832</v>
      </c>
      <c r="K1803">
        <v>2400</v>
      </c>
      <c r="L1803">
        <v>0</v>
      </c>
      <c r="M1803">
        <v>0</v>
      </c>
      <c r="N1803">
        <v>2400</v>
      </c>
    </row>
    <row r="1804" spans="1:14" x14ac:dyDescent="0.25">
      <c r="A1804">
        <v>1461.2023959999999</v>
      </c>
      <c r="B1804" s="1">
        <f>DATE(2014,5,1) + TIME(4,51,26)</f>
        <v>41760.202384259261</v>
      </c>
      <c r="C1804">
        <v>80</v>
      </c>
      <c r="D1804">
        <v>68.426094054999993</v>
      </c>
      <c r="E1804">
        <v>50</v>
      </c>
      <c r="F1804">
        <v>49.943756104000002</v>
      </c>
      <c r="G1804">
        <v>1394.2021483999999</v>
      </c>
      <c r="H1804">
        <v>1376.5566406</v>
      </c>
      <c r="I1804">
        <v>1287.8503418</v>
      </c>
      <c r="J1804">
        <v>1268.8190918</v>
      </c>
      <c r="K1804">
        <v>2400</v>
      </c>
      <c r="L1804">
        <v>0</v>
      </c>
      <c r="M1804">
        <v>0</v>
      </c>
      <c r="N1804">
        <v>2400</v>
      </c>
    </row>
    <row r="1805" spans="1:14" x14ac:dyDescent="0.25">
      <c r="A1805">
        <v>1461.2334679999999</v>
      </c>
      <c r="B1805" s="1">
        <f>DATE(2014,5,1) + TIME(5,36,11)</f>
        <v>41760.233460648145</v>
      </c>
      <c r="C1805">
        <v>80</v>
      </c>
      <c r="D1805">
        <v>68.931198120000005</v>
      </c>
      <c r="E1805">
        <v>50</v>
      </c>
      <c r="F1805">
        <v>49.940628052000001</v>
      </c>
      <c r="G1805">
        <v>1394.0412598</v>
      </c>
      <c r="H1805">
        <v>1376.5142822</v>
      </c>
      <c r="I1805">
        <v>1287.8718262</v>
      </c>
      <c r="J1805">
        <v>1268.8402100000001</v>
      </c>
      <c r="K1805">
        <v>2400</v>
      </c>
      <c r="L1805">
        <v>0</v>
      </c>
      <c r="M1805">
        <v>0</v>
      </c>
      <c r="N1805">
        <v>2400</v>
      </c>
    </row>
    <row r="1806" spans="1:14" x14ac:dyDescent="0.25">
      <c r="A1806">
        <v>1461.265265</v>
      </c>
      <c r="B1806" s="1">
        <f>DATE(2014,5,1) + TIME(6,21,58)</f>
        <v>41760.26525462963</v>
      </c>
      <c r="C1806">
        <v>80</v>
      </c>
      <c r="D1806">
        <v>69.425109863000003</v>
      </c>
      <c r="E1806">
        <v>50</v>
      </c>
      <c r="F1806">
        <v>49.937454224</v>
      </c>
      <c r="G1806">
        <v>1393.8671875</v>
      </c>
      <c r="H1806">
        <v>1376.4548339999999</v>
      </c>
      <c r="I1806">
        <v>1287.885376</v>
      </c>
      <c r="J1806">
        <v>1268.8533935999999</v>
      </c>
      <c r="K1806">
        <v>2400</v>
      </c>
      <c r="L1806">
        <v>0</v>
      </c>
      <c r="M1806">
        <v>0</v>
      </c>
      <c r="N1806">
        <v>2400</v>
      </c>
    </row>
    <row r="1807" spans="1:14" x14ac:dyDescent="0.25">
      <c r="A1807">
        <v>1461.297828</v>
      </c>
      <c r="B1807" s="1">
        <f>DATE(2014,5,1) + TIME(7,8,52)</f>
        <v>41760.297824074078</v>
      </c>
      <c r="C1807">
        <v>80</v>
      </c>
      <c r="D1807">
        <v>69.907913207999997</v>
      </c>
      <c r="E1807">
        <v>50</v>
      </c>
      <c r="F1807">
        <v>49.934238434000001</v>
      </c>
      <c r="G1807">
        <v>1393.6894531</v>
      </c>
      <c r="H1807">
        <v>1376.3875731999999</v>
      </c>
      <c r="I1807">
        <v>1287.8933105000001</v>
      </c>
      <c r="J1807">
        <v>1268.8610839999999</v>
      </c>
      <c r="K1807">
        <v>2400</v>
      </c>
      <c r="L1807">
        <v>0</v>
      </c>
      <c r="M1807">
        <v>0</v>
      </c>
      <c r="N1807">
        <v>2400</v>
      </c>
    </row>
    <row r="1808" spans="1:14" x14ac:dyDescent="0.25">
      <c r="A1808">
        <v>1461.3312020000001</v>
      </c>
      <c r="B1808" s="1">
        <f>DATE(2014,5,1) + TIME(7,56,55)</f>
        <v>41760.331192129626</v>
      </c>
      <c r="C1808">
        <v>80</v>
      </c>
      <c r="D1808">
        <v>70.379425049000005</v>
      </c>
      <c r="E1808">
        <v>50</v>
      </c>
      <c r="F1808">
        <v>49.930976868000002</v>
      </c>
      <c r="G1808">
        <v>1393.5123291</v>
      </c>
      <c r="H1808">
        <v>1376.3171387</v>
      </c>
      <c r="I1808">
        <v>1287.8975829999999</v>
      </c>
      <c r="J1808">
        <v>1268.8651123</v>
      </c>
      <c r="K1808">
        <v>2400</v>
      </c>
      <c r="L1808">
        <v>0</v>
      </c>
      <c r="M1808">
        <v>0</v>
      </c>
      <c r="N1808">
        <v>2400</v>
      </c>
    </row>
    <row r="1809" spans="1:14" x14ac:dyDescent="0.25">
      <c r="A1809">
        <v>1461.3654369999999</v>
      </c>
      <c r="B1809" s="1">
        <f>DATE(2014,5,1) + TIME(8,46,13)</f>
        <v>41760.365428240744</v>
      </c>
      <c r="C1809">
        <v>80</v>
      </c>
      <c r="D1809">
        <v>70.839904785000002</v>
      </c>
      <c r="E1809">
        <v>50</v>
      </c>
      <c r="F1809">
        <v>49.927658080999997</v>
      </c>
      <c r="G1809">
        <v>1393.3381348</v>
      </c>
      <c r="H1809">
        <v>1376.2458495999999</v>
      </c>
      <c r="I1809">
        <v>1287.8999022999999</v>
      </c>
      <c r="J1809">
        <v>1268.8671875</v>
      </c>
      <c r="K1809">
        <v>2400</v>
      </c>
      <c r="L1809">
        <v>0</v>
      </c>
      <c r="M1809">
        <v>0</v>
      </c>
      <c r="N1809">
        <v>2400</v>
      </c>
    </row>
    <row r="1810" spans="1:14" x14ac:dyDescent="0.25">
      <c r="A1810">
        <v>1461.4005850000001</v>
      </c>
      <c r="B1810" s="1">
        <f>DATE(2014,5,1) + TIME(9,36,50)</f>
        <v>41760.400578703702</v>
      </c>
      <c r="C1810">
        <v>80</v>
      </c>
      <c r="D1810">
        <v>71.289482117000006</v>
      </c>
      <c r="E1810">
        <v>50</v>
      </c>
      <c r="F1810">
        <v>49.924289702999999</v>
      </c>
      <c r="G1810">
        <v>1393.1678466999999</v>
      </c>
      <c r="H1810">
        <v>1376.1749268000001</v>
      </c>
      <c r="I1810">
        <v>1287.9008789</v>
      </c>
      <c r="J1810">
        <v>1268.8679199000001</v>
      </c>
      <c r="K1810">
        <v>2400</v>
      </c>
      <c r="L1810">
        <v>0</v>
      </c>
      <c r="M1810">
        <v>0</v>
      </c>
      <c r="N1810">
        <v>2400</v>
      </c>
    </row>
    <row r="1811" spans="1:14" x14ac:dyDescent="0.25">
      <c r="A1811">
        <v>1461.436704</v>
      </c>
      <c r="B1811" s="1">
        <f>DATE(2014,5,1) + TIME(10,28,51)</f>
        <v>41760.436701388891</v>
      </c>
      <c r="C1811">
        <v>80</v>
      </c>
      <c r="D1811">
        <v>71.728218079000001</v>
      </c>
      <c r="E1811">
        <v>50</v>
      </c>
      <c r="F1811">
        <v>49.920864105</v>
      </c>
      <c r="G1811">
        <v>1393.0018310999999</v>
      </c>
      <c r="H1811">
        <v>1376.1048584</v>
      </c>
      <c r="I1811">
        <v>1287.9012451000001</v>
      </c>
      <c r="J1811">
        <v>1268.8679199000001</v>
      </c>
      <c r="K1811">
        <v>2400</v>
      </c>
      <c r="L1811">
        <v>0</v>
      </c>
      <c r="M1811">
        <v>0</v>
      </c>
      <c r="N1811">
        <v>2400</v>
      </c>
    </row>
    <row r="1812" spans="1:14" x14ac:dyDescent="0.25">
      <c r="A1812">
        <v>1461.473855</v>
      </c>
      <c r="B1812" s="1">
        <f>DATE(2014,5,1) + TIME(11,22,21)</f>
        <v>41760.473854166667</v>
      </c>
      <c r="C1812">
        <v>80</v>
      </c>
      <c r="D1812">
        <v>72.156150818</v>
      </c>
      <c r="E1812">
        <v>50</v>
      </c>
      <c r="F1812">
        <v>49.917373656999999</v>
      </c>
      <c r="G1812">
        <v>1392.840332</v>
      </c>
      <c r="H1812">
        <v>1376.0358887</v>
      </c>
      <c r="I1812">
        <v>1287.9012451000001</v>
      </c>
      <c r="J1812">
        <v>1268.8676757999999</v>
      </c>
      <c r="K1812">
        <v>2400</v>
      </c>
      <c r="L1812">
        <v>0</v>
      </c>
      <c r="M1812">
        <v>0</v>
      </c>
      <c r="N1812">
        <v>2400</v>
      </c>
    </row>
    <row r="1813" spans="1:14" x14ac:dyDescent="0.25">
      <c r="A1813">
        <v>1461.512107</v>
      </c>
      <c r="B1813" s="1">
        <f>DATE(2014,5,1) + TIME(12,17,26)</f>
        <v>41760.512106481481</v>
      </c>
      <c r="C1813">
        <v>80</v>
      </c>
      <c r="D1813">
        <v>72.573318481000001</v>
      </c>
      <c r="E1813">
        <v>50</v>
      </c>
      <c r="F1813">
        <v>49.913814545000001</v>
      </c>
      <c r="G1813">
        <v>1392.6832274999999</v>
      </c>
      <c r="H1813">
        <v>1375.9681396000001</v>
      </c>
      <c r="I1813">
        <v>1287.901001</v>
      </c>
      <c r="J1813">
        <v>1268.8670654</v>
      </c>
      <c r="K1813">
        <v>2400</v>
      </c>
      <c r="L1813">
        <v>0</v>
      </c>
      <c r="M1813">
        <v>0</v>
      </c>
      <c r="N1813">
        <v>2400</v>
      </c>
    </row>
    <row r="1814" spans="1:14" x14ac:dyDescent="0.25">
      <c r="A1814">
        <v>1461.551547</v>
      </c>
      <c r="B1814" s="1">
        <f>DATE(2014,5,1) + TIME(13,14,13)</f>
        <v>41760.551539351851</v>
      </c>
      <c r="C1814">
        <v>80</v>
      </c>
      <c r="D1814">
        <v>72.979850768999995</v>
      </c>
      <c r="E1814">
        <v>50</v>
      </c>
      <c r="F1814">
        <v>49.910182953000003</v>
      </c>
      <c r="G1814">
        <v>1392.5303954999999</v>
      </c>
      <c r="H1814">
        <v>1375.9016113</v>
      </c>
      <c r="I1814">
        <v>1287.9006348</v>
      </c>
      <c r="J1814">
        <v>1268.8663329999999</v>
      </c>
      <c r="K1814">
        <v>2400</v>
      </c>
      <c r="L1814">
        <v>0</v>
      </c>
      <c r="M1814">
        <v>0</v>
      </c>
      <c r="N1814">
        <v>2400</v>
      </c>
    </row>
    <row r="1815" spans="1:14" x14ac:dyDescent="0.25">
      <c r="A1815">
        <v>1461.592253</v>
      </c>
      <c r="B1815" s="1">
        <f>DATE(2014,5,1) + TIME(14,12,50)</f>
        <v>41760.592245370368</v>
      </c>
      <c r="C1815">
        <v>80</v>
      </c>
      <c r="D1815">
        <v>73.375732421999999</v>
      </c>
      <c r="E1815">
        <v>50</v>
      </c>
      <c r="F1815">
        <v>49.906475067000002</v>
      </c>
      <c r="G1815">
        <v>1392.3817139</v>
      </c>
      <c r="H1815">
        <v>1375.8361815999999</v>
      </c>
      <c r="I1815">
        <v>1287.9001464999999</v>
      </c>
      <c r="J1815">
        <v>1268.8654785000001</v>
      </c>
      <c r="K1815">
        <v>2400</v>
      </c>
      <c r="L1815">
        <v>0</v>
      </c>
      <c r="M1815">
        <v>0</v>
      </c>
      <c r="N1815">
        <v>2400</v>
      </c>
    </row>
    <row r="1816" spans="1:14" x14ac:dyDescent="0.25">
      <c r="A1816">
        <v>1461.634309</v>
      </c>
      <c r="B1816" s="1">
        <f>DATE(2014,5,1) + TIME(15,13,24)</f>
        <v>41760.634305555555</v>
      </c>
      <c r="C1816">
        <v>80</v>
      </c>
      <c r="D1816">
        <v>73.760894774999997</v>
      </c>
      <c r="E1816">
        <v>50</v>
      </c>
      <c r="F1816">
        <v>49.902679442999997</v>
      </c>
      <c r="G1816">
        <v>1392.2368164</v>
      </c>
      <c r="H1816">
        <v>1375.7718506000001</v>
      </c>
      <c r="I1816">
        <v>1287.8996582</v>
      </c>
      <c r="J1816">
        <v>1268.864624</v>
      </c>
      <c r="K1816">
        <v>2400</v>
      </c>
      <c r="L1816">
        <v>0</v>
      </c>
      <c r="M1816">
        <v>0</v>
      </c>
      <c r="N1816">
        <v>2400</v>
      </c>
    </row>
    <row r="1817" spans="1:14" x14ac:dyDescent="0.25">
      <c r="A1817">
        <v>1461.677815</v>
      </c>
      <c r="B1817" s="1">
        <f>DATE(2014,5,1) + TIME(16,16,3)</f>
        <v>41760.677812499998</v>
      </c>
      <c r="C1817">
        <v>80</v>
      </c>
      <c r="D1817">
        <v>74.135330199999999</v>
      </c>
      <c r="E1817">
        <v>50</v>
      </c>
      <c r="F1817">
        <v>49.898796081999997</v>
      </c>
      <c r="G1817">
        <v>1392.0958252</v>
      </c>
      <c r="H1817">
        <v>1375.7084961</v>
      </c>
      <c r="I1817">
        <v>1287.8990478999999</v>
      </c>
      <c r="J1817">
        <v>1268.8636475000001</v>
      </c>
      <c r="K1817">
        <v>2400</v>
      </c>
      <c r="L1817">
        <v>0</v>
      </c>
      <c r="M1817">
        <v>0</v>
      </c>
      <c r="N1817">
        <v>2400</v>
      </c>
    </row>
    <row r="1818" spans="1:14" x14ac:dyDescent="0.25">
      <c r="A1818">
        <v>1461.7228809999999</v>
      </c>
      <c r="B1818" s="1">
        <f>DATE(2014,5,1) + TIME(17,20,56)</f>
        <v>41760.722870370373</v>
      </c>
      <c r="C1818">
        <v>80</v>
      </c>
      <c r="D1818">
        <v>74.499031067000004</v>
      </c>
      <c r="E1818">
        <v>50</v>
      </c>
      <c r="F1818">
        <v>49.894817351999997</v>
      </c>
      <c r="G1818">
        <v>1391.9582519999999</v>
      </c>
      <c r="H1818">
        <v>1375.6459961</v>
      </c>
      <c r="I1818">
        <v>1287.8983154</v>
      </c>
      <c r="J1818">
        <v>1268.8626709</v>
      </c>
      <c r="K1818">
        <v>2400</v>
      </c>
      <c r="L1818">
        <v>0</v>
      </c>
      <c r="M1818">
        <v>0</v>
      </c>
      <c r="N1818">
        <v>2400</v>
      </c>
    </row>
    <row r="1819" spans="1:14" x14ac:dyDescent="0.25">
      <c r="A1819">
        <v>1461.76963</v>
      </c>
      <c r="B1819" s="1">
        <f>DATE(2014,5,1) + TIME(18,28,16)</f>
        <v>41760.769629629627</v>
      </c>
      <c r="C1819">
        <v>80</v>
      </c>
      <c r="D1819">
        <v>74.851974487000007</v>
      </c>
      <c r="E1819">
        <v>50</v>
      </c>
      <c r="F1819">
        <v>49.890727996999999</v>
      </c>
      <c r="G1819">
        <v>1391.8240966999999</v>
      </c>
      <c r="H1819">
        <v>1375.5842285000001</v>
      </c>
      <c r="I1819">
        <v>1287.8975829999999</v>
      </c>
      <c r="J1819">
        <v>1268.8615723</v>
      </c>
      <c r="K1819">
        <v>2400</v>
      </c>
      <c r="L1819">
        <v>0</v>
      </c>
      <c r="M1819">
        <v>0</v>
      </c>
      <c r="N1819">
        <v>2400</v>
      </c>
    </row>
    <row r="1820" spans="1:14" x14ac:dyDescent="0.25">
      <c r="A1820">
        <v>1461.8181999999999</v>
      </c>
      <c r="B1820" s="1">
        <f>DATE(2014,5,1) + TIME(19,38,12)</f>
        <v>41760.818194444444</v>
      </c>
      <c r="C1820">
        <v>80</v>
      </c>
      <c r="D1820">
        <v>75.193992614999999</v>
      </c>
      <c r="E1820">
        <v>50</v>
      </c>
      <c r="F1820">
        <v>49.886528015000003</v>
      </c>
      <c r="G1820">
        <v>1391.6929932</v>
      </c>
      <c r="H1820">
        <v>1375.5230713000001</v>
      </c>
      <c r="I1820">
        <v>1287.8968506000001</v>
      </c>
      <c r="J1820">
        <v>1268.8604736</v>
      </c>
      <c r="K1820">
        <v>2400</v>
      </c>
      <c r="L1820">
        <v>0</v>
      </c>
      <c r="M1820">
        <v>0</v>
      </c>
      <c r="N1820">
        <v>2400</v>
      </c>
    </row>
    <row r="1821" spans="1:14" x14ac:dyDescent="0.25">
      <c r="A1821">
        <v>1461.8687440000001</v>
      </c>
      <c r="B1821" s="1">
        <f>DATE(2014,5,1) + TIME(20,50,59)</f>
        <v>41760.868738425925</v>
      </c>
      <c r="C1821">
        <v>80</v>
      </c>
      <c r="D1821">
        <v>75.525070189999994</v>
      </c>
      <c r="E1821">
        <v>50</v>
      </c>
      <c r="F1821">
        <v>49.882202147999998</v>
      </c>
      <c r="G1821">
        <v>1391.5649414</v>
      </c>
      <c r="H1821">
        <v>1375.4625243999999</v>
      </c>
      <c r="I1821">
        <v>1287.8961182</v>
      </c>
      <c r="J1821">
        <v>1268.8592529</v>
      </c>
      <c r="K1821">
        <v>2400</v>
      </c>
      <c r="L1821">
        <v>0</v>
      </c>
      <c r="M1821">
        <v>0</v>
      </c>
      <c r="N1821">
        <v>2400</v>
      </c>
    </row>
    <row r="1822" spans="1:14" x14ac:dyDescent="0.25">
      <c r="A1822">
        <v>1461.921437</v>
      </c>
      <c r="B1822" s="1">
        <f>DATE(2014,5,1) + TIME(22,6,52)</f>
        <v>41760.921435185184</v>
      </c>
      <c r="C1822">
        <v>80</v>
      </c>
      <c r="D1822">
        <v>75.845275878999999</v>
      </c>
      <c r="E1822">
        <v>50</v>
      </c>
      <c r="F1822">
        <v>49.877738952999998</v>
      </c>
      <c r="G1822">
        <v>1391.4396973</v>
      </c>
      <c r="H1822">
        <v>1375.4023437999999</v>
      </c>
      <c r="I1822">
        <v>1287.8951416</v>
      </c>
      <c r="J1822">
        <v>1268.8580322</v>
      </c>
      <c r="K1822">
        <v>2400</v>
      </c>
      <c r="L1822">
        <v>0</v>
      </c>
      <c r="M1822">
        <v>0</v>
      </c>
      <c r="N1822">
        <v>2400</v>
      </c>
    </row>
    <row r="1823" spans="1:14" x14ac:dyDescent="0.25">
      <c r="A1823">
        <v>1461.9764740000001</v>
      </c>
      <c r="B1823" s="1">
        <f>DATE(2014,5,1) + TIME(23,26,7)</f>
        <v>41760.976469907408</v>
      </c>
      <c r="C1823">
        <v>80</v>
      </c>
      <c r="D1823">
        <v>76.154548645000006</v>
      </c>
      <c r="E1823">
        <v>50</v>
      </c>
      <c r="F1823">
        <v>49.873126984000002</v>
      </c>
      <c r="G1823">
        <v>1391.3168945</v>
      </c>
      <c r="H1823">
        <v>1375.3425293</v>
      </c>
      <c r="I1823">
        <v>1287.8942870999999</v>
      </c>
      <c r="J1823">
        <v>1268.8566894999999</v>
      </c>
      <c r="K1823">
        <v>2400</v>
      </c>
      <c r="L1823">
        <v>0</v>
      </c>
      <c r="M1823">
        <v>0</v>
      </c>
      <c r="N1823">
        <v>2400</v>
      </c>
    </row>
    <row r="1824" spans="1:14" x14ac:dyDescent="0.25">
      <c r="A1824">
        <v>1462.0340880000001</v>
      </c>
      <c r="B1824" s="1">
        <f>DATE(2014,5,2) + TIME(0,49,5)</f>
        <v>41761.034085648149</v>
      </c>
      <c r="C1824">
        <v>80</v>
      </c>
      <c r="D1824">
        <v>76.452865600999999</v>
      </c>
      <c r="E1824">
        <v>50</v>
      </c>
      <c r="F1824">
        <v>49.868350982999999</v>
      </c>
      <c r="G1824">
        <v>1391.1965332</v>
      </c>
      <c r="H1824">
        <v>1375.2829589999999</v>
      </c>
      <c r="I1824">
        <v>1287.8933105000001</v>
      </c>
      <c r="J1824">
        <v>1268.8553466999999</v>
      </c>
      <c r="K1824">
        <v>2400</v>
      </c>
      <c r="L1824">
        <v>0</v>
      </c>
      <c r="M1824">
        <v>0</v>
      </c>
      <c r="N1824">
        <v>2400</v>
      </c>
    </row>
    <row r="1825" spans="1:14" x14ac:dyDescent="0.25">
      <c r="A1825">
        <v>1462.094564</v>
      </c>
      <c r="B1825" s="1">
        <f>DATE(2014,5,2) + TIME(2,16,10)</f>
        <v>41761.094560185185</v>
      </c>
      <c r="C1825">
        <v>80</v>
      </c>
      <c r="D1825">
        <v>76.740264893000003</v>
      </c>
      <c r="E1825">
        <v>50</v>
      </c>
      <c r="F1825">
        <v>49.863395691000001</v>
      </c>
      <c r="G1825">
        <v>1391.0783690999999</v>
      </c>
      <c r="H1825">
        <v>1375.2233887</v>
      </c>
      <c r="I1825">
        <v>1287.8923339999999</v>
      </c>
      <c r="J1825">
        <v>1268.8538818</v>
      </c>
      <c r="K1825">
        <v>2400</v>
      </c>
      <c r="L1825">
        <v>0</v>
      </c>
      <c r="M1825">
        <v>0</v>
      </c>
      <c r="N1825">
        <v>2400</v>
      </c>
    </row>
    <row r="1826" spans="1:14" x14ac:dyDescent="0.25">
      <c r="A1826">
        <v>1462.158167</v>
      </c>
      <c r="B1826" s="1">
        <f>DATE(2014,5,2) + TIME(3,47,45)</f>
        <v>41761.158159722225</v>
      </c>
      <c r="C1826">
        <v>80</v>
      </c>
      <c r="D1826">
        <v>77.016494750999996</v>
      </c>
      <c r="E1826">
        <v>50</v>
      </c>
      <c r="F1826">
        <v>49.858242035000004</v>
      </c>
      <c r="G1826">
        <v>1390.9621582</v>
      </c>
      <c r="H1826">
        <v>1375.1636963000001</v>
      </c>
      <c r="I1826">
        <v>1287.8912353999999</v>
      </c>
      <c r="J1826">
        <v>1268.8524170000001</v>
      </c>
      <c r="K1826">
        <v>2400</v>
      </c>
      <c r="L1826">
        <v>0</v>
      </c>
      <c r="M1826">
        <v>0</v>
      </c>
      <c r="N1826">
        <v>2400</v>
      </c>
    </row>
    <row r="1827" spans="1:14" x14ac:dyDescent="0.25">
      <c r="A1827">
        <v>1462.2252410000001</v>
      </c>
      <c r="B1827" s="1">
        <f>DATE(2014,5,2) + TIME(5,24,20)</f>
        <v>41761.225231481483</v>
      </c>
      <c r="C1827">
        <v>80</v>
      </c>
      <c r="D1827">
        <v>77.281478882000002</v>
      </c>
      <c r="E1827">
        <v>50</v>
      </c>
      <c r="F1827">
        <v>49.852867126</v>
      </c>
      <c r="G1827">
        <v>1390.8476562000001</v>
      </c>
      <c r="H1827">
        <v>1375.1038818</v>
      </c>
      <c r="I1827">
        <v>1287.8900146000001</v>
      </c>
      <c r="J1827">
        <v>1268.8508300999999</v>
      </c>
      <c r="K1827">
        <v>2400</v>
      </c>
      <c r="L1827">
        <v>0</v>
      </c>
      <c r="M1827">
        <v>0</v>
      </c>
      <c r="N1827">
        <v>2400</v>
      </c>
    </row>
    <row r="1828" spans="1:14" x14ac:dyDescent="0.25">
      <c r="A1828">
        <v>1462.296188</v>
      </c>
      <c r="B1828" s="1">
        <f>DATE(2014,5,2) + TIME(7,6,30)</f>
        <v>41761.296180555553</v>
      </c>
      <c r="C1828">
        <v>80</v>
      </c>
      <c r="D1828">
        <v>77.535102843999994</v>
      </c>
      <c r="E1828">
        <v>50</v>
      </c>
      <c r="F1828">
        <v>49.847244263</v>
      </c>
      <c r="G1828">
        <v>1390.7348632999999</v>
      </c>
      <c r="H1828">
        <v>1375.0437012</v>
      </c>
      <c r="I1828">
        <v>1287.8887939000001</v>
      </c>
      <c r="J1828">
        <v>1268.8491211</v>
      </c>
      <c r="K1828">
        <v>2400</v>
      </c>
      <c r="L1828">
        <v>0</v>
      </c>
      <c r="M1828">
        <v>0</v>
      </c>
      <c r="N1828">
        <v>2400</v>
      </c>
    </row>
    <row r="1829" spans="1:14" x14ac:dyDescent="0.25">
      <c r="A1829">
        <v>1462.371482</v>
      </c>
      <c r="B1829" s="1">
        <f>DATE(2014,5,2) + TIME(8,54,56)</f>
        <v>41761.371481481481</v>
      </c>
      <c r="C1829">
        <v>80</v>
      </c>
      <c r="D1829">
        <v>77.777252196999996</v>
      </c>
      <c r="E1829">
        <v>50</v>
      </c>
      <c r="F1829">
        <v>49.841350554999998</v>
      </c>
      <c r="G1829">
        <v>1390.6232910000001</v>
      </c>
      <c r="H1829">
        <v>1374.9830322</v>
      </c>
      <c r="I1829">
        <v>1287.8874512</v>
      </c>
      <c r="J1829">
        <v>1268.8472899999999</v>
      </c>
      <c r="K1829">
        <v>2400</v>
      </c>
      <c r="L1829">
        <v>0</v>
      </c>
      <c r="M1829">
        <v>0</v>
      </c>
      <c r="N1829">
        <v>2400</v>
      </c>
    </row>
    <row r="1830" spans="1:14" x14ac:dyDescent="0.25">
      <c r="A1830">
        <v>1462.4516679999999</v>
      </c>
      <c r="B1830" s="1">
        <f>DATE(2014,5,2) + TIME(10,50,24)</f>
        <v>41761.451666666668</v>
      </c>
      <c r="C1830">
        <v>80</v>
      </c>
      <c r="D1830">
        <v>78.007743834999999</v>
      </c>
      <c r="E1830">
        <v>50</v>
      </c>
      <c r="F1830">
        <v>49.835147857999999</v>
      </c>
      <c r="G1830">
        <v>1390.5128173999999</v>
      </c>
      <c r="H1830">
        <v>1374.9216309000001</v>
      </c>
      <c r="I1830">
        <v>1287.8861084</v>
      </c>
      <c r="J1830">
        <v>1268.8453368999999</v>
      </c>
      <c r="K1830">
        <v>2400</v>
      </c>
      <c r="L1830">
        <v>0</v>
      </c>
      <c r="M1830">
        <v>0</v>
      </c>
      <c r="N1830">
        <v>2400</v>
      </c>
    </row>
    <row r="1831" spans="1:14" x14ac:dyDescent="0.25">
      <c r="A1831">
        <v>1462.5374380000001</v>
      </c>
      <c r="B1831" s="1">
        <f>DATE(2014,5,2) + TIME(12,53,54)</f>
        <v>41761.537430555552</v>
      </c>
      <c r="C1831">
        <v>80</v>
      </c>
      <c r="D1831">
        <v>78.226486206000004</v>
      </c>
      <c r="E1831">
        <v>50</v>
      </c>
      <c r="F1831">
        <v>49.828598022000001</v>
      </c>
      <c r="G1831">
        <v>1390.4031981999999</v>
      </c>
      <c r="H1831">
        <v>1374.859375</v>
      </c>
      <c r="I1831">
        <v>1287.8846435999999</v>
      </c>
      <c r="J1831">
        <v>1268.8432617000001</v>
      </c>
      <c r="K1831">
        <v>2400</v>
      </c>
      <c r="L1831">
        <v>0</v>
      </c>
      <c r="M1831">
        <v>0</v>
      </c>
      <c r="N1831">
        <v>2400</v>
      </c>
    </row>
    <row r="1832" spans="1:14" x14ac:dyDescent="0.25">
      <c r="A1832">
        <v>1462.6296159999999</v>
      </c>
      <c r="B1832" s="1">
        <f>DATE(2014,5,2) + TIME(15,6,38)</f>
        <v>41761.629606481481</v>
      </c>
      <c r="C1832">
        <v>80</v>
      </c>
      <c r="D1832">
        <v>78.433326721</v>
      </c>
      <c r="E1832">
        <v>50</v>
      </c>
      <c r="F1832">
        <v>49.821643829000003</v>
      </c>
      <c r="G1832">
        <v>1390.2940673999999</v>
      </c>
      <c r="H1832">
        <v>1374.7958983999999</v>
      </c>
      <c r="I1832">
        <v>1287.8830565999999</v>
      </c>
      <c r="J1832">
        <v>1268.8411865</v>
      </c>
      <c r="K1832">
        <v>2400</v>
      </c>
      <c r="L1832">
        <v>0</v>
      </c>
      <c r="M1832">
        <v>0</v>
      </c>
      <c r="N1832">
        <v>2400</v>
      </c>
    </row>
    <row r="1833" spans="1:14" x14ac:dyDescent="0.25">
      <c r="A1833">
        <v>1462.7292150000001</v>
      </c>
      <c r="B1833" s="1">
        <f>DATE(2014,5,2) + TIME(17,30,4)</f>
        <v>41761.729212962964</v>
      </c>
      <c r="C1833">
        <v>80</v>
      </c>
      <c r="D1833">
        <v>78.628097534000005</v>
      </c>
      <c r="E1833">
        <v>50</v>
      </c>
      <c r="F1833">
        <v>49.814231872999997</v>
      </c>
      <c r="G1833">
        <v>1390.1853027</v>
      </c>
      <c r="H1833">
        <v>1374.7312012</v>
      </c>
      <c r="I1833">
        <v>1287.8813477000001</v>
      </c>
      <c r="J1833">
        <v>1268.8387451000001</v>
      </c>
      <c r="K1833">
        <v>2400</v>
      </c>
      <c r="L1833">
        <v>0</v>
      </c>
      <c r="M1833">
        <v>0</v>
      </c>
      <c r="N1833">
        <v>2400</v>
      </c>
    </row>
    <row r="1834" spans="1:14" x14ac:dyDescent="0.25">
      <c r="A1834">
        <v>1462.837503</v>
      </c>
      <c r="B1834" s="1">
        <f>DATE(2014,5,2) + TIME(20,6,0)</f>
        <v>41761.837500000001</v>
      </c>
      <c r="C1834">
        <v>80</v>
      </c>
      <c r="D1834">
        <v>78.810615540000001</v>
      </c>
      <c r="E1834">
        <v>50</v>
      </c>
      <c r="F1834">
        <v>49.806285858000003</v>
      </c>
      <c r="G1834">
        <v>1390.0761719</v>
      </c>
      <c r="H1834">
        <v>1374.6646728999999</v>
      </c>
      <c r="I1834">
        <v>1287.8793945</v>
      </c>
      <c r="J1834">
        <v>1268.8363036999999</v>
      </c>
      <c r="K1834">
        <v>2400</v>
      </c>
      <c r="L1834">
        <v>0</v>
      </c>
      <c r="M1834">
        <v>0</v>
      </c>
      <c r="N1834">
        <v>2400</v>
      </c>
    </row>
    <row r="1835" spans="1:14" x14ac:dyDescent="0.25">
      <c r="A1835">
        <v>1462.9539810000001</v>
      </c>
      <c r="B1835" s="1">
        <f>DATE(2014,5,2) + TIME(22,53,43)</f>
        <v>41761.953969907408</v>
      </c>
      <c r="C1835">
        <v>80</v>
      </c>
      <c r="D1835">
        <v>78.978088378999999</v>
      </c>
      <c r="E1835">
        <v>50</v>
      </c>
      <c r="F1835">
        <v>49.797843933000003</v>
      </c>
      <c r="G1835">
        <v>1389.9680175999999</v>
      </c>
      <c r="H1835">
        <v>1374.5969238</v>
      </c>
      <c r="I1835">
        <v>1287.8774414</v>
      </c>
      <c r="J1835">
        <v>1268.8334961</v>
      </c>
      <c r="K1835">
        <v>2400</v>
      </c>
      <c r="L1835">
        <v>0</v>
      </c>
      <c r="M1835">
        <v>0</v>
      </c>
      <c r="N1835">
        <v>2400</v>
      </c>
    </row>
    <row r="1836" spans="1:14" x14ac:dyDescent="0.25">
      <c r="A1836">
        <v>1463.070784</v>
      </c>
      <c r="B1836" s="1">
        <f>DATE(2014,5,3) + TIME(1,41,55)</f>
        <v>41762.070775462962</v>
      </c>
      <c r="C1836">
        <v>80</v>
      </c>
      <c r="D1836">
        <v>79.121322632000002</v>
      </c>
      <c r="E1836">
        <v>50</v>
      </c>
      <c r="F1836">
        <v>49.789409636999999</v>
      </c>
      <c r="G1836">
        <v>1389.8660889</v>
      </c>
      <c r="H1836">
        <v>1374.5308838000001</v>
      </c>
      <c r="I1836">
        <v>1287.8751221</v>
      </c>
      <c r="J1836">
        <v>1268.8306885</v>
      </c>
      <c r="K1836">
        <v>2400</v>
      </c>
      <c r="L1836">
        <v>0</v>
      </c>
      <c r="M1836">
        <v>0</v>
      </c>
      <c r="N1836">
        <v>2400</v>
      </c>
    </row>
    <row r="1837" spans="1:14" x14ac:dyDescent="0.25">
      <c r="A1837">
        <v>1463.188191</v>
      </c>
      <c r="B1837" s="1">
        <f>DATE(2014,5,3) + TIME(4,30,59)</f>
        <v>41762.18818287037</v>
      </c>
      <c r="C1837">
        <v>80</v>
      </c>
      <c r="D1837">
        <v>79.244026184000006</v>
      </c>
      <c r="E1837">
        <v>50</v>
      </c>
      <c r="F1837">
        <v>49.780960082999997</v>
      </c>
      <c r="G1837">
        <v>1389.7706298999999</v>
      </c>
      <c r="H1837">
        <v>1374.4675293</v>
      </c>
      <c r="I1837">
        <v>1287.8728027</v>
      </c>
      <c r="J1837">
        <v>1268.8277588000001</v>
      </c>
      <c r="K1837">
        <v>2400</v>
      </c>
      <c r="L1837">
        <v>0</v>
      </c>
      <c r="M1837">
        <v>0</v>
      </c>
      <c r="N1837">
        <v>2400</v>
      </c>
    </row>
    <row r="1838" spans="1:14" x14ac:dyDescent="0.25">
      <c r="A1838">
        <v>1463.3065360000001</v>
      </c>
      <c r="B1838" s="1">
        <f>DATE(2014,5,3) + TIME(7,21,24)</f>
        <v>41762.306527777779</v>
      </c>
      <c r="C1838">
        <v>80</v>
      </c>
      <c r="D1838">
        <v>79.349342346</v>
      </c>
      <c r="E1838">
        <v>50</v>
      </c>
      <c r="F1838">
        <v>49.772480010999999</v>
      </c>
      <c r="G1838">
        <v>1389.6804199000001</v>
      </c>
      <c r="H1838">
        <v>1374.4066161999999</v>
      </c>
      <c r="I1838">
        <v>1287.8704834</v>
      </c>
      <c r="J1838">
        <v>1268.8248291</v>
      </c>
      <c r="K1838">
        <v>2400</v>
      </c>
      <c r="L1838">
        <v>0</v>
      </c>
      <c r="M1838">
        <v>0</v>
      </c>
      <c r="N1838">
        <v>2400</v>
      </c>
    </row>
    <row r="1839" spans="1:14" x14ac:dyDescent="0.25">
      <c r="A1839">
        <v>1463.4261329999999</v>
      </c>
      <c r="B1839" s="1">
        <f>DATE(2014,5,3) + TIME(10,13,37)</f>
        <v>41762.426122685189</v>
      </c>
      <c r="C1839">
        <v>80</v>
      </c>
      <c r="D1839">
        <v>79.439834594999994</v>
      </c>
      <c r="E1839">
        <v>50</v>
      </c>
      <c r="F1839">
        <v>49.763950348000002</v>
      </c>
      <c r="G1839">
        <v>1389.5949707</v>
      </c>
      <c r="H1839">
        <v>1374.3479004000001</v>
      </c>
      <c r="I1839">
        <v>1287.8681641000001</v>
      </c>
      <c r="J1839">
        <v>1268.8217772999999</v>
      </c>
      <c r="K1839">
        <v>2400</v>
      </c>
      <c r="L1839">
        <v>0</v>
      </c>
      <c r="M1839">
        <v>0</v>
      </c>
      <c r="N1839">
        <v>2400</v>
      </c>
    </row>
    <row r="1840" spans="1:14" x14ac:dyDescent="0.25">
      <c r="A1840">
        <v>1463.547286</v>
      </c>
      <c r="B1840" s="1">
        <f>DATE(2014,5,3) + TIME(13,8,5)</f>
        <v>41762.547280092593</v>
      </c>
      <c r="C1840">
        <v>80</v>
      </c>
      <c r="D1840">
        <v>79.517646790000001</v>
      </c>
      <c r="E1840">
        <v>50</v>
      </c>
      <c r="F1840">
        <v>49.755348206000001</v>
      </c>
      <c r="G1840">
        <v>1389.5134277</v>
      </c>
      <c r="H1840">
        <v>1374.2908935999999</v>
      </c>
      <c r="I1840">
        <v>1287.8658447</v>
      </c>
      <c r="J1840">
        <v>1268.8188477000001</v>
      </c>
      <c r="K1840">
        <v>2400</v>
      </c>
      <c r="L1840">
        <v>0</v>
      </c>
      <c r="M1840">
        <v>0</v>
      </c>
      <c r="N1840">
        <v>2400</v>
      </c>
    </row>
    <row r="1841" spans="1:14" x14ac:dyDescent="0.25">
      <c r="A1841">
        <v>1463.670349</v>
      </c>
      <c r="B1841" s="1">
        <f>DATE(2014,5,3) + TIME(16,5,18)</f>
        <v>41762.670347222222</v>
      </c>
      <c r="C1841">
        <v>80</v>
      </c>
      <c r="D1841">
        <v>79.584587096999996</v>
      </c>
      <c r="E1841">
        <v>50</v>
      </c>
      <c r="F1841">
        <v>49.746650696000003</v>
      </c>
      <c r="G1841">
        <v>1389.4354248</v>
      </c>
      <c r="H1841">
        <v>1374.2354736</v>
      </c>
      <c r="I1841">
        <v>1287.8635254000001</v>
      </c>
      <c r="J1841">
        <v>1268.8157959</v>
      </c>
      <c r="K1841">
        <v>2400</v>
      </c>
      <c r="L1841">
        <v>0</v>
      </c>
      <c r="M1841">
        <v>0</v>
      </c>
      <c r="N1841">
        <v>2400</v>
      </c>
    </row>
    <row r="1842" spans="1:14" x14ac:dyDescent="0.25">
      <c r="A1842">
        <v>1463.7955790000001</v>
      </c>
      <c r="B1842" s="1">
        <f>DATE(2014,5,3) + TIME(19,5,38)</f>
        <v>41762.795578703706</v>
      </c>
      <c r="C1842">
        <v>80</v>
      </c>
      <c r="D1842">
        <v>79.642143250000004</v>
      </c>
      <c r="E1842">
        <v>50</v>
      </c>
      <c r="F1842">
        <v>49.737846374999997</v>
      </c>
      <c r="G1842">
        <v>1389.3603516000001</v>
      </c>
      <c r="H1842">
        <v>1374.1813964999999</v>
      </c>
      <c r="I1842">
        <v>1287.8610839999999</v>
      </c>
      <c r="J1842">
        <v>1268.8126221</v>
      </c>
      <c r="K1842">
        <v>2400</v>
      </c>
      <c r="L1842">
        <v>0</v>
      </c>
      <c r="M1842">
        <v>0</v>
      </c>
      <c r="N1842">
        <v>2400</v>
      </c>
    </row>
    <row r="1843" spans="1:14" x14ac:dyDescent="0.25">
      <c r="A1843">
        <v>1463.9232890000001</v>
      </c>
      <c r="B1843" s="1">
        <f>DATE(2014,5,3) + TIME(22,9,32)</f>
        <v>41762.92328703704</v>
      </c>
      <c r="C1843">
        <v>80</v>
      </c>
      <c r="D1843">
        <v>79.691596985000004</v>
      </c>
      <c r="E1843">
        <v>50</v>
      </c>
      <c r="F1843">
        <v>49.728912354000002</v>
      </c>
      <c r="G1843">
        <v>1389.2878418</v>
      </c>
      <c r="H1843">
        <v>1374.1285399999999</v>
      </c>
      <c r="I1843">
        <v>1287.8586425999999</v>
      </c>
      <c r="J1843">
        <v>1268.8094481999999</v>
      </c>
      <c r="K1843">
        <v>2400</v>
      </c>
      <c r="L1843">
        <v>0</v>
      </c>
      <c r="M1843">
        <v>0</v>
      </c>
      <c r="N1843">
        <v>2400</v>
      </c>
    </row>
    <row r="1844" spans="1:14" x14ac:dyDescent="0.25">
      <c r="A1844">
        <v>1464.0538039999999</v>
      </c>
      <c r="B1844" s="1">
        <f>DATE(2014,5,4) + TIME(1,17,28)</f>
        <v>41763.053796296299</v>
      </c>
      <c r="C1844">
        <v>80</v>
      </c>
      <c r="D1844">
        <v>79.734046935999999</v>
      </c>
      <c r="E1844">
        <v>50</v>
      </c>
      <c r="F1844">
        <v>49.719833373999997</v>
      </c>
      <c r="G1844">
        <v>1389.2175293</v>
      </c>
      <c r="H1844">
        <v>1374.0766602000001</v>
      </c>
      <c r="I1844">
        <v>1287.8560791</v>
      </c>
      <c r="J1844">
        <v>1268.8062743999999</v>
      </c>
      <c r="K1844">
        <v>2400</v>
      </c>
      <c r="L1844">
        <v>0</v>
      </c>
      <c r="M1844">
        <v>0</v>
      </c>
      <c r="N1844">
        <v>2400</v>
      </c>
    </row>
    <row r="1845" spans="1:14" x14ac:dyDescent="0.25">
      <c r="A1845">
        <v>1464.187473</v>
      </c>
      <c r="B1845" s="1">
        <f>DATE(2014,5,4) + TIME(4,29,57)</f>
        <v>41763.187465277777</v>
      </c>
      <c r="C1845">
        <v>80</v>
      </c>
      <c r="D1845">
        <v>79.770446777000004</v>
      </c>
      <c r="E1845">
        <v>50</v>
      </c>
      <c r="F1845">
        <v>49.710582733000003</v>
      </c>
      <c r="G1845">
        <v>1389.1491699000001</v>
      </c>
      <c r="H1845">
        <v>1374.0257568</v>
      </c>
      <c r="I1845">
        <v>1287.8535156</v>
      </c>
      <c r="J1845">
        <v>1268.8029785000001</v>
      </c>
      <c r="K1845">
        <v>2400</v>
      </c>
      <c r="L1845">
        <v>0</v>
      </c>
      <c r="M1845">
        <v>0</v>
      </c>
      <c r="N1845">
        <v>2400</v>
      </c>
    </row>
    <row r="1846" spans="1:14" x14ac:dyDescent="0.25">
      <c r="A1846">
        <v>1464.3246650000001</v>
      </c>
      <c r="B1846" s="1">
        <f>DATE(2014,5,4) + TIME(7,47,31)</f>
        <v>41763.324664351851</v>
      </c>
      <c r="C1846">
        <v>80</v>
      </c>
      <c r="D1846">
        <v>79.801589965999995</v>
      </c>
      <c r="E1846">
        <v>50</v>
      </c>
      <c r="F1846">
        <v>49.701141356999997</v>
      </c>
      <c r="G1846">
        <v>1389.0823975000001</v>
      </c>
      <c r="H1846">
        <v>1373.9754639</v>
      </c>
      <c r="I1846">
        <v>1287.8508300999999</v>
      </c>
      <c r="J1846">
        <v>1268.7995605000001</v>
      </c>
      <c r="K1846">
        <v>2400</v>
      </c>
      <c r="L1846">
        <v>0</v>
      </c>
      <c r="M1846">
        <v>0</v>
      </c>
      <c r="N1846">
        <v>2400</v>
      </c>
    </row>
    <row r="1847" spans="1:14" x14ac:dyDescent="0.25">
      <c r="A1847">
        <v>1464.4657830000001</v>
      </c>
      <c r="B1847" s="1">
        <f>DATE(2014,5,4) + TIME(11,10,43)</f>
        <v>41763.465775462966</v>
      </c>
      <c r="C1847">
        <v>80</v>
      </c>
      <c r="D1847">
        <v>79.828186035000002</v>
      </c>
      <c r="E1847">
        <v>50</v>
      </c>
      <c r="F1847">
        <v>49.691486359000002</v>
      </c>
      <c r="G1847">
        <v>1389.0169678</v>
      </c>
      <c r="H1847">
        <v>1373.9257812000001</v>
      </c>
      <c r="I1847">
        <v>1287.8481445</v>
      </c>
      <c r="J1847">
        <v>1268.7961425999999</v>
      </c>
      <c r="K1847">
        <v>2400</v>
      </c>
      <c r="L1847">
        <v>0</v>
      </c>
      <c r="M1847">
        <v>0</v>
      </c>
      <c r="N1847">
        <v>2400</v>
      </c>
    </row>
    <row r="1848" spans="1:14" x14ac:dyDescent="0.25">
      <c r="A1848">
        <v>1464.6112639999999</v>
      </c>
      <c r="B1848" s="1">
        <f>DATE(2014,5,4) + TIME(14,40,13)</f>
        <v>41763.611261574071</v>
      </c>
      <c r="C1848">
        <v>80</v>
      </c>
      <c r="D1848">
        <v>79.850852966000005</v>
      </c>
      <c r="E1848">
        <v>50</v>
      </c>
      <c r="F1848">
        <v>49.681587219000001</v>
      </c>
      <c r="G1848">
        <v>1388.9525146000001</v>
      </c>
      <c r="H1848">
        <v>1373.8764647999999</v>
      </c>
      <c r="I1848">
        <v>1287.8453368999999</v>
      </c>
      <c r="J1848">
        <v>1268.7926024999999</v>
      </c>
      <c r="K1848">
        <v>2400</v>
      </c>
      <c r="L1848">
        <v>0</v>
      </c>
      <c r="M1848">
        <v>0</v>
      </c>
      <c r="N1848">
        <v>2400</v>
      </c>
    </row>
    <row r="1849" spans="1:14" x14ac:dyDescent="0.25">
      <c r="A1849">
        <v>1464.7615940000001</v>
      </c>
      <c r="B1849" s="1">
        <f>DATE(2014,5,4) + TIME(18,16,41)</f>
        <v>41763.76158564815</v>
      </c>
      <c r="C1849">
        <v>80</v>
      </c>
      <c r="D1849">
        <v>79.870101929</v>
      </c>
      <c r="E1849">
        <v>50</v>
      </c>
      <c r="F1849">
        <v>49.671421051000003</v>
      </c>
      <c r="G1849">
        <v>1388.8890381000001</v>
      </c>
      <c r="H1849">
        <v>1373.8275146000001</v>
      </c>
      <c r="I1849">
        <v>1287.8424072</v>
      </c>
      <c r="J1849">
        <v>1268.7888184000001</v>
      </c>
      <c r="K1849">
        <v>2400</v>
      </c>
      <c r="L1849">
        <v>0</v>
      </c>
      <c r="M1849">
        <v>0</v>
      </c>
      <c r="N1849">
        <v>2400</v>
      </c>
    </row>
    <row r="1850" spans="1:14" x14ac:dyDescent="0.25">
      <c r="A1850">
        <v>1464.917312</v>
      </c>
      <c r="B1850" s="1">
        <f>DATE(2014,5,4) + TIME(22,0,55)</f>
        <v>41763.917303240742</v>
      </c>
      <c r="C1850">
        <v>80</v>
      </c>
      <c r="D1850">
        <v>79.886405945000007</v>
      </c>
      <c r="E1850">
        <v>50</v>
      </c>
      <c r="F1850">
        <v>49.660953522</v>
      </c>
      <c r="G1850">
        <v>1388.8261719</v>
      </c>
      <c r="H1850">
        <v>1373.7788086</v>
      </c>
      <c r="I1850">
        <v>1287.8393555</v>
      </c>
      <c r="J1850">
        <v>1268.7850341999999</v>
      </c>
      <c r="K1850">
        <v>2400</v>
      </c>
      <c r="L1850">
        <v>0</v>
      </c>
      <c r="M1850">
        <v>0</v>
      </c>
      <c r="N1850">
        <v>2400</v>
      </c>
    </row>
    <row r="1851" spans="1:14" x14ac:dyDescent="0.25">
      <c r="A1851">
        <v>1465.079099</v>
      </c>
      <c r="B1851" s="1">
        <f>DATE(2014,5,5) + TIME(1,53,54)</f>
        <v>41764.079097222224</v>
      </c>
      <c r="C1851">
        <v>80</v>
      </c>
      <c r="D1851">
        <v>79.900161742999998</v>
      </c>
      <c r="E1851">
        <v>50</v>
      </c>
      <c r="F1851">
        <v>49.650150299000003</v>
      </c>
      <c r="G1851">
        <v>1388.7636719</v>
      </c>
      <c r="H1851">
        <v>1373.7301024999999</v>
      </c>
      <c r="I1851">
        <v>1287.8363036999999</v>
      </c>
      <c r="J1851">
        <v>1268.7811279</v>
      </c>
      <c r="K1851">
        <v>2400</v>
      </c>
      <c r="L1851">
        <v>0</v>
      </c>
      <c r="M1851">
        <v>0</v>
      </c>
      <c r="N1851">
        <v>2400</v>
      </c>
    </row>
    <row r="1852" spans="1:14" x14ac:dyDescent="0.25">
      <c r="A1852">
        <v>1465.2476119999999</v>
      </c>
      <c r="B1852" s="1">
        <f>DATE(2014,5,5) + TIME(5,56,33)</f>
        <v>41764.247604166667</v>
      </c>
      <c r="C1852">
        <v>80</v>
      </c>
      <c r="D1852">
        <v>79.911735535000005</v>
      </c>
      <c r="E1852">
        <v>50</v>
      </c>
      <c r="F1852">
        <v>49.638969420999999</v>
      </c>
      <c r="G1852">
        <v>1388.7012939000001</v>
      </c>
      <c r="H1852">
        <v>1373.6812743999999</v>
      </c>
      <c r="I1852">
        <v>1287.8330077999999</v>
      </c>
      <c r="J1852">
        <v>1268.7769774999999</v>
      </c>
      <c r="K1852">
        <v>2400</v>
      </c>
      <c r="L1852">
        <v>0</v>
      </c>
      <c r="M1852">
        <v>0</v>
      </c>
      <c r="N1852">
        <v>2400</v>
      </c>
    </row>
    <row r="1853" spans="1:14" x14ac:dyDescent="0.25">
      <c r="A1853">
        <v>1465.4236069999999</v>
      </c>
      <c r="B1853" s="1">
        <f>DATE(2014,5,5) + TIME(10,9,59)</f>
        <v>41764.42359953704</v>
      </c>
      <c r="C1853">
        <v>80</v>
      </c>
      <c r="D1853">
        <v>79.921409607000001</v>
      </c>
      <c r="E1853">
        <v>50</v>
      </c>
      <c r="F1853">
        <v>49.627368926999999</v>
      </c>
      <c r="G1853">
        <v>1388.6389160000001</v>
      </c>
      <c r="H1853">
        <v>1373.6322021000001</v>
      </c>
      <c r="I1853">
        <v>1287.8295897999999</v>
      </c>
      <c r="J1853">
        <v>1268.7727050999999</v>
      </c>
      <c r="K1853">
        <v>2400</v>
      </c>
      <c r="L1853">
        <v>0</v>
      </c>
      <c r="M1853">
        <v>0</v>
      </c>
      <c r="N1853">
        <v>2400</v>
      </c>
    </row>
    <row r="1854" spans="1:14" x14ac:dyDescent="0.25">
      <c r="A1854">
        <v>1465.6071669999999</v>
      </c>
      <c r="B1854" s="1">
        <f>DATE(2014,5,5) + TIME(14,34,19)</f>
        <v>41764.607164351852</v>
      </c>
      <c r="C1854">
        <v>80</v>
      </c>
      <c r="D1854">
        <v>79.929443359000004</v>
      </c>
      <c r="E1854">
        <v>50</v>
      </c>
      <c r="F1854">
        <v>49.615345001000001</v>
      </c>
      <c r="G1854">
        <v>1388.5762939000001</v>
      </c>
      <c r="H1854">
        <v>1373.5828856999999</v>
      </c>
      <c r="I1854">
        <v>1287.8260498</v>
      </c>
      <c r="J1854">
        <v>1268.7681885</v>
      </c>
      <c r="K1854">
        <v>2400</v>
      </c>
      <c r="L1854">
        <v>0</v>
      </c>
      <c r="M1854">
        <v>0</v>
      </c>
      <c r="N1854">
        <v>2400</v>
      </c>
    </row>
    <row r="1855" spans="1:14" x14ac:dyDescent="0.25">
      <c r="A1855">
        <v>1465.7975750000001</v>
      </c>
      <c r="B1855" s="1">
        <f>DATE(2014,5,5) + TIME(19,8,30)</f>
        <v>41764.797569444447</v>
      </c>
      <c r="C1855">
        <v>80</v>
      </c>
      <c r="D1855">
        <v>79.936027526999993</v>
      </c>
      <c r="E1855">
        <v>50</v>
      </c>
      <c r="F1855">
        <v>49.602935791</v>
      </c>
      <c r="G1855">
        <v>1388.5135498</v>
      </c>
      <c r="H1855">
        <v>1373.5332031</v>
      </c>
      <c r="I1855">
        <v>1287.8223877</v>
      </c>
      <c r="J1855">
        <v>1268.7635498</v>
      </c>
      <c r="K1855">
        <v>2400</v>
      </c>
      <c r="L1855">
        <v>0</v>
      </c>
      <c r="M1855">
        <v>0</v>
      </c>
      <c r="N1855">
        <v>2400</v>
      </c>
    </row>
    <row r="1856" spans="1:14" x14ac:dyDescent="0.25">
      <c r="A1856">
        <v>1465.995733</v>
      </c>
      <c r="B1856" s="1">
        <f>DATE(2014,5,5) + TIME(23,53,51)</f>
        <v>41764.995729166665</v>
      </c>
      <c r="C1856">
        <v>80</v>
      </c>
      <c r="D1856">
        <v>79.941413878999995</v>
      </c>
      <c r="E1856">
        <v>50</v>
      </c>
      <c r="F1856">
        <v>49.590087891000003</v>
      </c>
      <c r="G1856">
        <v>1388.4508057</v>
      </c>
      <c r="H1856">
        <v>1373.4835204999999</v>
      </c>
      <c r="I1856">
        <v>1287.8184814000001</v>
      </c>
      <c r="J1856">
        <v>1268.7586670000001</v>
      </c>
      <c r="K1856">
        <v>2400</v>
      </c>
      <c r="L1856">
        <v>0</v>
      </c>
      <c r="M1856">
        <v>0</v>
      </c>
      <c r="N1856">
        <v>2400</v>
      </c>
    </row>
    <row r="1857" spans="1:14" x14ac:dyDescent="0.25">
      <c r="A1857">
        <v>1466.2024269999999</v>
      </c>
      <c r="B1857" s="1">
        <f>DATE(2014,5,6) + TIME(4,51,29)</f>
        <v>41765.202418981484</v>
      </c>
      <c r="C1857">
        <v>80</v>
      </c>
      <c r="D1857">
        <v>79.945793151999993</v>
      </c>
      <c r="E1857">
        <v>50</v>
      </c>
      <c r="F1857">
        <v>49.576766968000001</v>
      </c>
      <c r="G1857">
        <v>1388.3878173999999</v>
      </c>
      <c r="H1857">
        <v>1373.4335937999999</v>
      </c>
      <c r="I1857">
        <v>1287.8144531</v>
      </c>
      <c r="J1857">
        <v>1268.7535399999999</v>
      </c>
      <c r="K1857">
        <v>2400</v>
      </c>
      <c r="L1857">
        <v>0</v>
      </c>
      <c r="M1857">
        <v>0</v>
      </c>
      <c r="N1857">
        <v>2400</v>
      </c>
    </row>
    <row r="1858" spans="1:14" x14ac:dyDescent="0.25">
      <c r="A1858">
        <v>1466.4185890000001</v>
      </c>
      <c r="B1858" s="1">
        <f>DATE(2014,5,6) + TIME(10,2,46)</f>
        <v>41765.418587962966</v>
      </c>
      <c r="C1858">
        <v>80</v>
      </c>
      <c r="D1858">
        <v>79.949340820000003</v>
      </c>
      <c r="E1858">
        <v>50</v>
      </c>
      <c r="F1858">
        <v>49.562919616999999</v>
      </c>
      <c r="G1858">
        <v>1388.3245850000001</v>
      </c>
      <c r="H1858">
        <v>1373.3833007999999</v>
      </c>
      <c r="I1858">
        <v>1287.8103027</v>
      </c>
      <c r="J1858">
        <v>1268.7482910000001</v>
      </c>
      <c r="K1858">
        <v>2400</v>
      </c>
      <c r="L1858">
        <v>0</v>
      </c>
      <c r="M1858">
        <v>0</v>
      </c>
      <c r="N1858">
        <v>2400</v>
      </c>
    </row>
    <row r="1859" spans="1:14" x14ac:dyDescent="0.25">
      <c r="A1859">
        <v>1466.6453329999999</v>
      </c>
      <c r="B1859" s="1">
        <f>DATE(2014,5,6) + TIME(15,29,16)</f>
        <v>41765.645324074074</v>
      </c>
      <c r="C1859">
        <v>80</v>
      </c>
      <c r="D1859">
        <v>79.952209472999996</v>
      </c>
      <c r="E1859">
        <v>50</v>
      </c>
      <c r="F1859">
        <v>49.548488616999997</v>
      </c>
      <c r="G1859">
        <v>1388.2607422000001</v>
      </c>
      <c r="H1859">
        <v>1373.3325195</v>
      </c>
      <c r="I1859">
        <v>1287.8059082</v>
      </c>
      <c r="J1859">
        <v>1268.7427978999999</v>
      </c>
      <c r="K1859">
        <v>2400</v>
      </c>
      <c r="L1859">
        <v>0</v>
      </c>
      <c r="M1859">
        <v>0</v>
      </c>
      <c r="N1859">
        <v>2400</v>
      </c>
    </row>
    <row r="1860" spans="1:14" x14ac:dyDescent="0.25">
      <c r="A1860">
        <v>1466.883953</v>
      </c>
      <c r="B1860" s="1">
        <f>DATE(2014,5,6) + TIME(21,12,53)</f>
        <v>41765.883946759262</v>
      </c>
      <c r="C1860">
        <v>80</v>
      </c>
      <c r="D1860">
        <v>79.954505920000003</v>
      </c>
      <c r="E1860">
        <v>50</v>
      </c>
      <c r="F1860">
        <v>49.533409118999998</v>
      </c>
      <c r="G1860">
        <v>1388.1960449000001</v>
      </c>
      <c r="H1860">
        <v>1373.2811279</v>
      </c>
      <c r="I1860">
        <v>1287.8012695</v>
      </c>
      <c r="J1860">
        <v>1268.7369385</v>
      </c>
      <c r="K1860">
        <v>2400</v>
      </c>
      <c r="L1860">
        <v>0</v>
      </c>
      <c r="M1860">
        <v>0</v>
      </c>
      <c r="N1860">
        <v>2400</v>
      </c>
    </row>
    <row r="1861" spans="1:14" x14ac:dyDescent="0.25">
      <c r="A1861">
        <v>1467.1253850000001</v>
      </c>
      <c r="B1861" s="1">
        <f>DATE(2014,5,7) + TIME(3,0,33)</f>
        <v>41766.125381944446</v>
      </c>
      <c r="C1861">
        <v>80</v>
      </c>
      <c r="D1861">
        <v>79.956283568999993</v>
      </c>
      <c r="E1861">
        <v>50</v>
      </c>
      <c r="F1861">
        <v>49.518112183</v>
      </c>
      <c r="G1861">
        <v>1388.1304932</v>
      </c>
      <c r="H1861">
        <v>1373.2290039</v>
      </c>
      <c r="I1861">
        <v>1287.7963867000001</v>
      </c>
      <c r="J1861">
        <v>1268.7308350000001</v>
      </c>
      <c r="K1861">
        <v>2400</v>
      </c>
      <c r="L1861">
        <v>0</v>
      </c>
      <c r="M1861">
        <v>0</v>
      </c>
      <c r="N1861">
        <v>2400</v>
      </c>
    </row>
    <row r="1862" spans="1:14" x14ac:dyDescent="0.25">
      <c r="A1862">
        <v>1467.368199</v>
      </c>
      <c r="B1862" s="1">
        <f>DATE(2014,5,7) + TIME(8,50,12)</f>
        <v>41766.368194444447</v>
      </c>
      <c r="C1862">
        <v>80</v>
      </c>
      <c r="D1862">
        <v>79.95765686</v>
      </c>
      <c r="E1862">
        <v>50</v>
      </c>
      <c r="F1862">
        <v>49.502693176000001</v>
      </c>
      <c r="G1862">
        <v>1388.0664062000001</v>
      </c>
      <c r="H1862">
        <v>1373.1779785000001</v>
      </c>
      <c r="I1862">
        <v>1287.7913818</v>
      </c>
      <c r="J1862">
        <v>1268.7247314000001</v>
      </c>
      <c r="K1862">
        <v>2400</v>
      </c>
      <c r="L1862">
        <v>0</v>
      </c>
      <c r="M1862">
        <v>0</v>
      </c>
      <c r="N1862">
        <v>2400</v>
      </c>
    </row>
    <row r="1863" spans="1:14" x14ac:dyDescent="0.25">
      <c r="A1863">
        <v>1467.6130499999999</v>
      </c>
      <c r="B1863" s="1">
        <f>DATE(2014,5,7) + TIME(14,42,47)</f>
        <v>41766.613043981481</v>
      </c>
      <c r="C1863">
        <v>80</v>
      </c>
      <c r="D1863">
        <v>79.958717346</v>
      </c>
      <c r="E1863">
        <v>50</v>
      </c>
      <c r="F1863">
        <v>49.487144469999997</v>
      </c>
      <c r="G1863">
        <v>1388.0039062000001</v>
      </c>
      <c r="H1863">
        <v>1373.128418</v>
      </c>
      <c r="I1863">
        <v>1287.7862548999999</v>
      </c>
      <c r="J1863">
        <v>1268.7185059000001</v>
      </c>
      <c r="K1863">
        <v>2400</v>
      </c>
      <c r="L1863">
        <v>0</v>
      </c>
      <c r="M1863">
        <v>0</v>
      </c>
      <c r="N1863">
        <v>2400</v>
      </c>
    </row>
    <row r="1864" spans="1:14" x14ac:dyDescent="0.25">
      <c r="A1864">
        <v>1467.8606339999999</v>
      </c>
      <c r="B1864" s="1">
        <f>DATE(2014,5,7) + TIME(20,39,18)</f>
        <v>41766.860625000001</v>
      </c>
      <c r="C1864">
        <v>80</v>
      </c>
      <c r="D1864">
        <v>79.959548949999999</v>
      </c>
      <c r="E1864">
        <v>50</v>
      </c>
      <c r="F1864">
        <v>49.471439361999998</v>
      </c>
      <c r="G1864">
        <v>1387.9429932</v>
      </c>
      <c r="H1864">
        <v>1373.0799560999999</v>
      </c>
      <c r="I1864">
        <v>1287.78125</v>
      </c>
      <c r="J1864">
        <v>1268.7121582</v>
      </c>
      <c r="K1864">
        <v>2400</v>
      </c>
      <c r="L1864">
        <v>0</v>
      </c>
      <c r="M1864">
        <v>0</v>
      </c>
      <c r="N1864">
        <v>2400</v>
      </c>
    </row>
    <row r="1865" spans="1:14" x14ac:dyDescent="0.25">
      <c r="A1865">
        <v>1468.111645</v>
      </c>
      <c r="B1865" s="1">
        <f>DATE(2014,5,8) + TIME(2,40,46)</f>
        <v>41767.111643518518</v>
      </c>
      <c r="C1865">
        <v>80</v>
      </c>
      <c r="D1865">
        <v>79.960205078000001</v>
      </c>
      <c r="E1865">
        <v>50</v>
      </c>
      <c r="F1865">
        <v>49.455558777</v>
      </c>
      <c r="G1865">
        <v>1387.8831786999999</v>
      </c>
      <c r="H1865">
        <v>1373.0325928</v>
      </c>
      <c r="I1865">
        <v>1287.7761230000001</v>
      </c>
      <c r="J1865">
        <v>1268.7058105000001</v>
      </c>
      <c r="K1865">
        <v>2400</v>
      </c>
      <c r="L1865">
        <v>0</v>
      </c>
      <c r="M1865">
        <v>0</v>
      </c>
      <c r="N1865">
        <v>2400</v>
      </c>
    </row>
    <row r="1866" spans="1:14" x14ac:dyDescent="0.25">
      <c r="A1866">
        <v>1468.3667829999999</v>
      </c>
      <c r="B1866" s="1">
        <f>DATE(2014,5,8) + TIME(8,48,10)</f>
        <v>41767.366782407407</v>
      </c>
      <c r="C1866">
        <v>80</v>
      </c>
      <c r="D1866">
        <v>79.960716247999997</v>
      </c>
      <c r="E1866">
        <v>50</v>
      </c>
      <c r="F1866">
        <v>49.439468384000001</v>
      </c>
      <c r="G1866">
        <v>1387.8243408000001</v>
      </c>
      <c r="H1866">
        <v>1372.9858397999999</v>
      </c>
      <c r="I1866">
        <v>1287.770874</v>
      </c>
      <c r="J1866">
        <v>1268.6993408000001</v>
      </c>
      <c r="K1866">
        <v>2400</v>
      </c>
      <c r="L1866">
        <v>0</v>
      </c>
      <c r="M1866">
        <v>0</v>
      </c>
      <c r="N1866">
        <v>2400</v>
      </c>
    </row>
    <row r="1867" spans="1:14" x14ac:dyDescent="0.25">
      <c r="A1867">
        <v>1468.6267680000001</v>
      </c>
      <c r="B1867" s="1">
        <f>DATE(2014,5,8) + TIME(15,2,32)</f>
        <v>41767.626759259256</v>
      </c>
      <c r="C1867">
        <v>80</v>
      </c>
      <c r="D1867">
        <v>79.961128235000004</v>
      </c>
      <c r="E1867">
        <v>50</v>
      </c>
      <c r="F1867">
        <v>49.423141479000002</v>
      </c>
      <c r="G1867">
        <v>1387.7662353999999</v>
      </c>
      <c r="H1867">
        <v>1372.9398193</v>
      </c>
      <c r="I1867">
        <v>1287.765625</v>
      </c>
      <c r="J1867">
        <v>1268.692749</v>
      </c>
      <c r="K1867">
        <v>2400</v>
      </c>
      <c r="L1867">
        <v>0</v>
      </c>
      <c r="M1867">
        <v>0</v>
      </c>
      <c r="N1867">
        <v>2400</v>
      </c>
    </row>
    <row r="1868" spans="1:14" x14ac:dyDescent="0.25">
      <c r="A1868">
        <v>1468.8923589999999</v>
      </c>
      <c r="B1868" s="1">
        <f>DATE(2014,5,8) + TIME(21,24,59)</f>
        <v>41767.89234953704</v>
      </c>
      <c r="C1868">
        <v>80</v>
      </c>
      <c r="D1868">
        <v>79.961456299000005</v>
      </c>
      <c r="E1868">
        <v>50</v>
      </c>
      <c r="F1868">
        <v>49.406543732000003</v>
      </c>
      <c r="G1868">
        <v>1387.7086182</v>
      </c>
      <c r="H1868">
        <v>1372.8942870999999</v>
      </c>
      <c r="I1868">
        <v>1287.7602539</v>
      </c>
      <c r="J1868">
        <v>1268.6860352000001</v>
      </c>
      <c r="K1868">
        <v>2400</v>
      </c>
      <c r="L1868">
        <v>0</v>
      </c>
      <c r="M1868">
        <v>0</v>
      </c>
      <c r="N1868">
        <v>2400</v>
      </c>
    </row>
    <row r="1869" spans="1:14" x14ac:dyDescent="0.25">
      <c r="A1869">
        <v>1469.164364</v>
      </c>
      <c r="B1869" s="1">
        <f>DATE(2014,5,9) + TIME(3,56,41)</f>
        <v>41768.164363425924</v>
      </c>
      <c r="C1869">
        <v>80</v>
      </c>
      <c r="D1869">
        <v>79.961715698000006</v>
      </c>
      <c r="E1869">
        <v>50</v>
      </c>
      <c r="F1869">
        <v>49.389629364000001</v>
      </c>
      <c r="G1869">
        <v>1387.6513672000001</v>
      </c>
      <c r="H1869">
        <v>1372.8491211</v>
      </c>
      <c r="I1869">
        <v>1287.7547606999999</v>
      </c>
      <c r="J1869">
        <v>1268.6791992000001</v>
      </c>
      <c r="K1869">
        <v>2400</v>
      </c>
      <c r="L1869">
        <v>0</v>
      </c>
      <c r="M1869">
        <v>0</v>
      </c>
      <c r="N1869">
        <v>2400</v>
      </c>
    </row>
    <row r="1870" spans="1:14" x14ac:dyDescent="0.25">
      <c r="A1870">
        <v>1469.4436599999999</v>
      </c>
      <c r="B1870" s="1">
        <f>DATE(2014,5,9) + TIME(10,38,52)</f>
        <v>41768.443657407406</v>
      </c>
      <c r="C1870">
        <v>80</v>
      </c>
      <c r="D1870">
        <v>79.961929321</v>
      </c>
      <c r="E1870">
        <v>50</v>
      </c>
      <c r="F1870">
        <v>49.372360229000002</v>
      </c>
      <c r="G1870">
        <v>1387.5943603999999</v>
      </c>
      <c r="H1870">
        <v>1372.8040771000001</v>
      </c>
      <c r="I1870">
        <v>1287.7490233999999</v>
      </c>
      <c r="J1870">
        <v>1268.6721190999999</v>
      </c>
      <c r="K1870">
        <v>2400</v>
      </c>
      <c r="L1870">
        <v>0</v>
      </c>
      <c r="M1870">
        <v>0</v>
      </c>
      <c r="N1870">
        <v>2400</v>
      </c>
    </row>
    <row r="1871" spans="1:14" x14ac:dyDescent="0.25">
      <c r="A1871">
        <v>1469.731231</v>
      </c>
      <c r="B1871" s="1">
        <f>DATE(2014,5,9) + TIME(17,32,58)</f>
        <v>41768.731226851851</v>
      </c>
      <c r="C1871">
        <v>80</v>
      </c>
      <c r="D1871">
        <v>79.962097168</v>
      </c>
      <c r="E1871">
        <v>50</v>
      </c>
      <c r="F1871">
        <v>49.354679107999999</v>
      </c>
      <c r="G1871">
        <v>1387.5373535000001</v>
      </c>
      <c r="H1871">
        <v>1372.7590332</v>
      </c>
      <c r="I1871">
        <v>1287.7432861</v>
      </c>
      <c r="J1871">
        <v>1268.6649170000001</v>
      </c>
      <c r="K1871">
        <v>2400</v>
      </c>
      <c r="L1871">
        <v>0</v>
      </c>
      <c r="M1871">
        <v>0</v>
      </c>
      <c r="N1871">
        <v>2400</v>
      </c>
    </row>
    <row r="1872" spans="1:14" x14ac:dyDescent="0.25">
      <c r="A1872">
        <v>1470.0272339999999</v>
      </c>
      <c r="B1872" s="1">
        <f>DATE(2014,5,10) + TIME(0,39,12)</f>
        <v>41769.027222222219</v>
      </c>
      <c r="C1872">
        <v>80</v>
      </c>
      <c r="D1872">
        <v>79.962234496999997</v>
      </c>
      <c r="E1872">
        <v>50</v>
      </c>
      <c r="F1872">
        <v>49.336582184000001</v>
      </c>
      <c r="G1872">
        <v>1387.4802245999999</v>
      </c>
      <c r="H1872">
        <v>1372.7139893000001</v>
      </c>
      <c r="I1872">
        <v>1287.7373047000001</v>
      </c>
      <c r="J1872">
        <v>1268.6574707</v>
      </c>
      <c r="K1872">
        <v>2400</v>
      </c>
      <c r="L1872">
        <v>0</v>
      </c>
      <c r="M1872">
        <v>0</v>
      </c>
      <c r="N1872">
        <v>2400</v>
      </c>
    </row>
    <row r="1873" spans="1:14" x14ac:dyDescent="0.25">
      <c r="A1873">
        <v>1470.3298990000001</v>
      </c>
      <c r="B1873" s="1">
        <f>DATE(2014,5,10) + TIME(7,55,3)</f>
        <v>41769.329895833333</v>
      </c>
      <c r="C1873">
        <v>80</v>
      </c>
      <c r="D1873">
        <v>79.962348938000005</v>
      </c>
      <c r="E1873">
        <v>50</v>
      </c>
      <c r="F1873">
        <v>49.318134307999998</v>
      </c>
      <c r="G1873">
        <v>1387.4229736</v>
      </c>
      <c r="H1873">
        <v>1372.6689452999999</v>
      </c>
      <c r="I1873">
        <v>1287.7310791</v>
      </c>
      <c r="J1873">
        <v>1268.6497803</v>
      </c>
      <c r="K1873">
        <v>2400</v>
      </c>
      <c r="L1873">
        <v>0</v>
      </c>
      <c r="M1873">
        <v>0</v>
      </c>
      <c r="N1873">
        <v>2400</v>
      </c>
    </row>
    <row r="1874" spans="1:14" x14ac:dyDescent="0.25">
      <c r="A1874">
        <v>1470.640116</v>
      </c>
      <c r="B1874" s="1">
        <f>DATE(2014,5,10) + TIME(15,21,46)</f>
        <v>41769.640115740738</v>
      </c>
      <c r="C1874">
        <v>80</v>
      </c>
      <c r="D1874">
        <v>79.962440490999995</v>
      </c>
      <c r="E1874">
        <v>50</v>
      </c>
      <c r="F1874">
        <v>49.299308777</v>
      </c>
      <c r="G1874">
        <v>1387.3658447</v>
      </c>
      <c r="H1874">
        <v>1372.6240233999999</v>
      </c>
      <c r="I1874">
        <v>1287.7247314000001</v>
      </c>
      <c r="J1874">
        <v>1268.6418457</v>
      </c>
      <c r="K1874">
        <v>2400</v>
      </c>
      <c r="L1874">
        <v>0</v>
      </c>
      <c r="M1874">
        <v>0</v>
      </c>
      <c r="N1874">
        <v>2400</v>
      </c>
    </row>
    <row r="1875" spans="1:14" x14ac:dyDescent="0.25">
      <c r="A1875">
        <v>1470.958797</v>
      </c>
      <c r="B1875" s="1">
        <f>DATE(2014,5,10) + TIME(23,0,40)</f>
        <v>41769.958796296298</v>
      </c>
      <c r="C1875">
        <v>80</v>
      </c>
      <c r="D1875">
        <v>79.962509155000006</v>
      </c>
      <c r="E1875">
        <v>50</v>
      </c>
      <c r="F1875">
        <v>49.280056000000002</v>
      </c>
      <c r="G1875">
        <v>1387.3089600000001</v>
      </c>
      <c r="H1875">
        <v>1372.5792236</v>
      </c>
      <c r="I1875">
        <v>1287.7182617000001</v>
      </c>
      <c r="J1875">
        <v>1268.6337891000001</v>
      </c>
      <c r="K1875">
        <v>2400</v>
      </c>
      <c r="L1875">
        <v>0</v>
      </c>
      <c r="M1875">
        <v>0</v>
      </c>
      <c r="N1875">
        <v>2400</v>
      </c>
    </row>
    <row r="1876" spans="1:14" x14ac:dyDescent="0.25">
      <c r="A1876">
        <v>1471.286949</v>
      </c>
      <c r="B1876" s="1">
        <f>DATE(2014,5,11) + TIME(6,53,12)</f>
        <v>41770.286944444444</v>
      </c>
      <c r="C1876">
        <v>80</v>
      </c>
      <c r="D1876">
        <v>79.962562560999999</v>
      </c>
      <c r="E1876">
        <v>50</v>
      </c>
      <c r="F1876">
        <v>49.260337829999997</v>
      </c>
      <c r="G1876">
        <v>1387.2518310999999</v>
      </c>
      <c r="H1876">
        <v>1372.5344238</v>
      </c>
      <c r="I1876">
        <v>1287.7115478999999</v>
      </c>
      <c r="J1876">
        <v>1268.6254882999999</v>
      </c>
      <c r="K1876">
        <v>2400</v>
      </c>
      <c r="L1876">
        <v>0</v>
      </c>
      <c r="M1876">
        <v>0</v>
      </c>
      <c r="N1876">
        <v>2400</v>
      </c>
    </row>
    <row r="1877" spans="1:14" x14ac:dyDescent="0.25">
      <c r="A1877">
        <v>1471.6257459999999</v>
      </c>
      <c r="B1877" s="1">
        <f>DATE(2014,5,11) + TIME(15,1,4)</f>
        <v>41770.625740740739</v>
      </c>
      <c r="C1877">
        <v>80</v>
      </c>
      <c r="D1877">
        <v>79.962608337000006</v>
      </c>
      <c r="E1877">
        <v>50</v>
      </c>
      <c r="F1877">
        <v>49.240097046000002</v>
      </c>
      <c r="G1877">
        <v>1387.1945800999999</v>
      </c>
      <c r="H1877">
        <v>1372.4893798999999</v>
      </c>
      <c r="I1877">
        <v>1287.7045897999999</v>
      </c>
      <c r="J1877">
        <v>1268.6169434000001</v>
      </c>
      <c r="K1877">
        <v>2400</v>
      </c>
      <c r="L1877">
        <v>0</v>
      </c>
      <c r="M1877">
        <v>0</v>
      </c>
      <c r="N1877">
        <v>2400</v>
      </c>
    </row>
    <row r="1878" spans="1:14" x14ac:dyDescent="0.25">
      <c r="A1878">
        <v>1471.976592</v>
      </c>
      <c r="B1878" s="1">
        <f>DATE(2014,5,11) + TIME(23,26,17)</f>
        <v>41770.976585648146</v>
      </c>
      <c r="C1878">
        <v>80</v>
      </c>
      <c r="D1878">
        <v>79.962646484000004</v>
      </c>
      <c r="E1878">
        <v>50</v>
      </c>
      <c r="F1878">
        <v>49.219264983999999</v>
      </c>
      <c r="G1878">
        <v>1387.1368408000001</v>
      </c>
      <c r="H1878">
        <v>1372.4442139</v>
      </c>
      <c r="I1878">
        <v>1287.6975098</v>
      </c>
      <c r="J1878">
        <v>1268.6080322</v>
      </c>
      <c r="K1878">
        <v>2400</v>
      </c>
      <c r="L1878">
        <v>0</v>
      </c>
      <c r="M1878">
        <v>0</v>
      </c>
      <c r="N1878">
        <v>2400</v>
      </c>
    </row>
    <row r="1879" spans="1:14" x14ac:dyDescent="0.25">
      <c r="A1879">
        <v>1472.3407589999999</v>
      </c>
      <c r="B1879" s="1">
        <f>DATE(2014,5,12) + TIME(8,10,41)</f>
        <v>41771.340752314813</v>
      </c>
      <c r="C1879">
        <v>80</v>
      </c>
      <c r="D1879">
        <v>79.962669372999997</v>
      </c>
      <c r="E1879">
        <v>50</v>
      </c>
      <c r="F1879">
        <v>49.197776793999999</v>
      </c>
      <c r="G1879">
        <v>1387.0786132999999</v>
      </c>
      <c r="H1879">
        <v>1372.3985596</v>
      </c>
      <c r="I1879">
        <v>1287.6900635</v>
      </c>
      <c r="J1879">
        <v>1268.5988769999999</v>
      </c>
      <c r="K1879">
        <v>2400</v>
      </c>
      <c r="L1879">
        <v>0</v>
      </c>
      <c r="M1879">
        <v>0</v>
      </c>
      <c r="N1879">
        <v>2400</v>
      </c>
    </row>
    <row r="1880" spans="1:14" x14ac:dyDescent="0.25">
      <c r="A1880">
        <v>1472.7199069999999</v>
      </c>
      <c r="B1880" s="1">
        <f>DATE(2014,5,12) + TIME(17,16,39)</f>
        <v>41771.719895833332</v>
      </c>
      <c r="C1880">
        <v>80</v>
      </c>
      <c r="D1880">
        <v>79.962684631000002</v>
      </c>
      <c r="E1880">
        <v>50</v>
      </c>
      <c r="F1880">
        <v>49.175556182999998</v>
      </c>
      <c r="G1880">
        <v>1387.0197754000001</v>
      </c>
      <c r="H1880">
        <v>1372.3524170000001</v>
      </c>
      <c r="I1880">
        <v>1287.6823730000001</v>
      </c>
      <c r="J1880">
        <v>1268.5893555</v>
      </c>
      <c r="K1880">
        <v>2400</v>
      </c>
      <c r="L1880">
        <v>0</v>
      </c>
      <c r="M1880">
        <v>0</v>
      </c>
      <c r="N1880">
        <v>2400</v>
      </c>
    </row>
    <row r="1881" spans="1:14" x14ac:dyDescent="0.25">
      <c r="A1881">
        <v>1473.104677</v>
      </c>
      <c r="B1881" s="1">
        <f>DATE(2014,5,13) + TIME(2,30,44)</f>
        <v>41772.104675925926</v>
      </c>
      <c r="C1881">
        <v>80</v>
      </c>
      <c r="D1881">
        <v>79.962699889999996</v>
      </c>
      <c r="E1881">
        <v>50</v>
      </c>
      <c r="F1881">
        <v>49.152961730999998</v>
      </c>
      <c r="G1881">
        <v>1386.9599608999999</v>
      </c>
      <c r="H1881">
        <v>1372.3056641000001</v>
      </c>
      <c r="I1881">
        <v>1287.6743164</v>
      </c>
      <c r="J1881">
        <v>1268.5793457</v>
      </c>
      <c r="K1881">
        <v>2400</v>
      </c>
      <c r="L1881">
        <v>0</v>
      </c>
      <c r="M1881">
        <v>0</v>
      </c>
      <c r="N1881">
        <v>2400</v>
      </c>
    </row>
    <row r="1882" spans="1:14" x14ac:dyDescent="0.25">
      <c r="A1882">
        <v>1473.4930609999999</v>
      </c>
      <c r="B1882" s="1">
        <f>DATE(2014,5,13) + TIME(11,50,0)</f>
        <v>41772.493055555555</v>
      </c>
      <c r="C1882">
        <v>80</v>
      </c>
      <c r="D1882">
        <v>79.962707519999995</v>
      </c>
      <c r="E1882">
        <v>50</v>
      </c>
      <c r="F1882">
        <v>49.130115508999999</v>
      </c>
      <c r="G1882">
        <v>1386.9007568</v>
      </c>
      <c r="H1882">
        <v>1372.2592772999999</v>
      </c>
      <c r="I1882">
        <v>1287.6660156</v>
      </c>
      <c r="J1882">
        <v>1268.5693358999999</v>
      </c>
      <c r="K1882">
        <v>2400</v>
      </c>
      <c r="L1882">
        <v>0</v>
      </c>
      <c r="M1882">
        <v>0</v>
      </c>
      <c r="N1882">
        <v>2400</v>
      </c>
    </row>
    <row r="1883" spans="1:14" x14ac:dyDescent="0.25">
      <c r="A1883">
        <v>1473.885802</v>
      </c>
      <c r="B1883" s="1">
        <f>DATE(2014,5,13) + TIME(21,15,33)</f>
        <v>41772.885798611111</v>
      </c>
      <c r="C1883">
        <v>80</v>
      </c>
      <c r="D1883">
        <v>79.962707519999995</v>
      </c>
      <c r="E1883">
        <v>50</v>
      </c>
      <c r="F1883">
        <v>49.107025145999998</v>
      </c>
      <c r="G1883">
        <v>1386.8424072</v>
      </c>
      <c r="H1883">
        <v>1372.2137451000001</v>
      </c>
      <c r="I1883">
        <v>1287.6577147999999</v>
      </c>
      <c r="J1883">
        <v>1268.559082</v>
      </c>
      <c r="K1883">
        <v>2400</v>
      </c>
      <c r="L1883">
        <v>0</v>
      </c>
      <c r="M1883">
        <v>0</v>
      </c>
      <c r="N1883">
        <v>2400</v>
      </c>
    </row>
    <row r="1884" spans="1:14" x14ac:dyDescent="0.25">
      <c r="A1884">
        <v>1474.2832989999999</v>
      </c>
      <c r="B1884" s="1">
        <f>DATE(2014,5,14) + TIME(6,47,57)</f>
        <v>41773.28329861111</v>
      </c>
      <c r="C1884">
        <v>80</v>
      </c>
      <c r="D1884">
        <v>79.962707519999995</v>
      </c>
      <c r="E1884">
        <v>50</v>
      </c>
      <c r="F1884">
        <v>49.083705901999998</v>
      </c>
      <c r="G1884">
        <v>1386.7849120999999</v>
      </c>
      <c r="H1884">
        <v>1372.1688231999999</v>
      </c>
      <c r="I1884">
        <v>1287.6492920000001</v>
      </c>
      <c r="J1884">
        <v>1268.5487060999999</v>
      </c>
      <c r="K1884">
        <v>2400</v>
      </c>
      <c r="L1884">
        <v>0</v>
      </c>
      <c r="M1884">
        <v>0</v>
      </c>
      <c r="N1884">
        <v>2400</v>
      </c>
    </row>
    <row r="1885" spans="1:14" x14ac:dyDescent="0.25">
      <c r="A1885">
        <v>1474.686502</v>
      </c>
      <c r="B1885" s="1">
        <f>DATE(2014,5,14) + TIME(16,28,33)</f>
        <v>41773.686493055553</v>
      </c>
      <c r="C1885">
        <v>80</v>
      </c>
      <c r="D1885">
        <v>79.962699889999996</v>
      </c>
      <c r="E1885">
        <v>50</v>
      </c>
      <c r="F1885">
        <v>49.060131073000001</v>
      </c>
      <c r="G1885">
        <v>1386.7280272999999</v>
      </c>
      <c r="H1885">
        <v>1372.1245117000001</v>
      </c>
      <c r="I1885">
        <v>1287.6407471</v>
      </c>
      <c r="J1885">
        <v>1268.5382079999999</v>
      </c>
      <c r="K1885">
        <v>2400</v>
      </c>
      <c r="L1885">
        <v>0</v>
      </c>
      <c r="M1885">
        <v>0</v>
      </c>
      <c r="N1885">
        <v>2400</v>
      </c>
    </row>
    <row r="1886" spans="1:14" x14ac:dyDescent="0.25">
      <c r="A1886">
        <v>1475.096548</v>
      </c>
      <c r="B1886" s="1">
        <f>DATE(2014,5,15) + TIME(2,19,1)</f>
        <v>41774.096539351849</v>
      </c>
      <c r="C1886">
        <v>80</v>
      </c>
      <c r="D1886">
        <v>79.962692261000001</v>
      </c>
      <c r="E1886">
        <v>50</v>
      </c>
      <c r="F1886">
        <v>49.036258697999997</v>
      </c>
      <c r="G1886">
        <v>1386.6717529</v>
      </c>
      <c r="H1886">
        <v>1372.0805664</v>
      </c>
      <c r="I1886">
        <v>1287.6320800999999</v>
      </c>
      <c r="J1886">
        <v>1268.5274658000001</v>
      </c>
      <c r="K1886">
        <v>2400</v>
      </c>
      <c r="L1886">
        <v>0</v>
      </c>
      <c r="M1886">
        <v>0</v>
      </c>
      <c r="N1886">
        <v>2400</v>
      </c>
    </row>
    <row r="1887" spans="1:14" x14ac:dyDescent="0.25">
      <c r="A1887">
        <v>1475.5146279999999</v>
      </c>
      <c r="B1887" s="1">
        <f>DATE(2014,5,15) + TIME(12,21,3)</f>
        <v>41774.514618055553</v>
      </c>
      <c r="C1887">
        <v>80</v>
      </c>
      <c r="D1887">
        <v>79.962684631000002</v>
      </c>
      <c r="E1887">
        <v>50</v>
      </c>
      <c r="F1887">
        <v>49.012050629000001</v>
      </c>
      <c r="G1887">
        <v>1386.6157227000001</v>
      </c>
      <c r="H1887">
        <v>1372.0368652</v>
      </c>
      <c r="I1887">
        <v>1287.6232910000001</v>
      </c>
      <c r="J1887">
        <v>1268.5164795000001</v>
      </c>
      <c r="K1887">
        <v>2400</v>
      </c>
      <c r="L1887">
        <v>0</v>
      </c>
      <c r="M1887">
        <v>0</v>
      </c>
      <c r="N1887">
        <v>2400</v>
      </c>
    </row>
    <row r="1888" spans="1:14" x14ac:dyDescent="0.25">
      <c r="A1888">
        <v>1475.942006</v>
      </c>
      <c r="B1888" s="1">
        <f>DATE(2014,5,15) + TIME(22,36,29)</f>
        <v>41774.942002314812</v>
      </c>
      <c r="C1888">
        <v>80</v>
      </c>
      <c r="D1888">
        <v>79.962669372999997</v>
      </c>
      <c r="E1888">
        <v>50</v>
      </c>
      <c r="F1888">
        <v>48.987438202</v>
      </c>
      <c r="G1888">
        <v>1386.5599365</v>
      </c>
      <c r="H1888">
        <v>1371.9932861</v>
      </c>
      <c r="I1888">
        <v>1287.6142577999999</v>
      </c>
      <c r="J1888">
        <v>1268.5053711</v>
      </c>
      <c r="K1888">
        <v>2400</v>
      </c>
      <c r="L1888">
        <v>0</v>
      </c>
      <c r="M1888">
        <v>0</v>
      </c>
      <c r="N1888">
        <v>2400</v>
      </c>
    </row>
    <row r="1889" spans="1:14" x14ac:dyDescent="0.25">
      <c r="A1889">
        <v>1476.3800470000001</v>
      </c>
      <c r="B1889" s="1">
        <f>DATE(2014,5,16) + TIME(9,7,16)</f>
        <v>41775.380046296297</v>
      </c>
      <c r="C1889">
        <v>80</v>
      </c>
      <c r="D1889">
        <v>79.962654114000003</v>
      </c>
      <c r="E1889">
        <v>50</v>
      </c>
      <c r="F1889">
        <v>48.962371826000002</v>
      </c>
      <c r="G1889">
        <v>1386.5041504000001</v>
      </c>
      <c r="H1889">
        <v>1371.9498291</v>
      </c>
      <c r="I1889">
        <v>1287.6049805</v>
      </c>
      <c r="J1889">
        <v>1268.4938964999999</v>
      </c>
      <c r="K1889">
        <v>2400</v>
      </c>
      <c r="L1889">
        <v>0</v>
      </c>
      <c r="M1889">
        <v>0</v>
      </c>
      <c r="N1889">
        <v>2400</v>
      </c>
    </row>
    <row r="1890" spans="1:14" x14ac:dyDescent="0.25">
      <c r="A1890">
        <v>1476.830248</v>
      </c>
      <c r="B1890" s="1">
        <f>DATE(2014,5,16) + TIME(19,55,33)</f>
        <v>41775.830243055556</v>
      </c>
      <c r="C1890">
        <v>80</v>
      </c>
      <c r="D1890">
        <v>79.962646484000004</v>
      </c>
      <c r="E1890">
        <v>50</v>
      </c>
      <c r="F1890">
        <v>48.936771393000001</v>
      </c>
      <c r="G1890">
        <v>1386.4482422000001</v>
      </c>
      <c r="H1890">
        <v>1371.90625</v>
      </c>
      <c r="I1890">
        <v>1287.5954589999999</v>
      </c>
      <c r="J1890">
        <v>1268.4821777</v>
      </c>
      <c r="K1890">
        <v>2400</v>
      </c>
      <c r="L1890">
        <v>0</v>
      </c>
      <c r="M1890">
        <v>0</v>
      </c>
      <c r="N1890">
        <v>2400</v>
      </c>
    </row>
    <row r="1891" spans="1:14" x14ac:dyDescent="0.25">
      <c r="A1891">
        <v>1477.2945050000001</v>
      </c>
      <c r="B1891" s="1">
        <f>DATE(2014,5,17) + TIME(7,4,5)</f>
        <v>41776.294502314813</v>
      </c>
      <c r="C1891">
        <v>80</v>
      </c>
      <c r="D1891">
        <v>79.962631225999999</v>
      </c>
      <c r="E1891">
        <v>50</v>
      </c>
      <c r="F1891">
        <v>48.910552979000002</v>
      </c>
      <c r="G1891">
        <v>1386.3920897999999</v>
      </c>
      <c r="H1891">
        <v>1371.8624268000001</v>
      </c>
      <c r="I1891">
        <v>1287.5856934000001</v>
      </c>
      <c r="J1891">
        <v>1268.4700928</v>
      </c>
      <c r="K1891">
        <v>2400</v>
      </c>
      <c r="L1891">
        <v>0</v>
      </c>
      <c r="M1891">
        <v>0</v>
      </c>
      <c r="N1891">
        <v>2400</v>
      </c>
    </row>
    <row r="1892" spans="1:14" x14ac:dyDescent="0.25">
      <c r="A1892">
        <v>1477.7659659999999</v>
      </c>
      <c r="B1892" s="1">
        <f>DATE(2014,5,17) + TIME(18,22,59)</f>
        <v>41776.765960648147</v>
      </c>
      <c r="C1892">
        <v>80</v>
      </c>
      <c r="D1892">
        <v>79.962615967000005</v>
      </c>
      <c r="E1892">
        <v>50</v>
      </c>
      <c r="F1892">
        <v>48.883945464999996</v>
      </c>
      <c r="G1892">
        <v>1386.3353271000001</v>
      </c>
      <c r="H1892">
        <v>1371.8182373</v>
      </c>
      <c r="I1892">
        <v>1287.5755615</v>
      </c>
      <c r="J1892">
        <v>1268.4576416</v>
      </c>
      <c r="K1892">
        <v>2400</v>
      </c>
      <c r="L1892">
        <v>0</v>
      </c>
      <c r="M1892">
        <v>0</v>
      </c>
      <c r="N1892">
        <v>2400</v>
      </c>
    </row>
    <row r="1893" spans="1:14" x14ac:dyDescent="0.25">
      <c r="A1893">
        <v>1478.2457529999999</v>
      </c>
      <c r="B1893" s="1">
        <f>DATE(2014,5,18) + TIME(5,53,53)</f>
        <v>41777.245752314811</v>
      </c>
      <c r="C1893">
        <v>80</v>
      </c>
      <c r="D1893">
        <v>79.962593079000001</v>
      </c>
      <c r="E1893">
        <v>50</v>
      </c>
      <c r="F1893">
        <v>48.856937408</v>
      </c>
      <c r="G1893">
        <v>1386.2790527</v>
      </c>
      <c r="H1893">
        <v>1371.7744141000001</v>
      </c>
      <c r="I1893">
        <v>1287.5651855000001</v>
      </c>
      <c r="J1893">
        <v>1268.4448242000001</v>
      </c>
      <c r="K1893">
        <v>2400</v>
      </c>
      <c r="L1893">
        <v>0</v>
      </c>
      <c r="M1893">
        <v>0</v>
      </c>
      <c r="N1893">
        <v>2400</v>
      </c>
    </row>
    <row r="1894" spans="1:14" x14ac:dyDescent="0.25">
      <c r="A1894">
        <v>1478.735126</v>
      </c>
      <c r="B1894" s="1">
        <f>DATE(2014,5,18) + TIME(17,38,34)</f>
        <v>41777.735115740739</v>
      </c>
      <c r="C1894">
        <v>80</v>
      </c>
      <c r="D1894">
        <v>79.962577820000007</v>
      </c>
      <c r="E1894">
        <v>50</v>
      </c>
      <c r="F1894">
        <v>48.829498291</v>
      </c>
      <c r="G1894">
        <v>1386.2229004000001</v>
      </c>
      <c r="H1894">
        <v>1371.7307129000001</v>
      </c>
      <c r="I1894">
        <v>1287.5546875</v>
      </c>
      <c r="J1894">
        <v>1268.4317627</v>
      </c>
      <c r="K1894">
        <v>2400</v>
      </c>
      <c r="L1894">
        <v>0</v>
      </c>
      <c r="M1894">
        <v>0</v>
      </c>
      <c r="N1894">
        <v>2400</v>
      </c>
    </row>
    <row r="1895" spans="1:14" x14ac:dyDescent="0.25">
      <c r="A1895">
        <v>1479.2354339999999</v>
      </c>
      <c r="B1895" s="1">
        <f>DATE(2014,5,19) + TIME(5,39,1)</f>
        <v>41778.23542824074</v>
      </c>
      <c r="C1895">
        <v>80</v>
      </c>
      <c r="D1895">
        <v>79.962562560999999</v>
      </c>
      <c r="E1895">
        <v>50</v>
      </c>
      <c r="F1895">
        <v>48.801586151000002</v>
      </c>
      <c r="G1895">
        <v>1386.1668701000001</v>
      </c>
      <c r="H1895">
        <v>1371.6870117000001</v>
      </c>
      <c r="I1895">
        <v>1287.5438231999999</v>
      </c>
      <c r="J1895">
        <v>1268.418457</v>
      </c>
      <c r="K1895">
        <v>2400</v>
      </c>
      <c r="L1895">
        <v>0</v>
      </c>
      <c r="M1895">
        <v>0</v>
      </c>
      <c r="N1895">
        <v>2400</v>
      </c>
    </row>
    <row r="1896" spans="1:14" x14ac:dyDescent="0.25">
      <c r="A1896">
        <v>1479.7481419999999</v>
      </c>
      <c r="B1896" s="1">
        <f>DATE(2014,5,19) + TIME(17,57,19)</f>
        <v>41778.748136574075</v>
      </c>
      <c r="C1896">
        <v>80</v>
      </c>
      <c r="D1896">
        <v>79.962547302000004</v>
      </c>
      <c r="E1896">
        <v>50</v>
      </c>
      <c r="F1896">
        <v>48.773143767999997</v>
      </c>
      <c r="G1896">
        <v>1386.1107178</v>
      </c>
      <c r="H1896">
        <v>1371.6433105000001</v>
      </c>
      <c r="I1896">
        <v>1287.5327147999999</v>
      </c>
      <c r="J1896">
        <v>1268.4047852000001</v>
      </c>
      <c r="K1896">
        <v>2400</v>
      </c>
      <c r="L1896">
        <v>0</v>
      </c>
      <c r="M1896">
        <v>0</v>
      </c>
      <c r="N1896">
        <v>2400</v>
      </c>
    </row>
    <row r="1897" spans="1:14" x14ac:dyDescent="0.25">
      <c r="A1897">
        <v>1480.2701059999999</v>
      </c>
      <c r="B1897" s="1">
        <f>DATE(2014,5,20) + TIME(6,28,57)</f>
        <v>41779.270104166666</v>
      </c>
      <c r="C1897">
        <v>80</v>
      </c>
      <c r="D1897">
        <v>79.962524414000001</v>
      </c>
      <c r="E1897">
        <v>50</v>
      </c>
      <c r="F1897">
        <v>48.744262695000003</v>
      </c>
      <c r="G1897">
        <v>1386.0544434000001</v>
      </c>
      <c r="H1897">
        <v>1371.5994873</v>
      </c>
      <c r="I1897">
        <v>1287.5213623</v>
      </c>
      <c r="J1897">
        <v>1268.3907471</v>
      </c>
      <c r="K1897">
        <v>2400</v>
      </c>
      <c r="L1897">
        <v>0</v>
      </c>
      <c r="M1897">
        <v>0</v>
      </c>
      <c r="N1897">
        <v>2400</v>
      </c>
    </row>
    <row r="1898" spans="1:14" x14ac:dyDescent="0.25">
      <c r="A1898">
        <v>1480.8003100000001</v>
      </c>
      <c r="B1898" s="1">
        <f>DATE(2014,5,20) + TIME(19,12,26)</f>
        <v>41779.800300925926</v>
      </c>
      <c r="C1898">
        <v>80</v>
      </c>
      <c r="D1898">
        <v>79.962509155000006</v>
      </c>
      <c r="E1898">
        <v>50</v>
      </c>
      <c r="F1898">
        <v>48.715000152999998</v>
      </c>
      <c r="G1898">
        <v>1385.9984131000001</v>
      </c>
      <c r="H1898">
        <v>1371.5557861</v>
      </c>
      <c r="I1898">
        <v>1287.5096435999999</v>
      </c>
      <c r="J1898">
        <v>1268.3763428</v>
      </c>
      <c r="K1898">
        <v>2400</v>
      </c>
      <c r="L1898">
        <v>0</v>
      </c>
      <c r="M1898">
        <v>0</v>
      </c>
      <c r="N1898">
        <v>2400</v>
      </c>
    </row>
    <row r="1899" spans="1:14" x14ac:dyDescent="0.25">
      <c r="A1899">
        <v>1481.3374120000001</v>
      </c>
      <c r="B1899" s="1">
        <f>DATE(2014,5,21) + TIME(8,5,52)</f>
        <v>41780.337407407409</v>
      </c>
      <c r="C1899">
        <v>80</v>
      </c>
      <c r="D1899">
        <v>79.962493895999998</v>
      </c>
      <c r="E1899">
        <v>50</v>
      </c>
      <c r="F1899">
        <v>48.685417174999998</v>
      </c>
      <c r="G1899">
        <v>1385.9425048999999</v>
      </c>
      <c r="H1899">
        <v>1371.5123291</v>
      </c>
      <c r="I1899">
        <v>1287.4978027</v>
      </c>
      <c r="J1899">
        <v>1268.3616943</v>
      </c>
      <c r="K1899">
        <v>2400</v>
      </c>
      <c r="L1899">
        <v>0</v>
      </c>
      <c r="M1899">
        <v>0</v>
      </c>
      <c r="N1899">
        <v>2400</v>
      </c>
    </row>
    <row r="1900" spans="1:14" x14ac:dyDescent="0.25">
      <c r="A1900">
        <v>1481.881153</v>
      </c>
      <c r="B1900" s="1">
        <f>DATE(2014,5,21) + TIME(21,8,51)</f>
        <v>41780.881145833337</v>
      </c>
      <c r="C1900">
        <v>80</v>
      </c>
      <c r="D1900">
        <v>79.962471007999994</v>
      </c>
      <c r="E1900">
        <v>50</v>
      </c>
      <c r="F1900">
        <v>48.655544280999997</v>
      </c>
      <c r="G1900">
        <v>1385.8870850000001</v>
      </c>
      <c r="H1900">
        <v>1371.4691161999999</v>
      </c>
      <c r="I1900">
        <v>1287.4857178</v>
      </c>
      <c r="J1900">
        <v>1268.3468018000001</v>
      </c>
      <c r="K1900">
        <v>2400</v>
      </c>
      <c r="L1900">
        <v>0</v>
      </c>
      <c r="M1900">
        <v>0</v>
      </c>
      <c r="N1900">
        <v>2400</v>
      </c>
    </row>
    <row r="1901" spans="1:14" x14ac:dyDescent="0.25">
      <c r="A1901">
        <v>1482.4331030000001</v>
      </c>
      <c r="B1901" s="1">
        <f>DATE(2014,5,22) + TIME(10,23,40)</f>
        <v>41781.43310185185</v>
      </c>
      <c r="C1901">
        <v>80</v>
      </c>
      <c r="D1901">
        <v>79.962455750000004</v>
      </c>
      <c r="E1901">
        <v>50</v>
      </c>
      <c r="F1901">
        <v>48.625354766999997</v>
      </c>
      <c r="G1901">
        <v>1385.8320312000001</v>
      </c>
      <c r="H1901">
        <v>1371.4262695</v>
      </c>
      <c r="I1901">
        <v>1287.4733887</v>
      </c>
      <c r="J1901">
        <v>1268.3316649999999</v>
      </c>
      <c r="K1901">
        <v>2400</v>
      </c>
      <c r="L1901">
        <v>0</v>
      </c>
      <c r="M1901">
        <v>0</v>
      </c>
      <c r="N1901">
        <v>2400</v>
      </c>
    </row>
    <row r="1902" spans="1:14" x14ac:dyDescent="0.25">
      <c r="A1902">
        <v>1482.9948830000001</v>
      </c>
      <c r="B1902" s="1">
        <f>DATE(2014,5,22) + TIME(23,52,37)</f>
        <v>41781.994872685187</v>
      </c>
      <c r="C1902">
        <v>80</v>
      </c>
      <c r="D1902">
        <v>79.962440490999995</v>
      </c>
      <c r="E1902">
        <v>50</v>
      </c>
      <c r="F1902">
        <v>48.594791411999999</v>
      </c>
      <c r="G1902">
        <v>1385.7773437999999</v>
      </c>
      <c r="H1902">
        <v>1371.3836670000001</v>
      </c>
      <c r="I1902">
        <v>1287.4609375</v>
      </c>
      <c r="J1902">
        <v>1268.3161620999999</v>
      </c>
      <c r="K1902">
        <v>2400</v>
      </c>
      <c r="L1902">
        <v>0</v>
      </c>
      <c r="M1902">
        <v>0</v>
      </c>
      <c r="N1902">
        <v>2400</v>
      </c>
    </row>
    <row r="1903" spans="1:14" x14ac:dyDescent="0.25">
      <c r="A1903">
        <v>1483.5682320000001</v>
      </c>
      <c r="B1903" s="1">
        <f>DATE(2014,5,23) + TIME(13,38,15)</f>
        <v>41782.568229166667</v>
      </c>
      <c r="C1903">
        <v>80</v>
      </c>
      <c r="D1903">
        <v>79.962425232000001</v>
      </c>
      <c r="E1903">
        <v>50</v>
      </c>
      <c r="F1903">
        <v>48.563781738000003</v>
      </c>
      <c r="G1903">
        <v>1385.7226562000001</v>
      </c>
      <c r="H1903">
        <v>1371.3410644999999</v>
      </c>
      <c r="I1903">
        <v>1287.4481201000001</v>
      </c>
      <c r="J1903">
        <v>1268.3004149999999</v>
      </c>
      <c r="K1903">
        <v>2400</v>
      </c>
      <c r="L1903">
        <v>0</v>
      </c>
      <c r="M1903">
        <v>0</v>
      </c>
      <c r="N1903">
        <v>2400</v>
      </c>
    </row>
    <row r="1904" spans="1:14" x14ac:dyDescent="0.25">
      <c r="A1904">
        <v>1484.1550070000001</v>
      </c>
      <c r="B1904" s="1">
        <f>DATE(2014,5,24) + TIME(3,43,12)</f>
        <v>41783.154999999999</v>
      </c>
      <c r="C1904">
        <v>80</v>
      </c>
      <c r="D1904">
        <v>79.962409973000007</v>
      </c>
      <c r="E1904">
        <v>50</v>
      </c>
      <c r="F1904">
        <v>48.532253265000001</v>
      </c>
      <c r="G1904">
        <v>1385.6679687999999</v>
      </c>
      <c r="H1904">
        <v>1371.2983397999999</v>
      </c>
      <c r="I1904">
        <v>1287.4349365</v>
      </c>
      <c r="J1904">
        <v>1268.2841797000001</v>
      </c>
      <c r="K1904">
        <v>2400</v>
      </c>
      <c r="L1904">
        <v>0</v>
      </c>
      <c r="M1904">
        <v>0</v>
      </c>
      <c r="N1904">
        <v>2400</v>
      </c>
    </row>
    <row r="1905" spans="1:14" x14ac:dyDescent="0.25">
      <c r="A1905">
        <v>1484.7573460000001</v>
      </c>
      <c r="B1905" s="1">
        <f>DATE(2014,5,24) + TIME(18,10,34)</f>
        <v>41783.757337962961</v>
      </c>
      <c r="C1905">
        <v>80</v>
      </c>
      <c r="D1905">
        <v>79.962394713999998</v>
      </c>
      <c r="E1905">
        <v>50</v>
      </c>
      <c r="F1905">
        <v>48.500110626000001</v>
      </c>
      <c r="G1905">
        <v>1385.6131591999999</v>
      </c>
      <c r="H1905">
        <v>1371.2556152</v>
      </c>
      <c r="I1905">
        <v>1287.4215088000001</v>
      </c>
      <c r="J1905">
        <v>1268.2674560999999</v>
      </c>
      <c r="K1905">
        <v>2400</v>
      </c>
      <c r="L1905">
        <v>0</v>
      </c>
      <c r="M1905">
        <v>0</v>
      </c>
      <c r="N1905">
        <v>2400</v>
      </c>
    </row>
    <row r="1906" spans="1:14" x14ac:dyDescent="0.25">
      <c r="A1906">
        <v>1485.3778139999999</v>
      </c>
      <c r="B1906" s="1">
        <f>DATE(2014,5,25) + TIME(9,4,3)</f>
        <v>41784.377812500003</v>
      </c>
      <c r="C1906">
        <v>80</v>
      </c>
      <c r="D1906">
        <v>79.962371825999995</v>
      </c>
      <c r="E1906">
        <v>50</v>
      </c>
      <c r="F1906">
        <v>48.467239380000002</v>
      </c>
      <c r="G1906">
        <v>1385.5578613</v>
      </c>
      <c r="H1906">
        <v>1371.2124022999999</v>
      </c>
      <c r="I1906">
        <v>1287.4075928</v>
      </c>
      <c r="J1906">
        <v>1268.2502440999999</v>
      </c>
      <c r="K1906">
        <v>2400</v>
      </c>
      <c r="L1906">
        <v>0</v>
      </c>
      <c r="M1906">
        <v>0</v>
      </c>
      <c r="N1906">
        <v>2400</v>
      </c>
    </row>
    <row r="1907" spans="1:14" x14ac:dyDescent="0.25">
      <c r="A1907">
        <v>1486.0105370000001</v>
      </c>
      <c r="B1907" s="1">
        <f>DATE(2014,5,26) + TIME(0,15,10)</f>
        <v>41785.01053240741</v>
      </c>
      <c r="C1907">
        <v>80</v>
      </c>
      <c r="D1907">
        <v>79.962356567</v>
      </c>
      <c r="E1907">
        <v>50</v>
      </c>
      <c r="F1907">
        <v>48.433780669999997</v>
      </c>
      <c r="G1907">
        <v>1385.5019531</v>
      </c>
      <c r="H1907">
        <v>1371.1688231999999</v>
      </c>
      <c r="I1907">
        <v>1287.3931885</v>
      </c>
      <c r="J1907">
        <v>1268.2322998</v>
      </c>
      <c r="K1907">
        <v>2400</v>
      </c>
      <c r="L1907">
        <v>0</v>
      </c>
      <c r="M1907">
        <v>0</v>
      </c>
      <c r="N1907">
        <v>2400</v>
      </c>
    </row>
    <row r="1908" spans="1:14" x14ac:dyDescent="0.25">
      <c r="A1908">
        <v>1486.655808</v>
      </c>
      <c r="B1908" s="1">
        <f>DATE(2014,5,26) + TIME(15,44,21)</f>
        <v>41785.655798611115</v>
      </c>
      <c r="C1908">
        <v>80</v>
      </c>
      <c r="D1908">
        <v>79.962341308999996</v>
      </c>
      <c r="E1908">
        <v>50</v>
      </c>
      <c r="F1908">
        <v>48.399753570999998</v>
      </c>
      <c r="G1908">
        <v>1385.4460449000001</v>
      </c>
      <c r="H1908">
        <v>1371.1251221</v>
      </c>
      <c r="I1908">
        <v>1287.378418</v>
      </c>
      <c r="J1908">
        <v>1268.2139893000001</v>
      </c>
      <c r="K1908">
        <v>2400</v>
      </c>
      <c r="L1908">
        <v>0</v>
      </c>
      <c r="M1908">
        <v>0</v>
      </c>
      <c r="N1908">
        <v>2400</v>
      </c>
    </row>
    <row r="1909" spans="1:14" x14ac:dyDescent="0.25">
      <c r="A1909">
        <v>1487.315613</v>
      </c>
      <c r="B1909" s="1">
        <f>DATE(2014,5,27) + TIME(7,34,28)</f>
        <v>41786.315601851849</v>
      </c>
      <c r="C1909">
        <v>80</v>
      </c>
      <c r="D1909">
        <v>79.962326050000001</v>
      </c>
      <c r="E1909">
        <v>50</v>
      </c>
      <c r="F1909">
        <v>48.365123748999999</v>
      </c>
      <c r="G1909">
        <v>1385.3901367000001</v>
      </c>
      <c r="H1909">
        <v>1371.0814209</v>
      </c>
      <c r="I1909">
        <v>1287.3631591999999</v>
      </c>
      <c r="J1909">
        <v>1268.1951904</v>
      </c>
      <c r="K1909">
        <v>2400</v>
      </c>
      <c r="L1909">
        <v>0</v>
      </c>
      <c r="M1909">
        <v>0</v>
      </c>
      <c r="N1909">
        <v>2400</v>
      </c>
    </row>
    <row r="1910" spans="1:14" x14ac:dyDescent="0.25">
      <c r="A1910">
        <v>1487.982718</v>
      </c>
      <c r="B1910" s="1">
        <f>DATE(2014,5,27) + TIME(23,35,6)</f>
        <v>41786.982708333337</v>
      </c>
      <c r="C1910">
        <v>80</v>
      </c>
      <c r="D1910">
        <v>79.962310790999993</v>
      </c>
      <c r="E1910">
        <v>50</v>
      </c>
      <c r="F1910">
        <v>48.330097197999997</v>
      </c>
      <c r="G1910">
        <v>1385.3339844</v>
      </c>
      <c r="H1910">
        <v>1371.0375977000001</v>
      </c>
      <c r="I1910">
        <v>1287.3475341999999</v>
      </c>
      <c r="J1910">
        <v>1268.1759033000001</v>
      </c>
      <c r="K1910">
        <v>2400</v>
      </c>
      <c r="L1910">
        <v>0</v>
      </c>
      <c r="M1910">
        <v>0</v>
      </c>
      <c r="N1910">
        <v>2400</v>
      </c>
    </row>
    <row r="1911" spans="1:14" x14ac:dyDescent="0.25">
      <c r="A1911">
        <v>1488.6587810000001</v>
      </c>
      <c r="B1911" s="1">
        <f>DATE(2014,5,28) + TIME(15,48,38)</f>
        <v>41787.658773148149</v>
      </c>
      <c r="C1911">
        <v>80</v>
      </c>
      <c r="D1911">
        <v>79.962295531999999</v>
      </c>
      <c r="E1911">
        <v>50</v>
      </c>
      <c r="F1911">
        <v>48.294692992999998</v>
      </c>
      <c r="G1911">
        <v>1385.2781981999999</v>
      </c>
      <c r="H1911">
        <v>1370.9940185999999</v>
      </c>
      <c r="I1911">
        <v>1287.3316649999999</v>
      </c>
      <c r="J1911">
        <v>1268.1561279</v>
      </c>
      <c r="K1911">
        <v>2400</v>
      </c>
      <c r="L1911">
        <v>0</v>
      </c>
      <c r="M1911">
        <v>0</v>
      </c>
      <c r="N1911">
        <v>2400</v>
      </c>
    </row>
    <row r="1912" spans="1:14" x14ac:dyDescent="0.25">
      <c r="A1912">
        <v>1489.3460050000001</v>
      </c>
      <c r="B1912" s="1">
        <f>DATE(2014,5,29) + TIME(8,18,14)</f>
        <v>41788.345995370371</v>
      </c>
      <c r="C1912">
        <v>80</v>
      </c>
      <c r="D1912">
        <v>79.962287903000004</v>
      </c>
      <c r="E1912">
        <v>50</v>
      </c>
      <c r="F1912">
        <v>48.258872986</v>
      </c>
      <c r="G1912">
        <v>1385.2227783000001</v>
      </c>
      <c r="H1912">
        <v>1370.9506836</v>
      </c>
      <c r="I1912">
        <v>1287.3154297000001</v>
      </c>
      <c r="J1912">
        <v>1268.1359863</v>
      </c>
      <c r="K1912">
        <v>2400</v>
      </c>
      <c r="L1912">
        <v>0</v>
      </c>
      <c r="M1912">
        <v>0</v>
      </c>
      <c r="N1912">
        <v>2400</v>
      </c>
    </row>
    <row r="1913" spans="1:14" x14ac:dyDescent="0.25">
      <c r="A1913">
        <v>1490.046135</v>
      </c>
      <c r="B1913" s="1">
        <f>DATE(2014,5,30) + TIME(1,6,26)</f>
        <v>41789.046134259261</v>
      </c>
      <c r="C1913">
        <v>80</v>
      </c>
      <c r="D1913">
        <v>79.962272643999995</v>
      </c>
      <c r="E1913">
        <v>50</v>
      </c>
      <c r="F1913">
        <v>48.222572327000002</v>
      </c>
      <c r="G1913">
        <v>1385.1674805</v>
      </c>
      <c r="H1913">
        <v>1370.9073486</v>
      </c>
      <c r="I1913">
        <v>1287.2989502</v>
      </c>
      <c r="J1913">
        <v>1268.1153564000001</v>
      </c>
      <c r="K1913">
        <v>2400</v>
      </c>
      <c r="L1913">
        <v>0</v>
      </c>
      <c r="M1913">
        <v>0</v>
      </c>
      <c r="N1913">
        <v>2400</v>
      </c>
    </row>
    <row r="1914" spans="1:14" x14ac:dyDescent="0.25">
      <c r="A1914">
        <v>1490.758403</v>
      </c>
      <c r="B1914" s="1">
        <f>DATE(2014,5,30) + TIME(18,12,6)</f>
        <v>41789.758402777778</v>
      </c>
      <c r="C1914">
        <v>80</v>
      </c>
      <c r="D1914">
        <v>79.962257385000001</v>
      </c>
      <c r="E1914">
        <v>50</v>
      </c>
      <c r="F1914">
        <v>48.185802459999998</v>
      </c>
      <c r="G1914">
        <v>1385.1121826000001</v>
      </c>
      <c r="H1914">
        <v>1370.8640137</v>
      </c>
      <c r="I1914">
        <v>1287.2818603999999</v>
      </c>
      <c r="J1914">
        <v>1268.0942382999999</v>
      </c>
      <c r="K1914">
        <v>2400</v>
      </c>
      <c r="L1914">
        <v>0</v>
      </c>
      <c r="M1914">
        <v>0</v>
      </c>
      <c r="N1914">
        <v>2400</v>
      </c>
    </row>
    <row r="1915" spans="1:14" x14ac:dyDescent="0.25">
      <c r="A1915">
        <v>1491.4807519999999</v>
      </c>
      <c r="B1915" s="1">
        <f>DATE(2014,5,31) + TIME(11,32,16)</f>
        <v>41790.480740740742</v>
      </c>
      <c r="C1915">
        <v>80</v>
      </c>
      <c r="D1915">
        <v>79.962242126000007</v>
      </c>
      <c r="E1915">
        <v>50</v>
      </c>
      <c r="F1915">
        <v>48.148612976000003</v>
      </c>
      <c r="G1915">
        <v>1385.0568848</v>
      </c>
      <c r="H1915">
        <v>1370.8206786999999</v>
      </c>
      <c r="I1915">
        <v>1287.2644043</v>
      </c>
      <c r="J1915">
        <v>1268.0725098</v>
      </c>
      <c r="K1915">
        <v>2400</v>
      </c>
      <c r="L1915">
        <v>0</v>
      </c>
      <c r="M1915">
        <v>0</v>
      </c>
      <c r="N1915">
        <v>2400</v>
      </c>
    </row>
    <row r="1916" spans="1:14" x14ac:dyDescent="0.25">
      <c r="A1916">
        <v>1492</v>
      </c>
      <c r="B1916" s="1">
        <f>DATE(2014,6,1) + TIME(0,0,0)</f>
        <v>41791</v>
      </c>
      <c r="C1916">
        <v>80</v>
      </c>
      <c r="D1916">
        <v>79.962226868000002</v>
      </c>
      <c r="E1916">
        <v>50</v>
      </c>
      <c r="F1916">
        <v>48.117851256999998</v>
      </c>
      <c r="G1916">
        <v>1385.0017089999999</v>
      </c>
      <c r="H1916">
        <v>1370.7774658000001</v>
      </c>
      <c r="I1916">
        <v>1287.2458495999999</v>
      </c>
      <c r="J1916">
        <v>1268.0509033000001</v>
      </c>
      <c r="K1916">
        <v>2400</v>
      </c>
      <c r="L1916">
        <v>0</v>
      </c>
      <c r="M1916">
        <v>0</v>
      </c>
      <c r="N1916">
        <v>2400</v>
      </c>
    </row>
    <row r="1917" spans="1:14" x14ac:dyDescent="0.25">
      <c r="A1917">
        <v>1492.734598</v>
      </c>
      <c r="B1917" s="1">
        <f>DATE(2014,6,1) + TIME(17,37,49)</f>
        <v>41791.734594907408</v>
      </c>
      <c r="C1917">
        <v>80</v>
      </c>
      <c r="D1917">
        <v>79.962219238000003</v>
      </c>
      <c r="E1917">
        <v>50</v>
      </c>
      <c r="F1917">
        <v>48.082012177000003</v>
      </c>
      <c r="G1917">
        <v>1384.9626464999999</v>
      </c>
      <c r="H1917">
        <v>1370.7468262</v>
      </c>
      <c r="I1917">
        <v>1287.2337646000001</v>
      </c>
      <c r="J1917">
        <v>1268.0336914</v>
      </c>
      <c r="K1917">
        <v>2400</v>
      </c>
      <c r="L1917">
        <v>0</v>
      </c>
      <c r="M1917">
        <v>0</v>
      </c>
      <c r="N1917">
        <v>2400</v>
      </c>
    </row>
    <row r="1918" spans="1:14" x14ac:dyDescent="0.25">
      <c r="A1918">
        <v>1493.4957669999999</v>
      </c>
      <c r="B1918" s="1">
        <f>DATE(2014,6,2) + TIME(11,53,54)</f>
        <v>41792.495763888888</v>
      </c>
      <c r="C1918">
        <v>80</v>
      </c>
      <c r="D1918">
        <v>79.962211608999993</v>
      </c>
      <c r="E1918">
        <v>50</v>
      </c>
      <c r="F1918">
        <v>48.044544219999999</v>
      </c>
      <c r="G1918">
        <v>1384.9084473</v>
      </c>
      <c r="H1918">
        <v>1370.7042236</v>
      </c>
      <c r="I1918">
        <v>1287.2154541</v>
      </c>
      <c r="J1918">
        <v>1268.0108643000001</v>
      </c>
      <c r="K1918">
        <v>2400</v>
      </c>
      <c r="L1918">
        <v>0</v>
      </c>
      <c r="M1918">
        <v>0</v>
      </c>
      <c r="N1918">
        <v>2400</v>
      </c>
    </row>
    <row r="1919" spans="1:14" x14ac:dyDescent="0.25">
      <c r="A1919">
        <v>1494.2756750000001</v>
      </c>
      <c r="B1919" s="1">
        <f>DATE(2014,6,3) + TIME(6,36,58)</f>
        <v>41793.275671296295</v>
      </c>
      <c r="C1919">
        <v>80</v>
      </c>
      <c r="D1919">
        <v>79.962196349999999</v>
      </c>
      <c r="E1919">
        <v>50</v>
      </c>
      <c r="F1919">
        <v>48.005840302000003</v>
      </c>
      <c r="G1919">
        <v>1384.8530272999999</v>
      </c>
      <c r="H1919">
        <v>1370.6606445</v>
      </c>
      <c r="I1919">
        <v>1287.1961670000001</v>
      </c>
      <c r="J1919">
        <v>1267.9869385</v>
      </c>
      <c r="K1919">
        <v>2400</v>
      </c>
      <c r="L1919">
        <v>0</v>
      </c>
      <c r="M1919">
        <v>0</v>
      </c>
      <c r="N1919">
        <v>2400</v>
      </c>
    </row>
    <row r="1920" spans="1:14" x14ac:dyDescent="0.25">
      <c r="A1920">
        <v>1495.072817</v>
      </c>
      <c r="B1920" s="1">
        <f>DATE(2014,6,4) + TIME(1,44,51)</f>
        <v>41794.072812500002</v>
      </c>
      <c r="C1920">
        <v>80</v>
      </c>
      <c r="D1920">
        <v>79.962188721000004</v>
      </c>
      <c r="E1920">
        <v>50</v>
      </c>
      <c r="F1920">
        <v>47.966133118000002</v>
      </c>
      <c r="G1920">
        <v>1384.7972411999999</v>
      </c>
      <c r="H1920">
        <v>1370.6168213000001</v>
      </c>
      <c r="I1920">
        <v>1287.1763916</v>
      </c>
      <c r="J1920">
        <v>1267.9620361</v>
      </c>
      <c r="K1920">
        <v>2400</v>
      </c>
      <c r="L1920">
        <v>0</v>
      </c>
      <c r="M1920">
        <v>0</v>
      </c>
      <c r="N1920">
        <v>2400</v>
      </c>
    </row>
    <row r="1921" spans="1:14" x14ac:dyDescent="0.25">
      <c r="A1921">
        <v>1495.881674</v>
      </c>
      <c r="B1921" s="1">
        <f>DATE(2014,6,4) + TIME(21,9,36)</f>
        <v>41794.881666666668</v>
      </c>
      <c r="C1921">
        <v>80</v>
      </c>
      <c r="D1921">
        <v>79.962173461999996</v>
      </c>
      <c r="E1921">
        <v>50</v>
      </c>
      <c r="F1921">
        <v>47.925693512000002</v>
      </c>
      <c r="G1921">
        <v>1384.7413329999999</v>
      </c>
      <c r="H1921">
        <v>1370.5727539</v>
      </c>
      <c r="I1921">
        <v>1287.1558838000001</v>
      </c>
      <c r="J1921">
        <v>1267.9362793</v>
      </c>
      <c r="K1921">
        <v>2400</v>
      </c>
      <c r="L1921">
        <v>0</v>
      </c>
      <c r="M1921">
        <v>0</v>
      </c>
      <c r="N1921">
        <v>2400</v>
      </c>
    </row>
    <row r="1922" spans="1:14" x14ac:dyDescent="0.25">
      <c r="A1922">
        <v>1496.6942770000001</v>
      </c>
      <c r="B1922" s="1">
        <f>DATE(2014,6,5) + TIME(16,39,45)</f>
        <v>41795.69427083333</v>
      </c>
      <c r="C1922">
        <v>80</v>
      </c>
      <c r="D1922">
        <v>79.962165833</v>
      </c>
      <c r="E1922">
        <v>50</v>
      </c>
      <c r="F1922">
        <v>47.884864807</v>
      </c>
      <c r="G1922">
        <v>1384.6854248</v>
      </c>
      <c r="H1922">
        <v>1370.5286865</v>
      </c>
      <c r="I1922">
        <v>1287.1348877</v>
      </c>
      <c r="J1922">
        <v>1267.9099120999999</v>
      </c>
      <c r="K1922">
        <v>2400</v>
      </c>
      <c r="L1922">
        <v>0</v>
      </c>
      <c r="M1922">
        <v>0</v>
      </c>
      <c r="N1922">
        <v>2400</v>
      </c>
    </row>
    <row r="1923" spans="1:14" x14ac:dyDescent="0.25">
      <c r="A1923">
        <v>1497.5130899999999</v>
      </c>
      <c r="B1923" s="1">
        <f>DATE(2014,6,6) + TIME(12,18,50)</f>
        <v>41796.513078703705</v>
      </c>
      <c r="C1923">
        <v>80</v>
      </c>
      <c r="D1923">
        <v>79.962150574000006</v>
      </c>
      <c r="E1923">
        <v>50</v>
      </c>
      <c r="F1923">
        <v>47.843746185000001</v>
      </c>
      <c r="G1923">
        <v>1384.630249</v>
      </c>
      <c r="H1923">
        <v>1370.4852295000001</v>
      </c>
      <c r="I1923">
        <v>1287.1135254000001</v>
      </c>
      <c r="J1923">
        <v>1267.8830565999999</v>
      </c>
      <c r="K1923">
        <v>2400</v>
      </c>
      <c r="L1923">
        <v>0</v>
      </c>
      <c r="M1923">
        <v>0</v>
      </c>
      <c r="N1923">
        <v>2400</v>
      </c>
    </row>
    <row r="1924" spans="1:14" x14ac:dyDescent="0.25">
      <c r="A1924">
        <v>1498.340563</v>
      </c>
      <c r="B1924" s="1">
        <f>DATE(2014,6,7) + TIME(8,10,24)</f>
        <v>41797.340555555558</v>
      </c>
      <c r="C1924">
        <v>80</v>
      </c>
      <c r="D1924">
        <v>79.962142943999993</v>
      </c>
      <c r="E1924">
        <v>50</v>
      </c>
      <c r="F1924">
        <v>47.802333832000002</v>
      </c>
      <c r="G1924">
        <v>1384.5755615</v>
      </c>
      <c r="H1924">
        <v>1370.4420166</v>
      </c>
      <c r="I1924">
        <v>1287.0919189000001</v>
      </c>
      <c r="J1924">
        <v>1267.8557129000001</v>
      </c>
      <c r="K1924">
        <v>2400</v>
      </c>
      <c r="L1924">
        <v>0</v>
      </c>
      <c r="M1924">
        <v>0</v>
      </c>
      <c r="N1924">
        <v>2400</v>
      </c>
    </row>
    <row r="1925" spans="1:14" x14ac:dyDescent="0.25">
      <c r="A1925">
        <v>1499.1791880000001</v>
      </c>
      <c r="B1925" s="1">
        <f>DATE(2014,6,8) + TIME(4,18,1)</f>
        <v>41798.179178240738</v>
      </c>
      <c r="C1925">
        <v>80</v>
      </c>
      <c r="D1925">
        <v>79.962135314999998</v>
      </c>
      <c r="E1925">
        <v>50</v>
      </c>
      <c r="F1925">
        <v>47.760559082</v>
      </c>
      <c r="G1925">
        <v>1384.5211182</v>
      </c>
      <c r="H1925">
        <v>1370.3991699000001</v>
      </c>
      <c r="I1925">
        <v>1287.0697021000001</v>
      </c>
      <c r="J1925">
        <v>1267.8276367000001</v>
      </c>
      <c r="K1925">
        <v>2400</v>
      </c>
      <c r="L1925">
        <v>0</v>
      </c>
      <c r="M1925">
        <v>0</v>
      </c>
      <c r="N1925">
        <v>2400</v>
      </c>
    </row>
    <row r="1926" spans="1:14" x14ac:dyDescent="0.25">
      <c r="A1926">
        <v>1500.031555</v>
      </c>
      <c r="B1926" s="1">
        <f>DATE(2014,6,9) + TIME(0,45,26)</f>
        <v>41799.031550925924</v>
      </c>
      <c r="C1926">
        <v>80</v>
      </c>
      <c r="D1926">
        <v>79.962127686000002</v>
      </c>
      <c r="E1926">
        <v>50</v>
      </c>
      <c r="F1926">
        <v>47.718322753999999</v>
      </c>
      <c r="G1926">
        <v>1384.4669189000001</v>
      </c>
      <c r="H1926">
        <v>1370.3563231999999</v>
      </c>
      <c r="I1926">
        <v>1287.0471190999999</v>
      </c>
      <c r="J1926">
        <v>1267.7988281</v>
      </c>
      <c r="K1926">
        <v>2400</v>
      </c>
      <c r="L1926">
        <v>0</v>
      </c>
      <c r="M1926">
        <v>0</v>
      </c>
      <c r="N1926">
        <v>2400</v>
      </c>
    </row>
    <row r="1927" spans="1:14" x14ac:dyDescent="0.25">
      <c r="A1927">
        <v>1500.900388</v>
      </c>
      <c r="B1927" s="1">
        <f>DATE(2014,6,9) + TIME(21,36,33)</f>
        <v>41799.900381944448</v>
      </c>
      <c r="C1927">
        <v>80</v>
      </c>
      <c r="D1927">
        <v>79.962120056000003</v>
      </c>
      <c r="E1927">
        <v>50</v>
      </c>
      <c r="F1927">
        <v>47.675514221</v>
      </c>
      <c r="G1927">
        <v>1384.4127197</v>
      </c>
      <c r="H1927">
        <v>1370.3133545000001</v>
      </c>
      <c r="I1927">
        <v>1287.0238036999999</v>
      </c>
      <c r="J1927">
        <v>1267.7691649999999</v>
      </c>
      <c r="K1927">
        <v>2400</v>
      </c>
      <c r="L1927">
        <v>0</v>
      </c>
      <c r="M1927">
        <v>0</v>
      </c>
      <c r="N1927">
        <v>2400</v>
      </c>
    </row>
    <row r="1928" spans="1:14" x14ac:dyDescent="0.25">
      <c r="A1928">
        <v>1501.7887479999999</v>
      </c>
      <c r="B1928" s="1">
        <f>DATE(2014,6,10) + TIME(18,55,47)</f>
        <v>41800.788738425923</v>
      </c>
      <c r="C1928">
        <v>80</v>
      </c>
      <c r="D1928">
        <v>79.962112426999994</v>
      </c>
      <c r="E1928">
        <v>50</v>
      </c>
      <c r="F1928">
        <v>47.631996155000003</v>
      </c>
      <c r="G1928">
        <v>1384.3583983999999</v>
      </c>
      <c r="H1928">
        <v>1370.2702637</v>
      </c>
      <c r="I1928">
        <v>1286.9997559000001</v>
      </c>
      <c r="J1928">
        <v>1267.7384033000001</v>
      </c>
      <c r="K1928">
        <v>2400</v>
      </c>
      <c r="L1928">
        <v>0</v>
      </c>
      <c r="M1928">
        <v>0</v>
      </c>
      <c r="N1928">
        <v>2400</v>
      </c>
    </row>
    <row r="1929" spans="1:14" x14ac:dyDescent="0.25">
      <c r="A1929">
        <v>1502.7002729999999</v>
      </c>
      <c r="B1929" s="1">
        <f>DATE(2014,6,11) + TIME(16,48,23)</f>
        <v>41801.700266203705</v>
      </c>
      <c r="C1929">
        <v>80</v>
      </c>
      <c r="D1929">
        <v>79.962104796999995</v>
      </c>
      <c r="E1929">
        <v>50</v>
      </c>
      <c r="F1929">
        <v>47.587615966999998</v>
      </c>
      <c r="G1929">
        <v>1384.3035889</v>
      </c>
      <c r="H1929">
        <v>1370.2269286999999</v>
      </c>
      <c r="I1929">
        <v>1286.9749756000001</v>
      </c>
      <c r="J1929">
        <v>1267.7066649999999</v>
      </c>
      <c r="K1929">
        <v>2400</v>
      </c>
      <c r="L1929">
        <v>0</v>
      </c>
      <c r="M1929">
        <v>0</v>
      </c>
      <c r="N1929">
        <v>2400</v>
      </c>
    </row>
    <row r="1930" spans="1:14" x14ac:dyDescent="0.25">
      <c r="A1930">
        <v>1503.629987</v>
      </c>
      <c r="B1930" s="1">
        <f>DATE(2014,6,12) + TIME(15,7,10)</f>
        <v>41802.629976851851</v>
      </c>
      <c r="C1930">
        <v>80</v>
      </c>
      <c r="D1930">
        <v>79.962097168</v>
      </c>
      <c r="E1930">
        <v>50</v>
      </c>
      <c r="F1930">
        <v>47.542404175000001</v>
      </c>
      <c r="G1930">
        <v>1384.2484131000001</v>
      </c>
      <c r="H1930">
        <v>1370.1831055</v>
      </c>
      <c r="I1930">
        <v>1286.9490966999999</v>
      </c>
      <c r="J1930">
        <v>1267.6735839999999</v>
      </c>
      <c r="K1930">
        <v>2400</v>
      </c>
      <c r="L1930">
        <v>0</v>
      </c>
      <c r="M1930">
        <v>0</v>
      </c>
      <c r="N1930">
        <v>2400</v>
      </c>
    </row>
    <row r="1931" spans="1:14" x14ac:dyDescent="0.25">
      <c r="A1931">
        <v>1504.5754489999999</v>
      </c>
      <c r="B1931" s="1">
        <f>DATE(2014,6,13) + TIME(13,48,38)</f>
        <v>41803.575439814813</v>
      </c>
      <c r="C1931">
        <v>80</v>
      </c>
      <c r="D1931">
        <v>79.962089539000004</v>
      </c>
      <c r="E1931">
        <v>50</v>
      </c>
      <c r="F1931">
        <v>47.496437073000003</v>
      </c>
      <c r="G1931">
        <v>1384.1928711</v>
      </c>
      <c r="H1931">
        <v>1370.1389160000001</v>
      </c>
      <c r="I1931">
        <v>1286.9224853999999</v>
      </c>
      <c r="J1931">
        <v>1267.6392822</v>
      </c>
      <c r="K1931">
        <v>2400</v>
      </c>
      <c r="L1931">
        <v>0</v>
      </c>
      <c r="M1931">
        <v>0</v>
      </c>
      <c r="N1931">
        <v>2400</v>
      </c>
    </row>
    <row r="1932" spans="1:14" x14ac:dyDescent="0.25">
      <c r="A1932">
        <v>1505.5396969999999</v>
      </c>
      <c r="B1932" s="1">
        <f>DATE(2014,6,14) + TIME(12,57,9)</f>
        <v>41804.539687500001</v>
      </c>
      <c r="C1932">
        <v>80</v>
      </c>
      <c r="D1932">
        <v>79.962081909000005</v>
      </c>
      <c r="E1932">
        <v>50</v>
      </c>
      <c r="F1932">
        <v>47.449691772000001</v>
      </c>
      <c r="G1932">
        <v>1384.1374512</v>
      </c>
      <c r="H1932">
        <v>1370.0948486</v>
      </c>
      <c r="I1932">
        <v>1286.8950195</v>
      </c>
      <c r="J1932">
        <v>1267.6038818</v>
      </c>
      <c r="K1932">
        <v>2400</v>
      </c>
      <c r="L1932">
        <v>0</v>
      </c>
      <c r="M1932">
        <v>0</v>
      </c>
      <c r="N1932">
        <v>2400</v>
      </c>
    </row>
    <row r="1933" spans="1:14" x14ac:dyDescent="0.25">
      <c r="A1933">
        <v>1506.507306</v>
      </c>
      <c r="B1933" s="1">
        <f>DATE(2014,6,15) + TIME(12,10,31)</f>
        <v>41805.507303240738</v>
      </c>
      <c r="C1933">
        <v>80</v>
      </c>
      <c r="D1933">
        <v>79.962074279999996</v>
      </c>
      <c r="E1933">
        <v>50</v>
      </c>
      <c r="F1933">
        <v>47.402496337999999</v>
      </c>
      <c r="G1933">
        <v>1384.0816649999999</v>
      </c>
      <c r="H1933">
        <v>1370.0504149999999</v>
      </c>
      <c r="I1933">
        <v>1286.8665771000001</v>
      </c>
      <c r="J1933">
        <v>1267.5671387</v>
      </c>
      <c r="K1933">
        <v>2400</v>
      </c>
      <c r="L1933">
        <v>0</v>
      </c>
      <c r="M1933">
        <v>0</v>
      </c>
      <c r="N1933">
        <v>2400</v>
      </c>
    </row>
    <row r="1934" spans="1:14" x14ac:dyDescent="0.25">
      <c r="A1934">
        <v>1507.4805369999999</v>
      </c>
      <c r="B1934" s="1">
        <f>DATE(2014,6,16) + TIME(11,31,58)</f>
        <v>41806.480532407404</v>
      </c>
      <c r="C1934">
        <v>80</v>
      </c>
      <c r="D1934">
        <v>79.962066649999997</v>
      </c>
      <c r="E1934">
        <v>50</v>
      </c>
      <c r="F1934">
        <v>47.354988098</v>
      </c>
      <c r="G1934">
        <v>1384.0266113</v>
      </c>
      <c r="H1934">
        <v>1370.0064697</v>
      </c>
      <c r="I1934">
        <v>1286.8376464999999</v>
      </c>
      <c r="J1934">
        <v>1267.5296631000001</v>
      </c>
      <c r="K1934">
        <v>2400</v>
      </c>
      <c r="L1934">
        <v>0</v>
      </c>
      <c r="M1934">
        <v>0</v>
      </c>
      <c r="N1934">
        <v>2400</v>
      </c>
    </row>
    <row r="1935" spans="1:14" x14ac:dyDescent="0.25">
      <c r="A1935">
        <v>1508.462329</v>
      </c>
      <c r="B1935" s="1">
        <f>DATE(2014,6,17) + TIME(11,5,45)</f>
        <v>41807.462326388886</v>
      </c>
      <c r="C1935">
        <v>80</v>
      </c>
      <c r="D1935">
        <v>79.962066649999997</v>
      </c>
      <c r="E1935">
        <v>50</v>
      </c>
      <c r="F1935">
        <v>47.307163238999998</v>
      </c>
      <c r="G1935">
        <v>1383.9720459</v>
      </c>
      <c r="H1935">
        <v>1369.9630127</v>
      </c>
      <c r="I1935">
        <v>1286.8081055</v>
      </c>
      <c r="J1935">
        <v>1267.4913329999999</v>
      </c>
      <c r="K1935">
        <v>2400</v>
      </c>
      <c r="L1935">
        <v>0</v>
      </c>
      <c r="M1935">
        <v>0</v>
      </c>
      <c r="N1935">
        <v>2400</v>
      </c>
    </row>
    <row r="1936" spans="1:14" x14ac:dyDescent="0.25">
      <c r="A1936">
        <v>1509.4556359999999</v>
      </c>
      <c r="B1936" s="1">
        <f>DATE(2014,6,18) + TIME(10,56,6)</f>
        <v>41808.455625000002</v>
      </c>
      <c r="C1936">
        <v>80</v>
      </c>
      <c r="D1936">
        <v>79.962059021000002</v>
      </c>
      <c r="E1936">
        <v>50</v>
      </c>
      <c r="F1936">
        <v>47.258930206000002</v>
      </c>
      <c r="G1936">
        <v>1383.9178466999999</v>
      </c>
      <c r="H1936">
        <v>1369.9196777</v>
      </c>
      <c r="I1936">
        <v>1286.7779541</v>
      </c>
      <c r="J1936">
        <v>1267.4519043</v>
      </c>
      <c r="K1936">
        <v>2400</v>
      </c>
      <c r="L1936">
        <v>0</v>
      </c>
      <c r="M1936">
        <v>0</v>
      </c>
      <c r="N1936">
        <v>2400</v>
      </c>
    </row>
    <row r="1937" spans="1:14" x14ac:dyDescent="0.25">
      <c r="A1937">
        <v>1510.4635040000001</v>
      </c>
      <c r="B1937" s="1">
        <f>DATE(2014,6,19) + TIME(11,7,26)</f>
        <v>41809.463495370372</v>
      </c>
      <c r="C1937">
        <v>80</v>
      </c>
      <c r="D1937">
        <v>79.962059021000002</v>
      </c>
      <c r="E1937">
        <v>50</v>
      </c>
      <c r="F1937">
        <v>47.210166931000003</v>
      </c>
      <c r="G1937">
        <v>1383.8638916</v>
      </c>
      <c r="H1937">
        <v>1369.8764647999999</v>
      </c>
      <c r="I1937">
        <v>1286.7469481999999</v>
      </c>
      <c r="J1937">
        <v>1267.4112548999999</v>
      </c>
      <c r="K1937">
        <v>2400</v>
      </c>
      <c r="L1937">
        <v>0</v>
      </c>
      <c r="M1937">
        <v>0</v>
      </c>
      <c r="N1937">
        <v>2400</v>
      </c>
    </row>
    <row r="1938" spans="1:14" x14ac:dyDescent="0.25">
      <c r="A1938">
        <v>1511.4891270000001</v>
      </c>
      <c r="B1938" s="1">
        <f>DATE(2014,6,20) + TIME(11,44,20)</f>
        <v>41810.489120370374</v>
      </c>
      <c r="C1938">
        <v>80</v>
      </c>
      <c r="D1938">
        <v>79.962051392000006</v>
      </c>
      <c r="E1938">
        <v>50</v>
      </c>
      <c r="F1938">
        <v>47.160728454999997</v>
      </c>
      <c r="G1938">
        <v>1383.8098144999999</v>
      </c>
      <c r="H1938">
        <v>1369.8332519999999</v>
      </c>
      <c r="I1938">
        <v>1286.7150879000001</v>
      </c>
      <c r="J1938">
        <v>1267.3693848</v>
      </c>
      <c r="K1938">
        <v>2400</v>
      </c>
      <c r="L1938">
        <v>0</v>
      </c>
      <c r="M1938">
        <v>0</v>
      </c>
      <c r="N1938">
        <v>2400</v>
      </c>
    </row>
    <row r="1939" spans="1:14" x14ac:dyDescent="0.25">
      <c r="A1939">
        <v>1512.535918</v>
      </c>
      <c r="B1939" s="1">
        <f>DATE(2014,6,21) + TIME(12,51,43)</f>
        <v>41811.535914351851</v>
      </c>
      <c r="C1939">
        <v>80</v>
      </c>
      <c r="D1939">
        <v>79.962051392000006</v>
      </c>
      <c r="E1939">
        <v>50</v>
      </c>
      <c r="F1939">
        <v>47.110458373999997</v>
      </c>
      <c r="G1939">
        <v>1383.7557373</v>
      </c>
      <c r="H1939">
        <v>1369.7897949000001</v>
      </c>
      <c r="I1939">
        <v>1286.6821289</v>
      </c>
      <c r="J1939">
        <v>1267.3259277</v>
      </c>
      <c r="K1939">
        <v>2400</v>
      </c>
      <c r="L1939">
        <v>0</v>
      </c>
      <c r="M1939">
        <v>0</v>
      </c>
      <c r="N1939">
        <v>2400</v>
      </c>
    </row>
    <row r="1940" spans="1:14" x14ac:dyDescent="0.25">
      <c r="A1940">
        <v>1513.6059969999999</v>
      </c>
      <c r="B1940" s="1">
        <f>DATE(2014,6,22) + TIME(14,32,38)</f>
        <v>41812.605995370373</v>
      </c>
      <c r="C1940">
        <v>80</v>
      </c>
      <c r="D1940">
        <v>79.962043761999993</v>
      </c>
      <c r="E1940">
        <v>50</v>
      </c>
      <c r="F1940">
        <v>47.059207915999998</v>
      </c>
      <c r="G1940">
        <v>1383.7012939000001</v>
      </c>
      <c r="H1940">
        <v>1369.7460937999999</v>
      </c>
      <c r="I1940">
        <v>1286.6479492000001</v>
      </c>
      <c r="J1940">
        <v>1267.2807617000001</v>
      </c>
      <c r="K1940">
        <v>2400</v>
      </c>
      <c r="L1940">
        <v>0</v>
      </c>
      <c r="M1940">
        <v>0</v>
      </c>
      <c r="N1940">
        <v>2400</v>
      </c>
    </row>
    <row r="1941" spans="1:14" x14ac:dyDescent="0.25">
      <c r="A1941">
        <v>1514.696974</v>
      </c>
      <c r="B1941" s="1">
        <f>DATE(2014,6,23) + TIME(16,43,38)</f>
        <v>41813.696967592594</v>
      </c>
      <c r="C1941">
        <v>80</v>
      </c>
      <c r="D1941">
        <v>79.962043761999993</v>
      </c>
      <c r="E1941">
        <v>50</v>
      </c>
      <c r="F1941">
        <v>47.006954192999999</v>
      </c>
      <c r="G1941">
        <v>1383.6463623</v>
      </c>
      <c r="H1941">
        <v>1369.7020264</v>
      </c>
      <c r="I1941">
        <v>1286.6125488</v>
      </c>
      <c r="J1941">
        <v>1267.2336425999999</v>
      </c>
      <c r="K1941">
        <v>2400</v>
      </c>
      <c r="L1941">
        <v>0</v>
      </c>
      <c r="M1941">
        <v>0</v>
      </c>
      <c r="N1941">
        <v>2400</v>
      </c>
    </row>
    <row r="1942" spans="1:14" x14ac:dyDescent="0.25">
      <c r="A1942">
        <v>1515.812563</v>
      </c>
      <c r="B1942" s="1">
        <f>DATE(2014,6,24) + TIME(19,30,5)</f>
        <v>41814.812557870369</v>
      </c>
      <c r="C1942">
        <v>80</v>
      </c>
      <c r="D1942">
        <v>79.962043761999993</v>
      </c>
      <c r="E1942">
        <v>50</v>
      </c>
      <c r="F1942">
        <v>46.953598022000001</v>
      </c>
      <c r="G1942">
        <v>1383.5913086</v>
      </c>
      <c r="H1942">
        <v>1369.6577147999999</v>
      </c>
      <c r="I1942">
        <v>1286.5758057</v>
      </c>
      <c r="J1942">
        <v>1267.1848144999999</v>
      </c>
      <c r="K1942">
        <v>2400</v>
      </c>
      <c r="L1942">
        <v>0</v>
      </c>
      <c r="M1942">
        <v>0</v>
      </c>
      <c r="N1942">
        <v>2400</v>
      </c>
    </row>
    <row r="1943" spans="1:14" x14ac:dyDescent="0.25">
      <c r="A1943">
        <v>1516.953669</v>
      </c>
      <c r="B1943" s="1">
        <f>DATE(2014,6,25) + TIME(22,53,16)</f>
        <v>41815.953657407408</v>
      </c>
      <c r="C1943">
        <v>80</v>
      </c>
      <c r="D1943">
        <v>79.962043761999993</v>
      </c>
      <c r="E1943">
        <v>50</v>
      </c>
      <c r="F1943">
        <v>46.899055480999998</v>
      </c>
      <c r="G1943">
        <v>1383.5357666</v>
      </c>
      <c r="H1943">
        <v>1369.6129149999999</v>
      </c>
      <c r="I1943">
        <v>1286.5375977000001</v>
      </c>
      <c r="J1943">
        <v>1267.1336670000001</v>
      </c>
      <c r="K1943">
        <v>2400</v>
      </c>
      <c r="L1943">
        <v>0</v>
      </c>
      <c r="M1943">
        <v>0</v>
      </c>
      <c r="N1943">
        <v>2400</v>
      </c>
    </row>
    <row r="1944" spans="1:14" x14ac:dyDescent="0.25">
      <c r="A1944">
        <v>1518.097399</v>
      </c>
      <c r="B1944" s="1">
        <f>DATE(2014,6,27) + TIME(2,20,15)</f>
        <v>41817.097395833334</v>
      </c>
      <c r="C1944">
        <v>80</v>
      </c>
      <c r="D1944">
        <v>79.962043761999993</v>
      </c>
      <c r="E1944">
        <v>50</v>
      </c>
      <c r="F1944">
        <v>46.843742370999998</v>
      </c>
      <c r="G1944">
        <v>1383.4797363</v>
      </c>
      <c r="H1944">
        <v>1369.567749</v>
      </c>
      <c r="I1944">
        <v>1286.4978027</v>
      </c>
      <c r="J1944">
        <v>1267.0804443</v>
      </c>
      <c r="K1944">
        <v>2400</v>
      </c>
      <c r="L1944">
        <v>0</v>
      </c>
      <c r="M1944">
        <v>0</v>
      </c>
      <c r="N1944">
        <v>2400</v>
      </c>
    </row>
    <row r="1945" spans="1:14" x14ac:dyDescent="0.25">
      <c r="A1945">
        <v>1519.247239</v>
      </c>
      <c r="B1945" s="1">
        <f>DATE(2014,6,28) + TIME(5,56,1)</f>
        <v>41818.247233796297</v>
      </c>
      <c r="C1945">
        <v>80</v>
      </c>
      <c r="D1945">
        <v>79.962036132999998</v>
      </c>
      <c r="E1945">
        <v>50</v>
      </c>
      <c r="F1945">
        <v>46.787914276000002</v>
      </c>
      <c r="G1945">
        <v>1383.4244385</v>
      </c>
      <c r="H1945">
        <v>1369.5230713000001</v>
      </c>
      <c r="I1945">
        <v>1286.4572754000001</v>
      </c>
      <c r="J1945">
        <v>1267.026001</v>
      </c>
      <c r="K1945">
        <v>2400</v>
      </c>
      <c r="L1945">
        <v>0</v>
      </c>
      <c r="M1945">
        <v>0</v>
      </c>
      <c r="N1945">
        <v>2400</v>
      </c>
    </row>
    <row r="1946" spans="1:14" x14ac:dyDescent="0.25">
      <c r="A1946">
        <v>1520.406686</v>
      </c>
      <c r="B1946" s="1">
        <f>DATE(2014,6,29) + TIME(9,45,37)</f>
        <v>41819.406678240739</v>
      </c>
      <c r="C1946">
        <v>80</v>
      </c>
      <c r="D1946">
        <v>79.962036132999998</v>
      </c>
      <c r="E1946">
        <v>50</v>
      </c>
      <c r="F1946">
        <v>46.731575012</v>
      </c>
      <c r="G1946">
        <v>1383.3696289</v>
      </c>
      <c r="H1946">
        <v>1369.4787598</v>
      </c>
      <c r="I1946">
        <v>1286.4157714999999</v>
      </c>
      <c r="J1946">
        <v>1266.9698486</v>
      </c>
      <c r="K1946">
        <v>2400</v>
      </c>
      <c r="L1946">
        <v>0</v>
      </c>
      <c r="M1946">
        <v>0</v>
      </c>
      <c r="N1946">
        <v>2400</v>
      </c>
    </row>
    <row r="1947" spans="1:14" x14ac:dyDescent="0.25">
      <c r="A1947">
        <v>1521.5792590000001</v>
      </c>
      <c r="B1947" s="1">
        <f>DATE(2014,6,30) + TIME(13,54,7)</f>
        <v>41820.579247685186</v>
      </c>
      <c r="C1947">
        <v>80</v>
      </c>
      <c r="D1947">
        <v>79.962036132999998</v>
      </c>
      <c r="E1947">
        <v>50</v>
      </c>
      <c r="F1947">
        <v>46.674617767000001</v>
      </c>
      <c r="G1947">
        <v>1383.3151855000001</v>
      </c>
      <c r="H1947">
        <v>1369.4345702999999</v>
      </c>
      <c r="I1947">
        <v>1286.3732910000001</v>
      </c>
      <c r="J1947">
        <v>1266.9122314000001</v>
      </c>
      <c r="K1947">
        <v>2400</v>
      </c>
      <c r="L1947">
        <v>0</v>
      </c>
      <c r="M1947">
        <v>0</v>
      </c>
      <c r="N1947">
        <v>2400</v>
      </c>
    </row>
    <row r="1948" spans="1:14" x14ac:dyDescent="0.25">
      <c r="A1948">
        <v>1522</v>
      </c>
      <c r="B1948" s="1">
        <f>DATE(2014,7,1) + TIME(0,0,0)</f>
        <v>41821</v>
      </c>
      <c r="C1948">
        <v>80</v>
      </c>
      <c r="D1948">
        <v>79.962028502999999</v>
      </c>
      <c r="E1948">
        <v>50</v>
      </c>
      <c r="F1948">
        <v>46.642070769999997</v>
      </c>
      <c r="G1948">
        <v>1383.2611084</v>
      </c>
      <c r="H1948">
        <v>1369.3907471</v>
      </c>
      <c r="I1948">
        <v>1286.3288574000001</v>
      </c>
      <c r="J1948">
        <v>1266.8587646000001</v>
      </c>
      <c r="K1948">
        <v>2400</v>
      </c>
      <c r="L1948">
        <v>0</v>
      </c>
      <c r="M1948">
        <v>0</v>
      </c>
      <c r="N1948">
        <v>2400</v>
      </c>
    </row>
    <row r="1949" spans="1:14" x14ac:dyDescent="0.25">
      <c r="A1949">
        <v>1523.183941</v>
      </c>
      <c r="B1949" s="1">
        <f>DATE(2014,7,2) + TIME(4,24,52)</f>
        <v>41822.183935185189</v>
      </c>
      <c r="C1949">
        <v>80</v>
      </c>
      <c r="D1949">
        <v>79.962036132999998</v>
      </c>
      <c r="E1949">
        <v>50</v>
      </c>
      <c r="F1949">
        <v>46.591217041</v>
      </c>
      <c r="G1949">
        <v>1383.2412108999999</v>
      </c>
      <c r="H1949">
        <v>1369.3746338000001</v>
      </c>
      <c r="I1949">
        <v>1286.3132324000001</v>
      </c>
      <c r="J1949">
        <v>1266.8287353999999</v>
      </c>
      <c r="K1949">
        <v>2400</v>
      </c>
      <c r="L1949">
        <v>0</v>
      </c>
      <c r="M1949">
        <v>0</v>
      </c>
      <c r="N1949">
        <v>2400</v>
      </c>
    </row>
    <row r="1950" spans="1:14" x14ac:dyDescent="0.25">
      <c r="A1950">
        <v>1524.3890100000001</v>
      </c>
      <c r="B1950" s="1">
        <f>DATE(2014,7,3) + TIME(9,20,10)</f>
        <v>41823.389004629629</v>
      </c>
      <c r="C1950">
        <v>80</v>
      </c>
      <c r="D1950">
        <v>79.962043761999993</v>
      </c>
      <c r="E1950">
        <v>50</v>
      </c>
      <c r="F1950">
        <v>46.535568237</v>
      </c>
      <c r="G1950">
        <v>1383.1876221</v>
      </c>
      <c r="H1950">
        <v>1369.3310547000001</v>
      </c>
      <c r="I1950">
        <v>1286.2681885</v>
      </c>
      <c r="J1950">
        <v>1266.7680664</v>
      </c>
      <c r="K1950">
        <v>2400</v>
      </c>
      <c r="L1950">
        <v>0</v>
      </c>
      <c r="M1950">
        <v>0</v>
      </c>
      <c r="N1950">
        <v>2400</v>
      </c>
    </row>
    <row r="1951" spans="1:14" x14ac:dyDescent="0.25">
      <c r="A1951">
        <v>1525.6135730000001</v>
      </c>
      <c r="B1951" s="1">
        <f>DATE(2014,7,4) + TIME(14,43,32)</f>
        <v>41824.613564814812</v>
      </c>
      <c r="C1951">
        <v>80</v>
      </c>
      <c r="D1951">
        <v>79.962043761999993</v>
      </c>
      <c r="E1951">
        <v>50</v>
      </c>
      <c r="F1951">
        <v>46.477199554000002</v>
      </c>
      <c r="G1951">
        <v>1383.1335449000001</v>
      </c>
      <c r="H1951">
        <v>1369.2871094</v>
      </c>
      <c r="I1951">
        <v>1286.2214355000001</v>
      </c>
      <c r="J1951">
        <v>1266.7041016000001</v>
      </c>
      <c r="K1951">
        <v>2400</v>
      </c>
      <c r="L1951">
        <v>0</v>
      </c>
      <c r="M1951">
        <v>0</v>
      </c>
      <c r="N1951">
        <v>2400</v>
      </c>
    </row>
    <row r="1952" spans="1:14" x14ac:dyDescent="0.25">
      <c r="A1952">
        <v>1526.861539</v>
      </c>
      <c r="B1952" s="1">
        <f>DATE(2014,7,5) + TIME(20,40,36)</f>
        <v>41825.861527777779</v>
      </c>
      <c r="C1952">
        <v>80</v>
      </c>
      <c r="D1952">
        <v>79.962051392000006</v>
      </c>
      <c r="E1952">
        <v>50</v>
      </c>
      <c r="F1952">
        <v>46.416942595999998</v>
      </c>
      <c r="G1952">
        <v>1383.0793457</v>
      </c>
      <c r="H1952">
        <v>1369.2429199000001</v>
      </c>
      <c r="I1952">
        <v>1286.1730957</v>
      </c>
      <c r="J1952">
        <v>1266.6374512</v>
      </c>
      <c r="K1952">
        <v>2400</v>
      </c>
      <c r="L1952">
        <v>0</v>
      </c>
      <c r="M1952">
        <v>0</v>
      </c>
      <c r="N1952">
        <v>2400</v>
      </c>
    </row>
    <row r="1953" spans="1:14" x14ac:dyDescent="0.25">
      <c r="A1953">
        <v>1528.13705</v>
      </c>
      <c r="B1953" s="1">
        <f>DATE(2014,7,7) + TIME(3,17,21)</f>
        <v>41827.137048611112</v>
      </c>
      <c r="C1953">
        <v>80</v>
      </c>
      <c r="D1953">
        <v>79.962051392000006</v>
      </c>
      <c r="E1953">
        <v>50</v>
      </c>
      <c r="F1953">
        <v>46.355007172000001</v>
      </c>
      <c r="G1953">
        <v>1383.0247803</v>
      </c>
      <c r="H1953">
        <v>1369.1984863</v>
      </c>
      <c r="I1953">
        <v>1286.1229248</v>
      </c>
      <c r="J1953">
        <v>1266.5679932</v>
      </c>
      <c r="K1953">
        <v>2400</v>
      </c>
      <c r="L1953">
        <v>0</v>
      </c>
      <c r="M1953">
        <v>0</v>
      </c>
      <c r="N1953">
        <v>2400</v>
      </c>
    </row>
    <row r="1954" spans="1:14" x14ac:dyDescent="0.25">
      <c r="A1954">
        <v>1529.445009</v>
      </c>
      <c r="B1954" s="1">
        <f>DATE(2014,7,8) + TIME(10,40,48)</f>
        <v>41828.445</v>
      </c>
      <c r="C1954">
        <v>80</v>
      </c>
      <c r="D1954">
        <v>79.962051392000006</v>
      </c>
      <c r="E1954">
        <v>50</v>
      </c>
      <c r="F1954">
        <v>46.291336059999999</v>
      </c>
      <c r="G1954">
        <v>1382.9698486</v>
      </c>
      <c r="H1954">
        <v>1369.1535644999999</v>
      </c>
      <c r="I1954">
        <v>1286.0706786999999</v>
      </c>
      <c r="J1954">
        <v>1266.4953613</v>
      </c>
      <c r="K1954">
        <v>2400</v>
      </c>
      <c r="L1954">
        <v>0</v>
      </c>
      <c r="M1954">
        <v>0</v>
      </c>
      <c r="N1954">
        <v>2400</v>
      </c>
    </row>
    <row r="1955" spans="1:14" x14ac:dyDescent="0.25">
      <c r="A1955">
        <v>1530.775251</v>
      </c>
      <c r="B1955" s="1">
        <f>DATE(2014,7,9) + TIME(18,36,21)</f>
        <v>41829.775243055556</v>
      </c>
      <c r="C1955">
        <v>80</v>
      </c>
      <c r="D1955">
        <v>79.962059021000002</v>
      </c>
      <c r="E1955">
        <v>50</v>
      </c>
      <c r="F1955">
        <v>46.226036071999999</v>
      </c>
      <c r="G1955">
        <v>1382.9143065999999</v>
      </c>
      <c r="H1955">
        <v>1369.1080322</v>
      </c>
      <c r="I1955">
        <v>1286.0162353999999</v>
      </c>
      <c r="J1955">
        <v>1266.4194336</v>
      </c>
      <c r="K1955">
        <v>2400</v>
      </c>
      <c r="L1955">
        <v>0</v>
      </c>
      <c r="M1955">
        <v>0</v>
      </c>
      <c r="N1955">
        <v>2400</v>
      </c>
    </row>
    <row r="1956" spans="1:14" x14ac:dyDescent="0.25">
      <c r="A1956">
        <v>1532.106892</v>
      </c>
      <c r="B1956" s="1">
        <f>DATE(2014,7,11) + TIME(2,33,55)</f>
        <v>41831.106886574074</v>
      </c>
      <c r="C1956">
        <v>80</v>
      </c>
      <c r="D1956">
        <v>79.962066649999997</v>
      </c>
      <c r="E1956">
        <v>50</v>
      </c>
      <c r="F1956">
        <v>46.159641266000001</v>
      </c>
      <c r="G1956">
        <v>1382.8583983999999</v>
      </c>
      <c r="H1956">
        <v>1369.0623779</v>
      </c>
      <c r="I1956">
        <v>1285.9597168</v>
      </c>
      <c r="J1956">
        <v>1266.3404541</v>
      </c>
      <c r="K1956">
        <v>2400</v>
      </c>
      <c r="L1956">
        <v>0</v>
      </c>
      <c r="M1956">
        <v>0</v>
      </c>
      <c r="N1956">
        <v>2400</v>
      </c>
    </row>
    <row r="1957" spans="1:14" x14ac:dyDescent="0.25">
      <c r="A1957">
        <v>1533.4437390000001</v>
      </c>
      <c r="B1957" s="1">
        <f>DATE(2014,7,12) + TIME(10,38,59)</f>
        <v>41832.443738425929</v>
      </c>
      <c r="C1957">
        <v>80</v>
      </c>
      <c r="D1957">
        <v>79.962066649999997</v>
      </c>
      <c r="E1957">
        <v>50</v>
      </c>
      <c r="F1957">
        <v>46.092502594000003</v>
      </c>
      <c r="G1957">
        <v>1382.8033447</v>
      </c>
      <c r="H1957">
        <v>1369.0170897999999</v>
      </c>
      <c r="I1957">
        <v>1285.9022216999999</v>
      </c>
      <c r="J1957">
        <v>1266.2595214999999</v>
      </c>
      <c r="K1957">
        <v>2400</v>
      </c>
      <c r="L1957">
        <v>0</v>
      </c>
      <c r="M1957">
        <v>0</v>
      </c>
      <c r="N1957">
        <v>2400</v>
      </c>
    </row>
    <row r="1958" spans="1:14" x14ac:dyDescent="0.25">
      <c r="A1958">
        <v>1534.7896249999999</v>
      </c>
      <c r="B1958" s="1">
        <f>DATE(2014,7,13) + TIME(18,57,3)</f>
        <v>41833.789618055554</v>
      </c>
      <c r="C1958">
        <v>80</v>
      </c>
      <c r="D1958">
        <v>79.962074279999996</v>
      </c>
      <c r="E1958">
        <v>50</v>
      </c>
      <c r="F1958">
        <v>46.024627686000002</v>
      </c>
      <c r="G1958">
        <v>1382.7486572</v>
      </c>
      <c r="H1958">
        <v>1368.972168</v>
      </c>
      <c r="I1958">
        <v>1285.8433838000001</v>
      </c>
      <c r="J1958">
        <v>1266.1763916</v>
      </c>
      <c r="K1958">
        <v>2400</v>
      </c>
      <c r="L1958">
        <v>0</v>
      </c>
      <c r="M1958">
        <v>0</v>
      </c>
      <c r="N1958">
        <v>2400</v>
      </c>
    </row>
    <row r="1959" spans="1:14" x14ac:dyDescent="0.25">
      <c r="A1959">
        <v>1536.148412</v>
      </c>
      <c r="B1959" s="1">
        <f>DATE(2014,7,15) + TIME(3,33,42)</f>
        <v>41835.148402777777</v>
      </c>
      <c r="C1959">
        <v>80</v>
      </c>
      <c r="D1959">
        <v>79.962081909000005</v>
      </c>
      <c r="E1959">
        <v>50</v>
      </c>
      <c r="F1959">
        <v>45.955886841000002</v>
      </c>
      <c r="G1959">
        <v>1382.6944579999999</v>
      </c>
      <c r="H1959">
        <v>1368.9276123</v>
      </c>
      <c r="I1959">
        <v>1285.7830810999999</v>
      </c>
      <c r="J1959">
        <v>1266.0909423999999</v>
      </c>
      <c r="K1959">
        <v>2400</v>
      </c>
      <c r="L1959">
        <v>0</v>
      </c>
      <c r="M1959">
        <v>0</v>
      </c>
      <c r="N1959">
        <v>2400</v>
      </c>
    </row>
    <row r="1960" spans="1:14" x14ac:dyDescent="0.25">
      <c r="A1960">
        <v>1537.5240429999999</v>
      </c>
      <c r="B1960" s="1">
        <f>DATE(2014,7,16) + TIME(12,34,37)</f>
        <v>41836.524039351854</v>
      </c>
      <c r="C1960">
        <v>80</v>
      </c>
      <c r="D1960">
        <v>79.962089539000004</v>
      </c>
      <c r="E1960">
        <v>50</v>
      </c>
      <c r="F1960">
        <v>45.88609314</v>
      </c>
      <c r="G1960">
        <v>1382.6403809000001</v>
      </c>
      <c r="H1960">
        <v>1368.8830565999999</v>
      </c>
      <c r="I1960">
        <v>1285.7211914</v>
      </c>
      <c r="J1960">
        <v>1266.0028076000001</v>
      </c>
      <c r="K1960">
        <v>2400</v>
      </c>
      <c r="L1960">
        <v>0</v>
      </c>
      <c r="M1960">
        <v>0</v>
      </c>
      <c r="N1960">
        <v>2400</v>
      </c>
    </row>
    <row r="1961" spans="1:14" x14ac:dyDescent="0.25">
      <c r="A1961">
        <v>1538.9206489999999</v>
      </c>
      <c r="B1961" s="1">
        <f>DATE(2014,7,17) + TIME(22,5,44)</f>
        <v>41837.920648148145</v>
      </c>
      <c r="C1961">
        <v>80</v>
      </c>
      <c r="D1961">
        <v>79.962097168</v>
      </c>
      <c r="E1961">
        <v>50</v>
      </c>
      <c r="F1961">
        <v>45.815036773999999</v>
      </c>
      <c r="G1961">
        <v>1382.5863036999999</v>
      </c>
      <c r="H1961">
        <v>1368.8383789</v>
      </c>
      <c r="I1961">
        <v>1285.6574707</v>
      </c>
      <c r="J1961">
        <v>1265.9117432</v>
      </c>
      <c r="K1961">
        <v>2400</v>
      </c>
      <c r="L1961">
        <v>0</v>
      </c>
      <c r="M1961">
        <v>0</v>
      </c>
      <c r="N1961">
        <v>2400</v>
      </c>
    </row>
    <row r="1962" spans="1:14" x14ac:dyDescent="0.25">
      <c r="A1962">
        <v>1540.342584</v>
      </c>
      <c r="B1962" s="1">
        <f>DATE(2014,7,19) + TIME(8,13,19)</f>
        <v>41839.342581018522</v>
      </c>
      <c r="C1962">
        <v>80</v>
      </c>
      <c r="D1962">
        <v>79.962104796999995</v>
      </c>
      <c r="E1962">
        <v>50</v>
      </c>
      <c r="F1962">
        <v>45.742473601999997</v>
      </c>
      <c r="G1962">
        <v>1382.5321045000001</v>
      </c>
      <c r="H1962">
        <v>1368.7935791</v>
      </c>
      <c r="I1962">
        <v>1285.5916748</v>
      </c>
      <c r="J1962">
        <v>1265.8172606999999</v>
      </c>
      <c r="K1962">
        <v>2400</v>
      </c>
      <c r="L1962">
        <v>0</v>
      </c>
      <c r="M1962">
        <v>0</v>
      </c>
      <c r="N1962">
        <v>2400</v>
      </c>
    </row>
    <row r="1963" spans="1:14" x14ac:dyDescent="0.25">
      <c r="A1963">
        <v>1541.794521</v>
      </c>
      <c r="B1963" s="1">
        <f>DATE(2014,7,20) + TIME(19,4,6)</f>
        <v>41840.79451388889</v>
      </c>
      <c r="C1963">
        <v>80</v>
      </c>
      <c r="D1963">
        <v>79.962112426999994</v>
      </c>
      <c r="E1963">
        <v>50</v>
      </c>
      <c r="F1963">
        <v>45.668148041000002</v>
      </c>
      <c r="G1963">
        <v>1382.4776611</v>
      </c>
      <c r="H1963">
        <v>1368.7485352000001</v>
      </c>
      <c r="I1963">
        <v>1285.5236815999999</v>
      </c>
      <c r="J1963">
        <v>1265.7192382999999</v>
      </c>
      <c r="K1963">
        <v>2400</v>
      </c>
      <c r="L1963">
        <v>0</v>
      </c>
      <c r="M1963">
        <v>0</v>
      </c>
      <c r="N1963">
        <v>2400</v>
      </c>
    </row>
    <row r="1964" spans="1:14" x14ac:dyDescent="0.25">
      <c r="A1964">
        <v>1543.2815619999999</v>
      </c>
      <c r="B1964" s="1">
        <f>DATE(2014,7,22) + TIME(6,45,26)</f>
        <v>41842.281550925924</v>
      </c>
      <c r="C1964">
        <v>80</v>
      </c>
      <c r="D1964">
        <v>79.962120056000003</v>
      </c>
      <c r="E1964">
        <v>50</v>
      </c>
      <c r="F1964">
        <v>45.591777802000003</v>
      </c>
      <c r="G1964">
        <v>1382.4226074000001</v>
      </c>
      <c r="H1964">
        <v>1368.7030029</v>
      </c>
      <c r="I1964">
        <v>1285.4530029</v>
      </c>
      <c r="J1964">
        <v>1265.6170654</v>
      </c>
      <c r="K1964">
        <v>2400</v>
      </c>
      <c r="L1964">
        <v>0</v>
      </c>
      <c r="M1964">
        <v>0</v>
      </c>
      <c r="N1964">
        <v>2400</v>
      </c>
    </row>
    <row r="1965" spans="1:14" x14ac:dyDescent="0.25">
      <c r="A1965">
        <v>1544.7999170000001</v>
      </c>
      <c r="B1965" s="1">
        <f>DATE(2014,7,23) + TIME(19,11,52)</f>
        <v>41843.799907407411</v>
      </c>
      <c r="C1965">
        <v>80</v>
      </c>
      <c r="D1965">
        <v>79.962127686000002</v>
      </c>
      <c r="E1965">
        <v>50</v>
      </c>
      <c r="F1965">
        <v>45.513229369999998</v>
      </c>
      <c r="G1965">
        <v>1382.3670654</v>
      </c>
      <c r="H1965">
        <v>1368.6568603999999</v>
      </c>
      <c r="I1965">
        <v>1285.3793945</v>
      </c>
      <c r="J1965">
        <v>1265.5102539</v>
      </c>
      <c r="K1965">
        <v>2400</v>
      </c>
      <c r="L1965">
        <v>0</v>
      </c>
      <c r="M1965">
        <v>0</v>
      </c>
      <c r="N1965">
        <v>2400</v>
      </c>
    </row>
    <row r="1966" spans="1:14" x14ac:dyDescent="0.25">
      <c r="A1966">
        <v>1546.3233210000001</v>
      </c>
      <c r="B1966" s="1">
        <f>DATE(2014,7,25) + TIME(7,45,34)</f>
        <v>41845.323310185187</v>
      </c>
      <c r="C1966">
        <v>80</v>
      </c>
      <c r="D1966">
        <v>79.962135314999998</v>
      </c>
      <c r="E1966">
        <v>50</v>
      </c>
      <c r="F1966">
        <v>45.432975769000002</v>
      </c>
      <c r="G1966">
        <v>1382.3110352000001</v>
      </c>
      <c r="H1966">
        <v>1368.6103516000001</v>
      </c>
      <c r="I1966">
        <v>1285.3031006000001</v>
      </c>
      <c r="J1966">
        <v>1265.3992920000001</v>
      </c>
      <c r="K1966">
        <v>2400</v>
      </c>
      <c r="L1966">
        <v>0</v>
      </c>
      <c r="M1966">
        <v>0</v>
      </c>
      <c r="N1966">
        <v>2400</v>
      </c>
    </row>
    <row r="1967" spans="1:14" x14ac:dyDescent="0.25">
      <c r="A1967">
        <v>1547.852202</v>
      </c>
      <c r="B1967" s="1">
        <f>DATE(2014,7,26) + TIME(20,27,10)</f>
        <v>41846.852199074077</v>
      </c>
      <c r="C1967">
        <v>80</v>
      </c>
      <c r="D1967">
        <v>79.962150574000006</v>
      </c>
      <c r="E1967">
        <v>50</v>
      </c>
      <c r="F1967">
        <v>45.351558685000001</v>
      </c>
      <c r="G1967">
        <v>1382.2554932</v>
      </c>
      <c r="H1967">
        <v>1368.5640868999999</v>
      </c>
      <c r="I1967">
        <v>1285.2252197</v>
      </c>
      <c r="J1967">
        <v>1265.2854004000001</v>
      </c>
      <c r="K1967">
        <v>2400</v>
      </c>
      <c r="L1967">
        <v>0</v>
      </c>
      <c r="M1967">
        <v>0</v>
      </c>
      <c r="N1967">
        <v>2400</v>
      </c>
    </row>
    <row r="1968" spans="1:14" x14ac:dyDescent="0.25">
      <c r="A1968">
        <v>1549.390958</v>
      </c>
      <c r="B1968" s="1">
        <f>DATE(2014,7,28) + TIME(9,22,58)</f>
        <v>41848.390949074077</v>
      </c>
      <c r="C1968">
        <v>80</v>
      </c>
      <c r="D1968">
        <v>79.962158203000001</v>
      </c>
      <c r="E1968">
        <v>50</v>
      </c>
      <c r="F1968">
        <v>45.269065857000001</v>
      </c>
      <c r="G1968">
        <v>1382.2005615</v>
      </c>
      <c r="H1968">
        <v>1368.5181885</v>
      </c>
      <c r="I1968">
        <v>1285.1457519999999</v>
      </c>
      <c r="J1968">
        <v>1265.1688231999999</v>
      </c>
      <c r="K1968">
        <v>2400</v>
      </c>
      <c r="L1968">
        <v>0</v>
      </c>
      <c r="M1968">
        <v>0</v>
      </c>
      <c r="N1968">
        <v>2400</v>
      </c>
    </row>
    <row r="1969" spans="1:14" x14ac:dyDescent="0.25">
      <c r="A1969">
        <v>1550.9440050000001</v>
      </c>
      <c r="B1969" s="1">
        <f>DATE(2014,7,29) + TIME(22,39,22)</f>
        <v>41849.944004629629</v>
      </c>
      <c r="C1969">
        <v>80</v>
      </c>
      <c r="D1969">
        <v>79.962165833</v>
      </c>
      <c r="E1969">
        <v>50</v>
      </c>
      <c r="F1969">
        <v>45.185382842999999</v>
      </c>
      <c r="G1969">
        <v>1382.1457519999999</v>
      </c>
      <c r="H1969">
        <v>1368.4725341999999</v>
      </c>
      <c r="I1969">
        <v>1285.0646973</v>
      </c>
      <c r="J1969">
        <v>1265.0491943</v>
      </c>
      <c r="K1969">
        <v>2400</v>
      </c>
      <c r="L1969">
        <v>0</v>
      </c>
      <c r="M1969">
        <v>0</v>
      </c>
      <c r="N1969">
        <v>2400</v>
      </c>
    </row>
    <row r="1970" spans="1:14" x14ac:dyDescent="0.25">
      <c r="A1970">
        <v>1552.515879</v>
      </c>
      <c r="B1970" s="1">
        <f>DATE(2014,7,31) + TIME(12,22,51)</f>
        <v>41851.515868055554</v>
      </c>
      <c r="C1970">
        <v>80</v>
      </c>
      <c r="D1970">
        <v>79.962181091000005</v>
      </c>
      <c r="E1970">
        <v>50</v>
      </c>
      <c r="F1970">
        <v>45.100299835000001</v>
      </c>
      <c r="G1970">
        <v>1382.0911865</v>
      </c>
      <c r="H1970">
        <v>1368.4268798999999</v>
      </c>
      <c r="I1970">
        <v>1284.9815673999999</v>
      </c>
      <c r="J1970">
        <v>1264.9261475000001</v>
      </c>
      <c r="K1970">
        <v>2400</v>
      </c>
      <c r="L1970">
        <v>0</v>
      </c>
      <c r="M1970">
        <v>0</v>
      </c>
      <c r="N1970">
        <v>2400</v>
      </c>
    </row>
    <row r="1971" spans="1:14" x14ac:dyDescent="0.25">
      <c r="A1971">
        <v>1553</v>
      </c>
      <c r="B1971" s="1">
        <f>DATE(2014,8,1) + TIME(0,0,0)</f>
        <v>41852</v>
      </c>
      <c r="C1971">
        <v>80</v>
      </c>
      <c r="D1971">
        <v>79.962173461999996</v>
      </c>
      <c r="E1971">
        <v>50</v>
      </c>
      <c r="F1971">
        <v>45.05242157</v>
      </c>
      <c r="G1971">
        <v>1382.0369873</v>
      </c>
      <c r="H1971">
        <v>1368.3814697</v>
      </c>
      <c r="I1971">
        <v>1284.8986815999999</v>
      </c>
      <c r="J1971">
        <v>1264.8164062000001</v>
      </c>
      <c r="K1971">
        <v>2400</v>
      </c>
      <c r="L1971">
        <v>0</v>
      </c>
      <c r="M1971">
        <v>0</v>
      </c>
      <c r="N1971">
        <v>2400</v>
      </c>
    </row>
    <row r="1972" spans="1:14" x14ac:dyDescent="0.25">
      <c r="A1972">
        <v>1554.5954400000001</v>
      </c>
      <c r="B1972" s="1">
        <f>DATE(2014,8,2) + TIME(14,17,26)</f>
        <v>41853.595439814817</v>
      </c>
      <c r="C1972">
        <v>80</v>
      </c>
      <c r="D1972">
        <v>79.962196349999999</v>
      </c>
      <c r="E1972">
        <v>50</v>
      </c>
      <c r="F1972">
        <v>44.979183196999998</v>
      </c>
      <c r="G1972">
        <v>1382.0197754000001</v>
      </c>
      <c r="H1972">
        <v>1368.3669434000001</v>
      </c>
      <c r="I1972">
        <v>1284.8676757999999</v>
      </c>
      <c r="J1972">
        <v>1264.7540283000001</v>
      </c>
      <c r="K1972">
        <v>2400</v>
      </c>
      <c r="L1972">
        <v>0</v>
      </c>
      <c r="M1972">
        <v>0</v>
      </c>
      <c r="N1972">
        <v>2400</v>
      </c>
    </row>
    <row r="1973" spans="1:14" x14ac:dyDescent="0.25">
      <c r="A1973">
        <v>1556.2295899999999</v>
      </c>
      <c r="B1973" s="1">
        <f>DATE(2014,8,4) + TIME(5,30,36)</f>
        <v>41855.229583333334</v>
      </c>
      <c r="C1973">
        <v>80</v>
      </c>
      <c r="D1973">
        <v>79.962211608999993</v>
      </c>
      <c r="E1973">
        <v>50</v>
      </c>
      <c r="F1973">
        <v>44.895004272000001</v>
      </c>
      <c r="G1973">
        <v>1381.9654541</v>
      </c>
      <c r="H1973">
        <v>1368.3214111</v>
      </c>
      <c r="I1973">
        <v>1284.7807617000001</v>
      </c>
      <c r="J1973">
        <v>1264.6260986</v>
      </c>
      <c r="K1973">
        <v>2400</v>
      </c>
      <c r="L1973">
        <v>0</v>
      </c>
      <c r="M1973">
        <v>0</v>
      </c>
      <c r="N1973">
        <v>2400</v>
      </c>
    </row>
    <row r="1974" spans="1:14" x14ac:dyDescent="0.25">
      <c r="A1974">
        <v>1557.8896789999999</v>
      </c>
      <c r="B1974" s="1">
        <f>DATE(2014,8,5) + TIME(21,21,8)</f>
        <v>41856.889675925922</v>
      </c>
      <c r="C1974">
        <v>80</v>
      </c>
      <c r="D1974">
        <v>79.962226868000002</v>
      </c>
      <c r="E1974">
        <v>50</v>
      </c>
      <c r="F1974">
        <v>44.805351256999998</v>
      </c>
      <c r="G1974">
        <v>1381.9102783000001</v>
      </c>
      <c r="H1974">
        <v>1368.2750243999999</v>
      </c>
      <c r="I1974">
        <v>1284.6896973</v>
      </c>
      <c r="J1974">
        <v>1264.4904785000001</v>
      </c>
      <c r="K1974">
        <v>2400</v>
      </c>
      <c r="L1974">
        <v>0</v>
      </c>
      <c r="M1974">
        <v>0</v>
      </c>
      <c r="N1974">
        <v>2400</v>
      </c>
    </row>
    <row r="1975" spans="1:14" x14ac:dyDescent="0.25">
      <c r="A1975">
        <v>1559.5789569999999</v>
      </c>
      <c r="B1975" s="1">
        <f>DATE(2014,8,7) + TIME(13,53,41)</f>
        <v>41858.578946759262</v>
      </c>
      <c r="C1975">
        <v>80</v>
      </c>
      <c r="D1975">
        <v>79.962234496999997</v>
      </c>
      <c r="E1975">
        <v>50</v>
      </c>
      <c r="F1975">
        <v>44.712348937999998</v>
      </c>
      <c r="G1975">
        <v>1381.8547363</v>
      </c>
      <c r="H1975">
        <v>1368.2282714999999</v>
      </c>
      <c r="I1975">
        <v>1284.5957031</v>
      </c>
      <c r="J1975">
        <v>1264.3493652</v>
      </c>
      <c r="K1975">
        <v>2400</v>
      </c>
      <c r="L1975">
        <v>0</v>
      </c>
      <c r="M1975">
        <v>0</v>
      </c>
      <c r="N1975">
        <v>2400</v>
      </c>
    </row>
    <row r="1976" spans="1:14" x14ac:dyDescent="0.25">
      <c r="A1976">
        <v>1561.302862</v>
      </c>
      <c r="B1976" s="1">
        <f>DATE(2014,8,9) + TIME(7,16,7)</f>
        <v>41860.302858796298</v>
      </c>
      <c r="C1976">
        <v>80</v>
      </c>
      <c r="D1976">
        <v>79.962249756000006</v>
      </c>
      <c r="E1976">
        <v>50</v>
      </c>
      <c r="F1976">
        <v>44.616580962999997</v>
      </c>
      <c r="G1976">
        <v>1381.7989502</v>
      </c>
      <c r="H1976">
        <v>1368.1812743999999</v>
      </c>
      <c r="I1976">
        <v>1284.4987793</v>
      </c>
      <c r="J1976">
        <v>1264.203125</v>
      </c>
      <c r="K1976">
        <v>2400</v>
      </c>
      <c r="L1976">
        <v>0</v>
      </c>
      <c r="M1976">
        <v>0</v>
      </c>
      <c r="N1976">
        <v>2400</v>
      </c>
    </row>
    <row r="1977" spans="1:14" x14ac:dyDescent="0.25">
      <c r="A1977">
        <v>1563.042291</v>
      </c>
      <c r="B1977" s="1">
        <f>DATE(2014,8,11) + TIME(1,0,53)</f>
        <v>41862.042280092595</v>
      </c>
      <c r="C1977">
        <v>80</v>
      </c>
      <c r="D1977">
        <v>79.962265015</v>
      </c>
      <c r="E1977">
        <v>50</v>
      </c>
      <c r="F1977">
        <v>44.518501282000003</v>
      </c>
      <c r="G1977">
        <v>1381.7427978999999</v>
      </c>
      <c r="H1977">
        <v>1368.1337891000001</v>
      </c>
      <c r="I1977">
        <v>1284.3986815999999</v>
      </c>
      <c r="J1977">
        <v>1264.0516356999999</v>
      </c>
      <c r="K1977">
        <v>2400</v>
      </c>
      <c r="L1977">
        <v>0</v>
      </c>
      <c r="M1977">
        <v>0</v>
      </c>
      <c r="N1977">
        <v>2400</v>
      </c>
    </row>
    <row r="1978" spans="1:14" x14ac:dyDescent="0.25">
      <c r="A1978">
        <v>1564.7904020000001</v>
      </c>
      <c r="B1978" s="1">
        <f>DATE(2014,8,12) + TIME(18,58,10)</f>
        <v>41863.790393518517</v>
      </c>
      <c r="C1978">
        <v>80</v>
      </c>
      <c r="D1978">
        <v>79.962280273000005</v>
      </c>
      <c r="E1978">
        <v>50</v>
      </c>
      <c r="F1978">
        <v>44.418766022</v>
      </c>
      <c r="G1978">
        <v>1381.6866454999999</v>
      </c>
      <c r="H1978">
        <v>1368.0864257999999</v>
      </c>
      <c r="I1978">
        <v>1284.2963867000001</v>
      </c>
      <c r="J1978">
        <v>1263.8962402</v>
      </c>
      <c r="K1978">
        <v>2400</v>
      </c>
      <c r="L1978">
        <v>0</v>
      </c>
      <c r="M1978">
        <v>0</v>
      </c>
      <c r="N1978">
        <v>2400</v>
      </c>
    </row>
    <row r="1979" spans="1:14" x14ac:dyDescent="0.25">
      <c r="A1979">
        <v>1566.552269</v>
      </c>
      <c r="B1979" s="1">
        <f>DATE(2014,8,14) + TIME(13,15,16)</f>
        <v>41865.552268518521</v>
      </c>
      <c r="C1979">
        <v>80</v>
      </c>
      <c r="D1979">
        <v>79.962295531999999</v>
      </c>
      <c r="E1979">
        <v>50</v>
      </c>
      <c r="F1979">
        <v>44.317642212000003</v>
      </c>
      <c r="G1979">
        <v>1381.6308594</v>
      </c>
      <c r="H1979">
        <v>1368.0391846</v>
      </c>
      <c r="I1979">
        <v>1284.1923827999999</v>
      </c>
      <c r="J1979">
        <v>1263.7375488</v>
      </c>
      <c r="K1979">
        <v>2400</v>
      </c>
      <c r="L1979">
        <v>0</v>
      </c>
      <c r="M1979">
        <v>0</v>
      </c>
      <c r="N1979">
        <v>2400</v>
      </c>
    </row>
    <row r="1980" spans="1:14" x14ac:dyDescent="0.25">
      <c r="A1980">
        <v>1568.3330189999999</v>
      </c>
      <c r="B1980" s="1">
        <f>DATE(2014,8,16) + TIME(7,59,32)</f>
        <v>41867.333009259259</v>
      </c>
      <c r="C1980">
        <v>80</v>
      </c>
      <c r="D1980">
        <v>79.962318420000003</v>
      </c>
      <c r="E1980">
        <v>50</v>
      </c>
      <c r="F1980">
        <v>44.215053558000001</v>
      </c>
      <c r="G1980">
        <v>1381.5753173999999</v>
      </c>
      <c r="H1980">
        <v>1367.9920654</v>
      </c>
      <c r="I1980">
        <v>1284.0865478999999</v>
      </c>
      <c r="J1980">
        <v>1263.5754394999999</v>
      </c>
      <c r="K1980">
        <v>2400</v>
      </c>
      <c r="L1980">
        <v>0</v>
      </c>
      <c r="M1980">
        <v>0</v>
      </c>
      <c r="N1980">
        <v>2400</v>
      </c>
    </row>
    <row r="1981" spans="1:14" x14ac:dyDescent="0.25">
      <c r="A1981">
        <v>1570.1379669999999</v>
      </c>
      <c r="B1981" s="1">
        <f>DATE(2014,8,18) + TIME(3,18,40)</f>
        <v>41869.137962962966</v>
      </c>
      <c r="C1981">
        <v>80</v>
      </c>
      <c r="D1981">
        <v>79.962333678999997</v>
      </c>
      <c r="E1981">
        <v>50</v>
      </c>
      <c r="F1981">
        <v>44.110786437999998</v>
      </c>
      <c r="G1981">
        <v>1381.5197754000001</v>
      </c>
      <c r="H1981">
        <v>1367.9448242000001</v>
      </c>
      <c r="I1981">
        <v>1283.9785156</v>
      </c>
      <c r="J1981">
        <v>1263.4093018000001</v>
      </c>
      <c r="K1981">
        <v>2400</v>
      </c>
      <c r="L1981">
        <v>0</v>
      </c>
      <c r="M1981">
        <v>0</v>
      </c>
      <c r="N1981">
        <v>2400</v>
      </c>
    </row>
    <row r="1982" spans="1:14" x14ac:dyDescent="0.25">
      <c r="A1982">
        <v>1571.9632770000001</v>
      </c>
      <c r="B1982" s="1">
        <f>DATE(2014,8,19) + TIME(23,7,7)</f>
        <v>41870.963275462964</v>
      </c>
      <c r="C1982">
        <v>80</v>
      </c>
      <c r="D1982">
        <v>79.962348938000005</v>
      </c>
      <c r="E1982">
        <v>50</v>
      </c>
      <c r="F1982">
        <v>44.004768372000001</v>
      </c>
      <c r="G1982">
        <v>1381.4641113</v>
      </c>
      <c r="H1982">
        <v>1367.8974608999999</v>
      </c>
      <c r="I1982">
        <v>1283.8681641000001</v>
      </c>
      <c r="J1982">
        <v>1263.2390137</v>
      </c>
      <c r="K1982">
        <v>2400</v>
      </c>
      <c r="L1982">
        <v>0</v>
      </c>
      <c r="M1982">
        <v>0</v>
      </c>
      <c r="N1982">
        <v>2400</v>
      </c>
    </row>
    <row r="1983" spans="1:14" x14ac:dyDescent="0.25">
      <c r="A1983">
        <v>1573.813024</v>
      </c>
      <c r="B1983" s="1">
        <f>DATE(2014,8,21) + TIME(19,30,45)</f>
        <v>41872.813020833331</v>
      </c>
      <c r="C1983">
        <v>80</v>
      </c>
      <c r="D1983">
        <v>79.962364196999999</v>
      </c>
      <c r="E1983">
        <v>50</v>
      </c>
      <c r="F1983">
        <v>43.897003173999998</v>
      </c>
      <c r="G1983">
        <v>1381.4084473</v>
      </c>
      <c r="H1983">
        <v>1367.8499756000001</v>
      </c>
      <c r="I1983">
        <v>1283.7554932</v>
      </c>
      <c r="J1983">
        <v>1263.0645752</v>
      </c>
      <c r="K1983">
        <v>2400</v>
      </c>
      <c r="L1983">
        <v>0</v>
      </c>
      <c r="M1983">
        <v>0</v>
      </c>
      <c r="N1983">
        <v>2400</v>
      </c>
    </row>
    <row r="1984" spans="1:14" x14ac:dyDescent="0.25">
      <c r="A1984">
        <v>1575.6927330000001</v>
      </c>
      <c r="B1984" s="1">
        <f>DATE(2014,8,23) + TIME(16,37,32)</f>
        <v>41874.692731481482</v>
      </c>
      <c r="C1984">
        <v>80</v>
      </c>
      <c r="D1984">
        <v>79.962387085000003</v>
      </c>
      <c r="E1984">
        <v>50</v>
      </c>
      <c r="F1984">
        <v>43.787345885999997</v>
      </c>
      <c r="G1984">
        <v>1381.3525391000001</v>
      </c>
      <c r="H1984">
        <v>1367.8023682</v>
      </c>
      <c r="I1984">
        <v>1283.640625</v>
      </c>
      <c r="J1984">
        <v>1262.8858643000001</v>
      </c>
      <c r="K1984">
        <v>2400</v>
      </c>
      <c r="L1984">
        <v>0</v>
      </c>
      <c r="M1984">
        <v>0</v>
      </c>
      <c r="N1984">
        <v>2400</v>
      </c>
    </row>
    <row r="1985" spans="1:14" x14ac:dyDescent="0.25">
      <c r="A1985">
        <v>1577.6082939999999</v>
      </c>
      <c r="B1985" s="1">
        <f>DATE(2014,8,25) + TIME(14,35,56)</f>
        <v>41876.608287037037</v>
      </c>
      <c r="C1985">
        <v>80</v>
      </c>
      <c r="D1985">
        <v>79.962402343999997</v>
      </c>
      <c r="E1985">
        <v>50</v>
      </c>
      <c r="F1985">
        <v>43.675563812</v>
      </c>
      <c r="G1985">
        <v>1381.2963867000001</v>
      </c>
      <c r="H1985">
        <v>1367.7543945</v>
      </c>
      <c r="I1985">
        <v>1283.5229492000001</v>
      </c>
      <c r="J1985">
        <v>1262.7023925999999</v>
      </c>
      <c r="K1985">
        <v>2400</v>
      </c>
      <c r="L1985">
        <v>0</v>
      </c>
      <c r="M1985">
        <v>0</v>
      </c>
      <c r="N1985">
        <v>2400</v>
      </c>
    </row>
    <row r="1986" spans="1:14" x14ac:dyDescent="0.25">
      <c r="A1986">
        <v>1579.566141</v>
      </c>
      <c r="B1986" s="1">
        <f>DATE(2014,8,27) + TIME(13,35,14)</f>
        <v>41878.566134259258</v>
      </c>
      <c r="C1986">
        <v>80</v>
      </c>
      <c r="D1986">
        <v>79.962425232000001</v>
      </c>
      <c r="E1986">
        <v>50</v>
      </c>
      <c r="F1986">
        <v>43.561397552000003</v>
      </c>
      <c r="G1986">
        <v>1381.2398682</v>
      </c>
      <c r="H1986">
        <v>1367.7058105000001</v>
      </c>
      <c r="I1986">
        <v>1283.4024658000001</v>
      </c>
      <c r="J1986">
        <v>1262.5135498</v>
      </c>
      <c r="K1986">
        <v>2400</v>
      </c>
      <c r="L1986">
        <v>0</v>
      </c>
      <c r="M1986">
        <v>0</v>
      </c>
      <c r="N1986">
        <v>2400</v>
      </c>
    </row>
    <row r="1987" spans="1:14" x14ac:dyDescent="0.25">
      <c r="A1987">
        <v>1581.545554</v>
      </c>
      <c r="B1987" s="1">
        <f>DATE(2014,8,29) + TIME(13,5,35)</f>
        <v>41880.545543981483</v>
      </c>
      <c r="C1987">
        <v>80</v>
      </c>
      <c r="D1987">
        <v>79.962448120000005</v>
      </c>
      <c r="E1987">
        <v>50</v>
      </c>
      <c r="F1987">
        <v>43.445041656000001</v>
      </c>
      <c r="G1987">
        <v>1381.1826172000001</v>
      </c>
      <c r="H1987">
        <v>1367.6567382999999</v>
      </c>
      <c r="I1987">
        <v>1283.2785644999999</v>
      </c>
      <c r="J1987">
        <v>1262.3190918</v>
      </c>
      <c r="K1987">
        <v>2400</v>
      </c>
      <c r="L1987">
        <v>0</v>
      </c>
      <c r="M1987">
        <v>0</v>
      </c>
      <c r="N1987">
        <v>2400</v>
      </c>
    </row>
    <row r="1988" spans="1:14" x14ac:dyDescent="0.25">
      <c r="A1988">
        <v>1583.5378209999999</v>
      </c>
      <c r="B1988" s="1">
        <f>DATE(2014,8,31) + TIME(12,54,27)</f>
        <v>41882.537812499999</v>
      </c>
      <c r="C1988">
        <v>80</v>
      </c>
      <c r="D1988">
        <v>79.962463378999999</v>
      </c>
      <c r="E1988">
        <v>50</v>
      </c>
      <c r="F1988">
        <v>43.327270507999998</v>
      </c>
      <c r="G1988">
        <v>1381.1252440999999</v>
      </c>
      <c r="H1988">
        <v>1367.6075439000001</v>
      </c>
      <c r="I1988">
        <v>1283.152832</v>
      </c>
      <c r="J1988">
        <v>1262.1208495999999</v>
      </c>
      <c r="K1988">
        <v>2400</v>
      </c>
      <c r="L1988">
        <v>0</v>
      </c>
      <c r="M1988">
        <v>0</v>
      </c>
      <c r="N1988">
        <v>2400</v>
      </c>
    </row>
    <row r="1989" spans="1:14" x14ac:dyDescent="0.25">
      <c r="A1989">
        <v>1584</v>
      </c>
      <c r="B1989" s="1">
        <f>DATE(2014,9,1) + TIME(0,0,0)</f>
        <v>41883</v>
      </c>
      <c r="C1989">
        <v>80</v>
      </c>
      <c r="D1989">
        <v>79.962463378999999</v>
      </c>
      <c r="E1989">
        <v>50</v>
      </c>
      <c r="F1989">
        <v>43.267978667999998</v>
      </c>
      <c r="G1989">
        <v>1381.0688477000001</v>
      </c>
      <c r="H1989">
        <v>1367.559082</v>
      </c>
      <c r="I1989">
        <v>1283.0332031</v>
      </c>
      <c r="J1989">
        <v>1261.9541016000001</v>
      </c>
      <c r="K1989">
        <v>2400</v>
      </c>
      <c r="L1989">
        <v>0</v>
      </c>
      <c r="M1989">
        <v>0</v>
      </c>
      <c r="N1989">
        <v>2400</v>
      </c>
    </row>
    <row r="1990" spans="1:14" x14ac:dyDescent="0.25">
      <c r="A1990">
        <v>1586.010906</v>
      </c>
      <c r="B1990" s="1">
        <f>DATE(2014,9,3) + TIME(0,15,42)</f>
        <v>41885.01090277778</v>
      </c>
      <c r="C1990">
        <v>80</v>
      </c>
      <c r="D1990">
        <v>79.962493895999998</v>
      </c>
      <c r="E1990">
        <v>50</v>
      </c>
      <c r="F1990">
        <v>43.171470642000003</v>
      </c>
      <c r="G1990">
        <v>1381.0548096</v>
      </c>
      <c r="H1990">
        <v>1367.546875</v>
      </c>
      <c r="I1990">
        <v>1282.9924315999999</v>
      </c>
      <c r="J1990">
        <v>1261.862793</v>
      </c>
      <c r="K1990">
        <v>2400</v>
      </c>
      <c r="L1990">
        <v>0</v>
      </c>
      <c r="M1990">
        <v>0</v>
      </c>
      <c r="N1990">
        <v>2400</v>
      </c>
    </row>
    <row r="1991" spans="1:14" x14ac:dyDescent="0.25">
      <c r="A1991">
        <v>1588.0403020000001</v>
      </c>
      <c r="B1991" s="1">
        <f>DATE(2014,9,5) + TIME(0,58,2)</f>
        <v>41887.040300925924</v>
      </c>
      <c r="C1991">
        <v>80</v>
      </c>
      <c r="D1991">
        <v>79.962516785000005</v>
      </c>
      <c r="E1991">
        <v>50</v>
      </c>
      <c r="F1991">
        <v>43.058540344000001</v>
      </c>
      <c r="G1991">
        <v>1380.9981689000001</v>
      </c>
      <c r="H1991">
        <v>1367.4981689000001</v>
      </c>
      <c r="I1991">
        <v>1282.8663329999999</v>
      </c>
      <c r="J1991">
        <v>1261.6650391000001</v>
      </c>
      <c r="K1991">
        <v>2400</v>
      </c>
      <c r="L1991">
        <v>0</v>
      </c>
      <c r="M1991">
        <v>0</v>
      </c>
      <c r="N1991">
        <v>2400</v>
      </c>
    </row>
    <row r="1992" spans="1:14" x14ac:dyDescent="0.25">
      <c r="A1992">
        <v>1590.0906219999999</v>
      </c>
      <c r="B1992" s="1">
        <f>DATE(2014,9,7) + TIME(2,10,29)</f>
        <v>41889.090613425928</v>
      </c>
      <c r="C1992">
        <v>80</v>
      </c>
      <c r="D1992">
        <v>79.962532042999996</v>
      </c>
      <c r="E1992">
        <v>50</v>
      </c>
      <c r="F1992">
        <v>42.940189361999998</v>
      </c>
      <c r="G1992">
        <v>1380.9414062000001</v>
      </c>
      <c r="H1992">
        <v>1367.4490966999999</v>
      </c>
      <c r="I1992">
        <v>1282.7370605000001</v>
      </c>
      <c r="J1992">
        <v>1261.4593506000001</v>
      </c>
      <c r="K1992">
        <v>2400</v>
      </c>
      <c r="L1992">
        <v>0</v>
      </c>
      <c r="M1992">
        <v>0</v>
      </c>
      <c r="N1992">
        <v>2400</v>
      </c>
    </row>
    <row r="1993" spans="1:14" x14ac:dyDescent="0.25">
      <c r="A1993">
        <v>1592.167874</v>
      </c>
      <c r="B1993" s="1">
        <f>DATE(2014,9,9) + TIME(4,1,44)</f>
        <v>41891.167870370373</v>
      </c>
      <c r="C1993">
        <v>80</v>
      </c>
      <c r="D1993">
        <v>79.962554932000003</v>
      </c>
      <c r="E1993">
        <v>50</v>
      </c>
      <c r="F1993">
        <v>42.819683075</v>
      </c>
      <c r="G1993">
        <v>1380.8845214999999</v>
      </c>
      <c r="H1993">
        <v>1367.3999022999999</v>
      </c>
      <c r="I1993">
        <v>1282.6057129000001</v>
      </c>
      <c r="J1993">
        <v>1261.2492675999999</v>
      </c>
      <c r="K1993">
        <v>2400</v>
      </c>
      <c r="L1993">
        <v>0</v>
      </c>
      <c r="M1993">
        <v>0</v>
      </c>
      <c r="N1993">
        <v>2400</v>
      </c>
    </row>
    <row r="1994" spans="1:14" x14ac:dyDescent="0.25">
      <c r="A1994">
        <v>1594.278368</v>
      </c>
      <c r="B1994" s="1">
        <f>DATE(2014,9,11) + TIME(6,40,51)</f>
        <v>41893.278368055559</v>
      </c>
      <c r="C1994">
        <v>80</v>
      </c>
      <c r="D1994">
        <v>79.962577820000007</v>
      </c>
      <c r="E1994">
        <v>50</v>
      </c>
      <c r="F1994">
        <v>42.697864531999997</v>
      </c>
      <c r="G1994">
        <v>1380.8275146000001</v>
      </c>
      <c r="H1994">
        <v>1367.3504639</v>
      </c>
      <c r="I1994">
        <v>1282.4726562000001</v>
      </c>
      <c r="J1994">
        <v>1261.0352783000001</v>
      </c>
      <c r="K1994">
        <v>2400</v>
      </c>
      <c r="L1994">
        <v>0</v>
      </c>
      <c r="M1994">
        <v>0</v>
      </c>
      <c r="N1994">
        <v>2400</v>
      </c>
    </row>
    <row r="1995" spans="1:14" x14ac:dyDescent="0.25">
      <c r="A1995">
        <v>1596.4287810000001</v>
      </c>
      <c r="B1995" s="1">
        <f>DATE(2014,9,13) + TIME(10,17,26)</f>
        <v>41895.428773148145</v>
      </c>
      <c r="C1995">
        <v>80</v>
      </c>
      <c r="D1995">
        <v>79.962608337000006</v>
      </c>
      <c r="E1995">
        <v>50</v>
      </c>
      <c r="F1995">
        <v>42.574893951</v>
      </c>
      <c r="G1995">
        <v>1380.7701416</v>
      </c>
      <c r="H1995">
        <v>1367.3006591999999</v>
      </c>
      <c r="I1995">
        <v>1282.3376464999999</v>
      </c>
      <c r="J1995">
        <v>1260.8173827999999</v>
      </c>
      <c r="K1995">
        <v>2400</v>
      </c>
      <c r="L1995">
        <v>0</v>
      </c>
      <c r="M1995">
        <v>0</v>
      </c>
      <c r="N1995">
        <v>2400</v>
      </c>
    </row>
    <row r="1996" spans="1:14" x14ac:dyDescent="0.25">
      <c r="A1996">
        <v>1598.617264</v>
      </c>
      <c r="B1996" s="1">
        <f>DATE(2014,9,15) + TIME(14,48,51)</f>
        <v>41897.617256944446</v>
      </c>
      <c r="C1996">
        <v>80</v>
      </c>
      <c r="D1996">
        <v>79.962631225999999</v>
      </c>
      <c r="E1996">
        <v>50</v>
      </c>
      <c r="F1996">
        <v>42.45085907</v>
      </c>
      <c r="G1996">
        <v>1380.7122803</v>
      </c>
      <c r="H1996">
        <v>1367.2503661999999</v>
      </c>
      <c r="I1996">
        <v>1282.2004394999999</v>
      </c>
      <c r="J1996">
        <v>1260.5952147999999</v>
      </c>
      <c r="K1996">
        <v>2400</v>
      </c>
      <c r="L1996">
        <v>0</v>
      </c>
      <c r="M1996">
        <v>0</v>
      </c>
      <c r="N1996">
        <v>2400</v>
      </c>
    </row>
    <row r="1997" spans="1:14" x14ac:dyDescent="0.25">
      <c r="A1997">
        <v>1600.837051</v>
      </c>
      <c r="B1997" s="1">
        <f>DATE(2014,9,17) + TIME(20,5,21)</f>
        <v>41899.837048611109</v>
      </c>
      <c r="C1997">
        <v>80</v>
      </c>
      <c r="D1997">
        <v>79.962654114000003</v>
      </c>
      <c r="E1997">
        <v>50</v>
      </c>
      <c r="F1997">
        <v>42.326129913000003</v>
      </c>
      <c r="G1997">
        <v>1380.6538086</v>
      </c>
      <c r="H1997">
        <v>1367.1995850000001</v>
      </c>
      <c r="I1997">
        <v>1282.0614014</v>
      </c>
      <c r="J1997">
        <v>1260.3691406</v>
      </c>
      <c r="K1997">
        <v>2400</v>
      </c>
      <c r="L1997">
        <v>0</v>
      </c>
      <c r="M1997">
        <v>0</v>
      </c>
      <c r="N1997">
        <v>2400</v>
      </c>
    </row>
    <row r="1998" spans="1:14" x14ac:dyDescent="0.25">
      <c r="A1998">
        <v>1603.088176</v>
      </c>
      <c r="B1998" s="1">
        <f>DATE(2014,9,20) + TIME(2,6,58)</f>
        <v>41902.088171296295</v>
      </c>
      <c r="C1998">
        <v>80</v>
      </c>
      <c r="D1998">
        <v>79.962684631000002</v>
      </c>
      <c r="E1998">
        <v>50</v>
      </c>
      <c r="F1998">
        <v>42.201183319000002</v>
      </c>
      <c r="G1998">
        <v>1380.5952147999999</v>
      </c>
      <c r="H1998">
        <v>1367.1484375</v>
      </c>
      <c r="I1998">
        <v>1281.9211425999999</v>
      </c>
      <c r="J1998">
        <v>1260.1402588000001</v>
      </c>
      <c r="K1998">
        <v>2400</v>
      </c>
      <c r="L1998">
        <v>0</v>
      </c>
      <c r="M1998">
        <v>0</v>
      </c>
      <c r="N1998">
        <v>2400</v>
      </c>
    </row>
    <row r="1999" spans="1:14" x14ac:dyDescent="0.25">
      <c r="A1999">
        <v>1605.353069</v>
      </c>
      <c r="B1999" s="1">
        <f>DATE(2014,9,22) + TIME(8,28,25)</f>
        <v>41904.353067129632</v>
      </c>
      <c r="C1999">
        <v>80</v>
      </c>
      <c r="D1999">
        <v>79.962707519999995</v>
      </c>
      <c r="E1999">
        <v>50</v>
      </c>
      <c r="F1999">
        <v>42.076637267999999</v>
      </c>
      <c r="G1999">
        <v>1380.5362548999999</v>
      </c>
      <c r="H1999">
        <v>1367.0969238</v>
      </c>
      <c r="I1999">
        <v>1281.7797852000001</v>
      </c>
      <c r="J1999">
        <v>1259.9088135</v>
      </c>
      <c r="K1999">
        <v>2400</v>
      </c>
      <c r="L1999">
        <v>0</v>
      </c>
      <c r="M1999">
        <v>0</v>
      </c>
      <c r="N1999">
        <v>2400</v>
      </c>
    </row>
    <row r="2000" spans="1:14" x14ac:dyDescent="0.25">
      <c r="A2000">
        <v>1607.6336899999999</v>
      </c>
      <c r="B2000" s="1">
        <f>DATE(2014,9,24) + TIME(15,12,30)</f>
        <v>41906.633680555555</v>
      </c>
      <c r="C2000">
        <v>80</v>
      </c>
      <c r="D2000">
        <v>79.962730407999999</v>
      </c>
      <c r="E2000">
        <v>50</v>
      </c>
      <c r="F2000">
        <v>41.953304291000002</v>
      </c>
      <c r="G2000">
        <v>1380.4774170000001</v>
      </c>
      <c r="H2000">
        <v>1367.0455322</v>
      </c>
      <c r="I2000">
        <v>1281.6385498</v>
      </c>
      <c r="J2000">
        <v>1259.6766356999999</v>
      </c>
      <c r="K2000">
        <v>2400</v>
      </c>
      <c r="L2000">
        <v>0</v>
      </c>
      <c r="M2000">
        <v>0</v>
      </c>
      <c r="N2000">
        <v>2400</v>
      </c>
    </row>
    <row r="2001" spans="1:14" x14ac:dyDescent="0.25">
      <c r="A2001">
        <v>1609.9371289999999</v>
      </c>
      <c r="B2001" s="1">
        <f>DATE(2014,9,26) + TIME(22,29,27)</f>
        <v>41908.937118055554</v>
      </c>
      <c r="C2001">
        <v>80</v>
      </c>
      <c r="D2001">
        <v>79.962760924999998</v>
      </c>
      <c r="E2001">
        <v>50</v>
      </c>
      <c r="F2001">
        <v>41.831489562999998</v>
      </c>
      <c r="G2001">
        <v>1380.4188231999999</v>
      </c>
      <c r="H2001">
        <v>1366.9941406</v>
      </c>
      <c r="I2001">
        <v>1281.4976807</v>
      </c>
      <c r="J2001">
        <v>1259.4442139</v>
      </c>
      <c r="K2001">
        <v>2400</v>
      </c>
      <c r="L2001">
        <v>0</v>
      </c>
      <c r="M2001">
        <v>0</v>
      </c>
      <c r="N2001">
        <v>2400</v>
      </c>
    </row>
    <row r="2002" spans="1:14" x14ac:dyDescent="0.25">
      <c r="A2002">
        <v>1612.270154</v>
      </c>
      <c r="B2002" s="1">
        <f>DATE(2014,9,29) + TIME(6,29,1)</f>
        <v>41911.270150462966</v>
      </c>
      <c r="C2002">
        <v>80</v>
      </c>
      <c r="D2002">
        <v>79.962783813000001</v>
      </c>
      <c r="E2002">
        <v>50</v>
      </c>
      <c r="F2002">
        <v>41.711288451999998</v>
      </c>
      <c r="G2002">
        <v>1380.3601074000001</v>
      </c>
      <c r="H2002">
        <v>1366.9425048999999</v>
      </c>
      <c r="I2002">
        <v>1281.3569336</v>
      </c>
      <c r="J2002">
        <v>1259.2109375</v>
      </c>
      <c r="K2002">
        <v>2400</v>
      </c>
      <c r="L2002">
        <v>0</v>
      </c>
      <c r="M2002">
        <v>0</v>
      </c>
      <c r="N2002">
        <v>2400</v>
      </c>
    </row>
    <row r="2003" spans="1:14" x14ac:dyDescent="0.25">
      <c r="A2003">
        <v>1614</v>
      </c>
      <c r="B2003" s="1">
        <f>DATE(2014,10,1) + TIME(0,0,0)</f>
        <v>41913</v>
      </c>
      <c r="C2003">
        <v>80</v>
      </c>
      <c r="D2003">
        <v>79.962806701999995</v>
      </c>
      <c r="E2003">
        <v>50</v>
      </c>
      <c r="F2003">
        <v>41.603271483999997</v>
      </c>
      <c r="G2003">
        <v>1380.3011475000001</v>
      </c>
      <c r="H2003">
        <v>1366.890625</v>
      </c>
      <c r="I2003">
        <v>1281.2181396000001</v>
      </c>
      <c r="J2003">
        <v>1258.9847411999999</v>
      </c>
      <c r="K2003">
        <v>2400</v>
      </c>
      <c r="L2003">
        <v>0</v>
      </c>
      <c r="M2003">
        <v>0</v>
      </c>
      <c r="N2003">
        <v>2400</v>
      </c>
    </row>
    <row r="2004" spans="1:14" x14ac:dyDescent="0.25">
      <c r="A2004">
        <v>1616.3625159999999</v>
      </c>
      <c r="B2004" s="1">
        <f>DATE(2014,10,3) + TIME(8,42,1)</f>
        <v>41915.362511574072</v>
      </c>
      <c r="C2004">
        <v>80</v>
      </c>
      <c r="D2004">
        <v>79.962837218999994</v>
      </c>
      <c r="E2004">
        <v>50</v>
      </c>
      <c r="F2004">
        <v>41.502368926999999</v>
      </c>
      <c r="G2004">
        <v>1380.2576904</v>
      </c>
      <c r="H2004">
        <v>1366.8524170000001</v>
      </c>
      <c r="I2004">
        <v>1281.1103516000001</v>
      </c>
      <c r="J2004">
        <v>1258.7983397999999</v>
      </c>
      <c r="K2004">
        <v>2400</v>
      </c>
      <c r="L2004">
        <v>0</v>
      </c>
      <c r="M2004">
        <v>0</v>
      </c>
      <c r="N2004">
        <v>2400</v>
      </c>
    </row>
    <row r="2005" spans="1:14" x14ac:dyDescent="0.25">
      <c r="A2005">
        <v>1618.7726849999999</v>
      </c>
      <c r="B2005" s="1">
        <f>DATE(2014,10,5) + TIME(18,32,39)</f>
        <v>41917.772673611114</v>
      </c>
      <c r="C2005">
        <v>80</v>
      </c>
      <c r="D2005">
        <v>79.962867736999996</v>
      </c>
      <c r="E2005">
        <v>50</v>
      </c>
      <c r="F2005">
        <v>41.392780303999999</v>
      </c>
      <c r="G2005">
        <v>1380.1989745999999</v>
      </c>
      <c r="H2005">
        <v>1366.8006591999999</v>
      </c>
      <c r="I2005">
        <v>1280.9733887</v>
      </c>
      <c r="J2005">
        <v>1258.5709228999999</v>
      </c>
      <c r="K2005">
        <v>2400</v>
      </c>
      <c r="L2005">
        <v>0</v>
      </c>
      <c r="M2005">
        <v>0</v>
      </c>
      <c r="N2005">
        <v>2400</v>
      </c>
    </row>
    <row r="2006" spans="1:14" x14ac:dyDescent="0.25">
      <c r="A2006">
        <v>1621.213632</v>
      </c>
      <c r="B2006" s="1">
        <f>DATE(2014,10,8) + TIME(5,7,37)</f>
        <v>41920.213622685187</v>
      </c>
      <c r="C2006">
        <v>80</v>
      </c>
      <c r="D2006">
        <v>79.962890625</v>
      </c>
      <c r="E2006">
        <v>50</v>
      </c>
      <c r="F2006">
        <v>41.282802582000002</v>
      </c>
      <c r="G2006">
        <v>1380.1394043</v>
      </c>
      <c r="H2006">
        <v>1366.7480469</v>
      </c>
      <c r="I2006">
        <v>1280.8347168</v>
      </c>
      <c r="J2006">
        <v>1258.3387451000001</v>
      </c>
      <c r="K2006">
        <v>2400</v>
      </c>
      <c r="L2006">
        <v>0</v>
      </c>
      <c r="M2006">
        <v>0</v>
      </c>
      <c r="N2006">
        <v>2400</v>
      </c>
    </row>
    <row r="2007" spans="1:14" x14ac:dyDescent="0.25">
      <c r="A2007">
        <v>1623.683745</v>
      </c>
      <c r="B2007" s="1">
        <f>DATE(2014,10,10) + TIME(16,24,35)</f>
        <v>41922.683738425927</v>
      </c>
      <c r="C2007">
        <v>80</v>
      </c>
      <c r="D2007">
        <v>79.962921143000003</v>
      </c>
      <c r="E2007">
        <v>50</v>
      </c>
      <c r="F2007">
        <v>41.175491332999997</v>
      </c>
      <c r="G2007">
        <v>1380.0797118999999</v>
      </c>
      <c r="H2007">
        <v>1366.6951904</v>
      </c>
      <c r="I2007">
        <v>1280.6964111</v>
      </c>
      <c r="J2007">
        <v>1258.1060791</v>
      </c>
      <c r="K2007">
        <v>2400</v>
      </c>
      <c r="L2007">
        <v>0</v>
      </c>
      <c r="M2007">
        <v>0</v>
      </c>
      <c r="N2007">
        <v>2400</v>
      </c>
    </row>
    <row r="2008" spans="1:14" x14ac:dyDescent="0.25">
      <c r="A2008">
        <v>1626.184761</v>
      </c>
      <c r="B2008" s="1">
        <f>DATE(2014,10,13) + TIME(4,26,3)</f>
        <v>41925.184756944444</v>
      </c>
      <c r="C2008">
        <v>80</v>
      </c>
      <c r="D2008">
        <v>79.962951660000002</v>
      </c>
      <c r="E2008">
        <v>50</v>
      </c>
      <c r="F2008">
        <v>41.072113037000001</v>
      </c>
      <c r="G2008">
        <v>1380.0196533000001</v>
      </c>
      <c r="H2008">
        <v>1366.6420897999999</v>
      </c>
      <c r="I2008">
        <v>1280.5593262</v>
      </c>
      <c r="J2008">
        <v>1257.8745117000001</v>
      </c>
      <c r="K2008">
        <v>2400</v>
      </c>
      <c r="L2008">
        <v>0</v>
      </c>
      <c r="M2008">
        <v>0</v>
      </c>
      <c r="N2008">
        <v>2400</v>
      </c>
    </row>
    <row r="2009" spans="1:14" x14ac:dyDescent="0.25">
      <c r="A2009">
        <v>1628.7234249999999</v>
      </c>
      <c r="B2009" s="1">
        <f>DATE(2014,10,15) + TIME(17,21,43)</f>
        <v>41927.723414351851</v>
      </c>
      <c r="C2009">
        <v>80</v>
      </c>
      <c r="D2009">
        <v>79.962982178000004</v>
      </c>
      <c r="E2009">
        <v>50</v>
      </c>
      <c r="F2009">
        <v>40.973373412999997</v>
      </c>
      <c r="G2009">
        <v>1379.9594727000001</v>
      </c>
      <c r="H2009">
        <v>1366.5886230000001</v>
      </c>
      <c r="I2009">
        <v>1280.4235839999999</v>
      </c>
      <c r="J2009">
        <v>1257.6446533000001</v>
      </c>
      <c r="K2009">
        <v>2400</v>
      </c>
      <c r="L2009">
        <v>0</v>
      </c>
      <c r="M2009">
        <v>0</v>
      </c>
      <c r="N2009">
        <v>2400</v>
      </c>
    </row>
    <row r="2010" spans="1:14" x14ac:dyDescent="0.25">
      <c r="A2010">
        <v>1631.281886</v>
      </c>
      <c r="B2010" s="1">
        <f>DATE(2014,10,18) + TIME(6,45,54)</f>
        <v>41930.281875000001</v>
      </c>
      <c r="C2010">
        <v>80</v>
      </c>
      <c r="D2010">
        <v>79.963012695000003</v>
      </c>
      <c r="E2010">
        <v>50</v>
      </c>
      <c r="F2010">
        <v>40.880035399999997</v>
      </c>
      <c r="G2010">
        <v>1379.8988036999999</v>
      </c>
      <c r="H2010">
        <v>1366.534668</v>
      </c>
      <c r="I2010">
        <v>1280.2894286999999</v>
      </c>
      <c r="J2010">
        <v>1257.4168701000001</v>
      </c>
      <c r="K2010">
        <v>2400</v>
      </c>
      <c r="L2010">
        <v>0</v>
      </c>
      <c r="M2010">
        <v>0</v>
      </c>
      <c r="N2010">
        <v>2400</v>
      </c>
    </row>
    <row r="2011" spans="1:14" x14ac:dyDescent="0.25">
      <c r="A2011">
        <v>1633.8677</v>
      </c>
      <c r="B2011" s="1">
        <f>DATE(2014,10,20) + TIME(20,49,29)</f>
        <v>41932.867696759262</v>
      </c>
      <c r="C2011">
        <v>80</v>
      </c>
      <c r="D2011">
        <v>79.963050842000001</v>
      </c>
      <c r="E2011">
        <v>50</v>
      </c>
      <c r="F2011">
        <v>40.793094635000003</v>
      </c>
      <c r="G2011">
        <v>1379.8381348</v>
      </c>
      <c r="H2011">
        <v>1366.4805908000001</v>
      </c>
      <c r="I2011">
        <v>1280.1579589999999</v>
      </c>
      <c r="J2011">
        <v>1257.1928711</v>
      </c>
      <c r="K2011">
        <v>2400</v>
      </c>
      <c r="L2011">
        <v>0</v>
      </c>
      <c r="M2011">
        <v>0</v>
      </c>
      <c r="N2011">
        <v>2400</v>
      </c>
    </row>
    <row r="2012" spans="1:14" x14ac:dyDescent="0.25">
      <c r="A2012">
        <v>1636.472757</v>
      </c>
      <c r="B2012" s="1">
        <f>DATE(2014,10,23) + TIME(11,20,46)</f>
        <v>41935.472754629627</v>
      </c>
      <c r="C2012">
        <v>80</v>
      </c>
      <c r="D2012">
        <v>79.963081360000004</v>
      </c>
      <c r="E2012">
        <v>50</v>
      </c>
      <c r="F2012">
        <v>40.713268280000001</v>
      </c>
      <c r="G2012">
        <v>1379.7773437999999</v>
      </c>
      <c r="H2012">
        <v>1366.4263916</v>
      </c>
      <c r="I2012">
        <v>1280.0290527</v>
      </c>
      <c r="J2012">
        <v>1256.9731445</v>
      </c>
      <c r="K2012">
        <v>2400</v>
      </c>
      <c r="L2012">
        <v>0</v>
      </c>
      <c r="M2012">
        <v>0</v>
      </c>
      <c r="N2012">
        <v>2400</v>
      </c>
    </row>
    <row r="2013" spans="1:14" x14ac:dyDescent="0.25">
      <c r="A2013">
        <v>1639.1035300000001</v>
      </c>
      <c r="B2013" s="1">
        <f>DATE(2014,10,26) + TIME(2,29,4)</f>
        <v>41938.103518518517</v>
      </c>
      <c r="C2013">
        <v>80</v>
      </c>
      <c r="D2013">
        <v>79.963111877000003</v>
      </c>
      <c r="E2013">
        <v>50</v>
      </c>
      <c r="F2013">
        <v>40.641376495000003</v>
      </c>
      <c r="G2013">
        <v>1379.7165527</v>
      </c>
      <c r="H2013">
        <v>1366.3720702999999</v>
      </c>
      <c r="I2013">
        <v>1279.9035644999999</v>
      </c>
      <c r="J2013">
        <v>1256.7585449000001</v>
      </c>
      <c r="K2013">
        <v>2400</v>
      </c>
      <c r="L2013">
        <v>0</v>
      </c>
      <c r="M2013">
        <v>0</v>
      </c>
      <c r="N2013">
        <v>2400</v>
      </c>
    </row>
    <row r="2014" spans="1:14" x14ac:dyDescent="0.25">
      <c r="A2014">
        <v>1641.7677610000001</v>
      </c>
      <c r="B2014" s="1">
        <f>DATE(2014,10,28) + TIME(18,25,34)</f>
        <v>41940.767754629633</v>
      </c>
      <c r="C2014">
        <v>80</v>
      </c>
      <c r="D2014">
        <v>79.963142395000006</v>
      </c>
      <c r="E2014">
        <v>50</v>
      </c>
      <c r="F2014">
        <v>40.578060149999999</v>
      </c>
      <c r="G2014">
        <v>1379.6556396000001</v>
      </c>
      <c r="H2014">
        <v>1366.3176269999999</v>
      </c>
      <c r="I2014">
        <v>1279.7813721</v>
      </c>
      <c r="J2014">
        <v>1256.5494385</v>
      </c>
      <c r="K2014">
        <v>2400</v>
      </c>
      <c r="L2014">
        <v>0</v>
      </c>
      <c r="M2014">
        <v>0</v>
      </c>
      <c r="N2014">
        <v>2400</v>
      </c>
    </row>
    <row r="2015" spans="1:14" x14ac:dyDescent="0.25">
      <c r="A2015">
        <v>1643.117886</v>
      </c>
      <c r="B2015" s="1">
        <f>DATE(2014,10,30) + TIME(2,49,45)</f>
        <v>41942.117881944447</v>
      </c>
      <c r="C2015">
        <v>80</v>
      </c>
      <c r="D2015">
        <v>79.963157654</v>
      </c>
      <c r="E2015">
        <v>50</v>
      </c>
      <c r="F2015">
        <v>40.534259796000001</v>
      </c>
      <c r="G2015">
        <v>1379.5943603999999</v>
      </c>
      <c r="H2015">
        <v>1366.2628173999999</v>
      </c>
      <c r="I2015">
        <v>1279.6693115</v>
      </c>
      <c r="J2015">
        <v>1256.3619385</v>
      </c>
      <c r="K2015">
        <v>2400</v>
      </c>
      <c r="L2015">
        <v>0</v>
      </c>
      <c r="M2015">
        <v>0</v>
      </c>
      <c r="N2015">
        <v>2400</v>
      </c>
    </row>
    <row r="2016" spans="1:14" x14ac:dyDescent="0.25">
      <c r="A2016">
        <v>1645</v>
      </c>
      <c r="B2016" s="1">
        <f>DATE(2014,11,1) + TIME(0,0,0)</f>
        <v>41944</v>
      </c>
      <c r="C2016">
        <v>80</v>
      </c>
      <c r="D2016">
        <v>79.963180542000003</v>
      </c>
      <c r="E2016">
        <v>50</v>
      </c>
      <c r="F2016">
        <v>40.501438141000001</v>
      </c>
      <c r="G2016">
        <v>1379.5632324000001</v>
      </c>
      <c r="H2016">
        <v>1366.2347411999999</v>
      </c>
      <c r="I2016">
        <v>1279.6025391000001</v>
      </c>
      <c r="J2016">
        <v>1256.2434082</v>
      </c>
      <c r="K2016">
        <v>2400</v>
      </c>
      <c r="L2016">
        <v>0</v>
      </c>
      <c r="M2016">
        <v>0</v>
      </c>
      <c r="N2016">
        <v>2400</v>
      </c>
    </row>
    <row r="2017" spans="1:14" x14ac:dyDescent="0.25">
      <c r="A2017">
        <v>1645.0000010000001</v>
      </c>
      <c r="B2017" s="1">
        <f>DATE(2014,11,1) + TIME(0,0,0)</f>
        <v>41944</v>
      </c>
      <c r="C2017">
        <v>80</v>
      </c>
      <c r="D2017">
        <v>79.963058472</v>
      </c>
      <c r="E2017">
        <v>50</v>
      </c>
      <c r="F2017">
        <v>40.501560210999997</v>
      </c>
      <c r="G2017">
        <v>1365.3629149999999</v>
      </c>
      <c r="H2017">
        <v>1353.3778076000001</v>
      </c>
      <c r="I2017">
        <v>1303.7178954999999</v>
      </c>
      <c r="J2017">
        <v>1280.5063477000001</v>
      </c>
      <c r="K2017">
        <v>0</v>
      </c>
      <c r="L2017">
        <v>2400</v>
      </c>
      <c r="M2017">
        <v>2400</v>
      </c>
      <c r="N2017">
        <v>0</v>
      </c>
    </row>
    <row r="2018" spans="1:14" x14ac:dyDescent="0.25">
      <c r="A2018">
        <v>1645.000004</v>
      </c>
      <c r="B2018" s="1">
        <f>DATE(2014,11,1) + TIME(0,0,0)</f>
        <v>41944</v>
      </c>
      <c r="C2018">
        <v>80</v>
      </c>
      <c r="D2018">
        <v>79.962745666999993</v>
      </c>
      <c r="E2018">
        <v>50</v>
      </c>
      <c r="F2018">
        <v>40.501888274999999</v>
      </c>
      <c r="G2018">
        <v>1363.1602783000001</v>
      </c>
      <c r="H2018">
        <v>1351.1746826000001</v>
      </c>
      <c r="I2018">
        <v>1306.1096190999999</v>
      </c>
      <c r="J2018">
        <v>1282.956543</v>
      </c>
      <c r="K2018">
        <v>0</v>
      </c>
      <c r="L2018">
        <v>2400</v>
      </c>
      <c r="M2018">
        <v>2400</v>
      </c>
      <c r="N2018">
        <v>0</v>
      </c>
    </row>
    <row r="2019" spans="1:14" x14ac:dyDescent="0.25">
      <c r="A2019">
        <v>1645.0000130000001</v>
      </c>
      <c r="B2019" s="1">
        <f>DATE(2014,11,1) + TIME(0,0,1)</f>
        <v>41944.000011574077</v>
      </c>
      <c r="C2019">
        <v>80</v>
      </c>
      <c r="D2019">
        <v>79.962112426999994</v>
      </c>
      <c r="E2019">
        <v>50</v>
      </c>
      <c r="F2019">
        <v>40.502674102999997</v>
      </c>
      <c r="G2019">
        <v>1358.7139893000001</v>
      </c>
      <c r="H2019">
        <v>1346.7280272999999</v>
      </c>
      <c r="I2019">
        <v>1311.7012939000001</v>
      </c>
      <c r="J2019">
        <v>1288.6475829999999</v>
      </c>
      <c r="K2019">
        <v>0</v>
      </c>
      <c r="L2019">
        <v>2400</v>
      </c>
      <c r="M2019">
        <v>2400</v>
      </c>
      <c r="N2019">
        <v>0</v>
      </c>
    </row>
    <row r="2020" spans="1:14" x14ac:dyDescent="0.25">
      <c r="A2020">
        <v>1645.0000399999999</v>
      </c>
      <c r="B2020" s="1">
        <f>DATE(2014,11,1) + TIME(0,0,3)</f>
        <v>41944.000034722223</v>
      </c>
      <c r="C2020">
        <v>80</v>
      </c>
      <c r="D2020">
        <v>79.961189270000006</v>
      </c>
      <c r="E2020">
        <v>50</v>
      </c>
      <c r="F2020">
        <v>40.504196167000003</v>
      </c>
      <c r="G2020">
        <v>1352.2205810999999</v>
      </c>
      <c r="H2020">
        <v>1340.2351074000001</v>
      </c>
      <c r="I2020">
        <v>1321.6445312000001</v>
      </c>
      <c r="J2020">
        <v>1298.6676024999999</v>
      </c>
      <c r="K2020">
        <v>0</v>
      </c>
      <c r="L2020">
        <v>2400</v>
      </c>
      <c r="M2020">
        <v>2400</v>
      </c>
      <c r="N2020">
        <v>0</v>
      </c>
    </row>
    <row r="2021" spans="1:14" x14ac:dyDescent="0.25">
      <c r="A2021">
        <v>1645.000121</v>
      </c>
      <c r="B2021" s="1">
        <f>DATE(2014,11,1) + TIME(0,0,10)</f>
        <v>41944.000115740739</v>
      </c>
      <c r="C2021">
        <v>80</v>
      </c>
      <c r="D2021">
        <v>79.960144043</v>
      </c>
      <c r="E2021">
        <v>50</v>
      </c>
      <c r="F2021">
        <v>40.506652832</v>
      </c>
      <c r="G2021">
        <v>1344.9926757999999</v>
      </c>
      <c r="H2021">
        <v>1333.0120850000001</v>
      </c>
      <c r="I2021">
        <v>1334.4035644999999</v>
      </c>
      <c r="J2021">
        <v>1311.4296875</v>
      </c>
      <c r="K2021">
        <v>0</v>
      </c>
      <c r="L2021">
        <v>2400</v>
      </c>
      <c r="M2021">
        <v>2400</v>
      </c>
      <c r="N2021">
        <v>0</v>
      </c>
    </row>
    <row r="2022" spans="1:14" x14ac:dyDescent="0.25">
      <c r="A2022">
        <v>1645.000364</v>
      </c>
      <c r="B2022" s="1">
        <f>DATE(2014,11,1) + TIME(0,0,31)</f>
        <v>41944.000358796293</v>
      </c>
      <c r="C2022">
        <v>80</v>
      </c>
      <c r="D2022">
        <v>79.959075928000004</v>
      </c>
      <c r="E2022">
        <v>50</v>
      </c>
      <c r="F2022">
        <v>40.511047363000003</v>
      </c>
      <c r="G2022">
        <v>1337.7282714999999</v>
      </c>
      <c r="H2022">
        <v>1325.7531738</v>
      </c>
      <c r="I2022">
        <v>1347.8703613</v>
      </c>
      <c r="J2022">
        <v>1324.8813477000001</v>
      </c>
      <c r="K2022">
        <v>0</v>
      </c>
      <c r="L2022">
        <v>2400</v>
      </c>
      <c r="M2022">
        <v>2400</v>
      </c>
      <c r="N2022">
        <v>0</v>
      </c>
    </row>
    <row r="2023" spans="1:14" x14ac:dyDescent="0.25">
      <c r="A2023">
        <v>1645.0010930000001</v>
      </c>
      <c r="B2023" s="1">
        <f>DATE(2014,11,1) + TIME(0,1,34)</f>
        <v>41944.001087962963</v>
      </c>
      <c r="C2023">
        <v>80</v>
      </c>
      <c r="D2023">
        <v>79.957916260000005</v>
      </c>
      <c r="E2023">
        <v>50</v>
      </c>
      <c r="F2023">
        <v>40.521022797000001</v>
      </c>
      <c r="G2023">
        <v>1330.4205322</v>
      </c>
      <c r="H2023">
        <v>1318.4256591999999</v>
      </c>
      <c r="I2023">
        <v>1361.5477295000001</v>
      </c>
      <c r="J2023">
        <v>1338.5277100000001</v>
      </c>
      <c r="K2023">
        <v>0</v>
      </c>
      <c r="L2023">
        <v>2400</v>
      </c>
      <c r="M2023">
        <v>2400</v>
      </c>
      <c r="N2023">
        <v>0</v>
      </c>
    </row>
    <row r="2024" spans="1:14" x14ac:dyDescent="0.25">
      <c r="A2024">
        <v>1645.0032799999999</v>
      </c>
      <c r="B2024" s="1">
        <f>DATE(2014,11,1) + TIME(0,4,43)</f>
        <v>41944.003275462965</v>
      </c>
      <c r="C2024">
        <v>80</v>
      </c>
      <c r="D2024">
        <v>79.956443786999998</v>
      </c>
      <c r="E2024">
        <v>50</v>
      </c>
      <c r="F2024">
        <v>40.547729492000002</v>
      </c>
      <c r="G2024">
        <v>1322.7314452999999</v>
      </c>
      <c r="H2024">
        <v>1310.6286620999999</v>
      </c>
      <c r="I2024">
        <v>1375.5797118999999</v>
      </c>
      <c r="J2024">
        <v>1352.4689940999999</v>
      </c>
      <c r="K2024">
        <v>0</v>
      </c>
      <c r="L2024">
        <v>2400</v>
      </c>
      <c r="M2024">
        <v>2400</v>
      </c>
      <c r="N2024">
        <v>0</v>
      </c>
    </row>
    <row r="2025" spans="1:14" x14ac:dyDescent="0.25">
      <c r="A2025">
        <v>1645.0098410000001</v>
      </c>
      <c r="B2025" s="1">
        <f>DATE(2014,11,1) + TIME(0,14,10)</f>
        <v>41944.009837962964</v>
      </c>
      <c r="C2025">
        <v>80</v>
      </c>
      <c r="D2025">
        <v>79.954147339000002</v>
      </c>
      <c r="E2025">
        <v>50</v>
      </c>
      <c r="F2025">
        <v>40.624397278000004</v>
      </c>
      <c r="G2025">
        <v>1314.5069579999999</v>
      </c>
      <c r="H2025">
        <v>1302.2479248</v>
      </c>
      <c r="I2025">
        <v>1389.2418213000001</v>
      </c>
      <c r="J2025">
        <v>1365.9898682</v>
      </c>
      <c r="K2025">
        <v>0</v>
      </c>
      <c r="L2025">
        <v>2400</v>
      </c>
      <c r="M2025">
        <v>2400</v>
      </c>
      <c r="N2025">
        <v>0</v>
      </c>
    </row>
    <row r="2026" spans="1:14" x14ac:dyDescent="0.25">
      <c r="A2026">
        <v>1645.029524</v>
      </c>
      <c r="B2026" s="1">
        <f>DATE(2014,11,1) + TIME(0,42,30)</f>
        <v>41944.029513888891</v>
      </c>
      <c r="C2026">
        <v>80</v>
      </c>
      <c r="D2026">
        <v>79.949745178000001</v>
      </c>
      <c r="E2026">
        <v>50</v>
      </c>
      <c r="F2026">
        <v>40.846927643000001</v>
      </c>
      <c r="G2026">
        <v>1307.1987305</v>
      </c>
      <c r="H2026">
        <v>1294.8443603999999</v>
      </c>
      <c r="I2026">
        <v>1399.65625</v>
      </c>
      <c r="J2026">
        <v>1376.3410644999999</v>
      </c>
      <c r="K2026">
        <v>0</v>
      </c>
      <c r="L2026">
        <v>2400</v>
      </c>
      <c r="M2026">
        <v>2400</v>
      </c>
      <c r="N2026">
        <v>0</v>
      </c>
    </row>
    <row r="2027" spans="1:14" x14ac:dyDescent="0.25">
      <c r="A2027">
        <v>1645.084036</v>
      </c>
      <c r="B2027" s="1">
        <f>DATE(2014,11,1) + TIME(2,1,0)</f>
        <v>41944.084027777775</v>
      </c>
      <c r="C2027">
        <v>80</v>
      </c>
      <c r="D2027">
        <v>79.940254210999996</v>
      </c>
      <c r="E2027">
        <v>50</v>
      </c>
      <c r="F2027">
        <v>41.423591614000003</v>
      </c>
      <c r="G2027">
        <v>1303.2541504000001</v>
      </c>
      <c r="H2027">
        <v>1290.8670654</v>
      </c>
      <c r="I2027">
        <v>1403.8701172000001</v>
      </c>
      <c r="J2027">
        <v>1380.7241211</v>
      </c>
      <c r="K2027">
        <v>0</v>
      </c>
      <c r="L2027">
        <v>2400</v>
      </c>
      <c r="M2027">
        <v>2400</v>
      </c>
      <c r="N2027">
        <v>0</v>
      </c>
    </row>
    <row r="2028" spans="1:14" x14ac:dyDescent="0.25">
      <c r="A2028">
        <v>1645.1416469999999</v>
      </c>
      <c r="B2028" s="1">
        <f>DATE(2014,11,1) + TIME(3,23,58)</f>
        <v>41944.141643518517</v>
      </c>
      <c r="C2028">
        <v>80</v>
      </c>
      <c r="D2028">
        <v>79.930854796999995</v>
      </c>
      <c r="E2028">
        <v>50</v>
      </c>
      <c r="F2028">
        <v>41.993019103999998</v>
      </c>
      <c r="G2028">
        <v>1302.3161620999999</v>
      </c>
      <c r="H2028">
        <v>1289.9227295000001</v>
      </c>
      <c r="I2028">
        <v>1404.2943115</v>
      </c>
      <c r="J2028">
        <v>1381.3564452999999</v>
      </c>
      <c r="K2028">
        <v>0</v>
      </c>
      <c r="L2028">
        <v>2400</v>
      </c>
      <c r="M2028">
        <v>2400</v>
      </c>
      <c r="N2028">
        <v>0</v>
      </c>
    </row>
    <row r="2029" spans="1:14" x14ac:dyDescent="0.25">
      <c r="A2029">
        <v>1645.2023750000001</v>
      </c>
      <c r="B2029" s="1">
        <f>DATE(2014,11,1) + TIME(4,51,25)</f>
        <v>41944.202372685184</v>
      </c>
      <c r="C2029">
        <v>80</v>
      </c>
      <c r="D2029">
        <v>79.921241760000001</v>
      </c>
      <c r="E2029">
        <v>50</v>
      </c>
      <c r="F2029">
        <v>42.551872252999999</v>
      </c>
      <c r="G2029">
        <v>1302.0720214999999</v>
      </c>
      <c r="H2029">
        <v>1289.6767577999999</v>
      </c>
      <c r="I2029">
        <v>1404.0512695</v>
      </c>
      <c r="J2029">
        <v>1381.3245850000001</v>
      </c>
      <c r="K2029">
        <v>0</v>
      </c>
      <c r="L2029">
        <v>2400</v>
      </c>
      <c r="M2029">
        <v>2400</v>
      </c>
      <c r="N2029">
        <v>0</v>
      </c>
    </row>
    <row r="2030" spans="1:14" x14ac:dyDescent="0.25">
      <c r="A2030">
        <v>1645.2665360000001</v>
      </c>
      <c r="B2030" s="1">
        <f>DATE(2014,11,1) + TIME(6,23,48)</f>
        <v>41944.266527777778</v>
      </c>
      <c r="C2030">
        <v>80</v>
      </c>
      <c r="D2030">
        <v>79.911323546999995</v>
      </c>
      <c r="E2030">
        <v>50</v>
      </c>
      <c r="F2030">
        <v>43.099376677999999</v>
      </c>
      <c r="G2030">
        <v>1302.0020752</v>
      </c>
      <c r="H2030">
        <v>1289.6060791</v>
      </c>
      <c r="I2030">
        <v>1403.713501</v>
      </c>
      <c r="J2030">
        <v>1381.1920166</v>
      </c>
      <c r="K2030">
        <v>0</v>
      </c>
      <c r="L2030">
        <v>2400</v>
      </c>
      <c r="M2030">
        <v>2400</v>
      </c>
      <c r="N2030">
        <v>0</v>
      </c>
    </row>
    <row r="2031" spans="1:14" x14ac:dyDescent="0.25">
      <c r="A2031">
        <v>1645.334558</v>
      </c>
      <c r="B2031" s="1">
        <f>DATE(2014,11,1) + TIME(8,1,45)</f>
        <v>41944.334548611114</v>
      </c>
      <c r="C2031">
        <v>80</v>
      </c>
      <c r="D2031">
        <v>79.901046753000003</v>
      </c>
      <c r="E2031">
        <v>50</v>
      </c>
      <c r="F2031">
        <v>43.635185241999999</v>
      </c>
      <c r="G2031">
        <v>1301.9796143000001</v>
      </c>
      <c r="H2031">
        <v>1289.5828856999999</v>
      </c>
      <c r="I2031">
        <v>1403.3775635</v>
      </c>
      <c r="J2031">
        <v>1381.0538329999999</v>
      </c>
      <c r="K2031">
        <v>0</v>
      </c>
      <c r="L2031">
        <v>2400</v>
      </c>
      <c r="M2031">
        <v>2400</v>
      </c>
      <c r="N2031">
        <v>0</v>
      </c>
    </row>
    <row r="2032" spans="1:14" x14ac:dyDescent="0.25">
      <c r="A2032">
        <v>1645.406968</v>
      </c>
      <c r="B2032" s="1">
        <f>DATE(2014,11,1) + TIME(9,46,2)</f>
        <v>41944.406967592593</v>
      </c>
      <c r="C2032">
        <v>80</v>
      </c>
      <c r="D2032">
        <v>79.890342712000006</v>
      </c>
      <c r="E2032">
        <v>50</v>
      </c>
      <c r="F2032">
        <v>44.158977509000003</v>
      </c>
      <c r="G2032">
        <v>1301.9708252</v>
      </c>
      <c r="H2032">
        <v>1289.5736084</v>
      </c>
      <c r="I2032">
        <v>1403.0545654</v>
      </c>
      <c r="J2032">
        <v>1380.9212646000001</v>
      </c>
      <c r="K2032">
        <v>0</v>
      </c>
      <c r="L2032">
        <v>2400</v>
      </c>
      <c r="M2032">
        <v>2400</v>
      </c>
      <c r="N2032">
        <v>0</v>
      </c>
    </row>
    <row r="2033" spans="1:14" x14ac:dyDescent="0.25">
      <c r="A2033">
        <v>1645.4844049999999</v>
      </c>
      <c r="B2033" s="1">
        <f>DATE(2014,11,1) + TIME(11,37,32)</f>
        <v>41944.484398148146</v>
      </c>
      <c r="C2033">
        <v>80</v>
      </c>
      <c r="D2033">
        <v>79.879150390999996</v>
      </c>
      <c r="E2033">
        <v>50</v>
      </c>
      <c r="F2033">
        <v>44.670375823999997</v>
      </c>
      <c r="G2033">
        <v>1301.9663086</v>
      </c>
      <c r="H2033">
        <v>1289.5684814000001</v>
      </c>
      <c r="I2033">
        <v>1402.7432861</v>
      </c>
      <c r="J2033">
        <v>1380.7932129000001</v>
      </c>
      <c r="K2033">
        <v>0</v>
      </c>
      <c r="L2033">
        <v>2400</v>
      </c>
      <c r="M2033">
        <v>2400</v>
      </c>
      <c r="N2033">
        <v>0</v>
      </c>
    </row>
    <row r="2034" spans="1:14" x14ac:dyDescent="0.25">
      <c r="A2034">
        <v>1645.5676530000001</v>
      </c>
      <c r="B2034" s="1">
        <f>DATE(2014,11,1) + TIME(13,37,25)</f>
        <v>41944.567650462966</v>
      </c>
      <c r="C2034">
        <v>80</v>
      </c>
      <c r="D2034">
        <v>79.867393493999998</v>
      </c>
      <c r="E2034">
        <v>50</v>
      </c>
      <c r="F2034">
        <v>45.168933868000003</v>
      </c>
      <c r="G2034">
        <v>1301.9630127</v>
      </c>
      <c r="H2034">
        <v>1289.5645752</v>
      </c>
      <c r="I2034">
        <v>1402.4421387</v>
      </c>
      <c r="J2034">
        <v>1380.6679687999999</v>
      </c>
      <c r="K2034">
        <v>0</v>
      </c>
      <c r="L2034">
        <v>2400</v>
      </c>
      <c r="M2034">
        <v>2400</v>
      </c>
      <c r="N2034">
        <v>0</v>
      </c>
    </row>
    <row r="2035" spans="1:14" x14ac:dyDescent="0.25">
      <c r="A2035">
        <v>1645.6576849999999</v>
      </c>
      <c r="B2035" s="1">
        <f>DATE(2014,11,1) + TIME(15,47,3)</f>
        <v>41944.657673611109</v>
      </c>
      <c r="C2035">
        <v>80</v>
      </c>
      <c r="D2035">
        <v>79.854980468999997</v>
      </c>
      <c r="E2035">
        <v>50</v>
      </c>
      <c r="F2035">
        <v>45.654090881000002</v>
      </c>
      <c r="G2035">
        <v>1301.9598389</v>
      </c>
      <c r="H2035">
        <v>1289.5607910000001</v>
      </c>
      <c r="I2035">
        <v>1402.1499022999999</v>
      </c>
      <c r="J2035">
        <v>1380.5446777</v>
      </c>
      <c r="K2035">
        <v>0</v>
      </c>
      <c r="L2035">
        <v>2400</v>
      </c>
      <c r="M2035">
        <v>2400</v>
      </c>
      <c r="N2035">
        <v>0</v>
      </c>
    </row>
    <row r="2036" spans="1:14" x14ac:dyDescent="0.25">
      <c r="A2036">
        <v>1645.755727</v>
      </c>
      <c r="B2036" s="1">
        <f>DATE(2014,11,1) + TIME(18,8,14)</f>
        <v>41944.75571759259</v>
      </c>
      <c r="C2036">
        <v>80</v>
      </c>
      <c r="D2036">
        <v>79.841789246000005</v>
      </c>
      <c r="E2036">
        <v>50</v>
      </c>
      <c r="F2036">
        <v>46.125152587999999</v>
      </c>
      <c r="G2036">
        <v>1301.9566649999999</v>
      </c>
      <c r="H2036">
        <v>1289.5570068</v>
      </c>
      <c r="I2036">
        <v>1401.8658447</v>
      </c>
      <c r="J2036">
        <v>1380.4227295000001</v>
      </c>
      <c r="K2036">
        <v>0</v>
      </c>
      <c r="L2036">
        <v>2400</v>
      </c>
      <c r="M2036">
        <v>2400</v>
      </c>
      <c r="N2036">
        <v>0</v>
      </c>
    </row>
    <row r="2037" spans="1:14" x14ac:dyDescent="0.25">
      <c r="A2037">
        <v>1645.8633400000001</v>
      </c>
      <c r="B2037" s="1">
        <f>DATE(2014,11,1) + TIME(20,43,12)</f>
        <v>41944.863333333335</v>
      </c>
      <c r="C2037">
        <v>80</v>
      </c>
      <c r="D2037">
        <v>79.827682495000005</v>
      </c>
      <c r="E2037">
        <v>50</v>
      </c>
      <c r="F2037">
        <v>46.581233978</v>
      </c>
      <c r="G2037">
        <v>1301.953125</v>
      </c>
      <c r="H2037">
        <v>1289.5527344</v>
      </c>
      <c r="I2037">
        <v>1401.5894774999999</v>
      </c>
      <c r="J2037">
        <v>1380.3013916</v>
      </c>
      <c r="K2037">
        <v>0</v>
      </c>
      <c r="L2037">
        <v>2400</v>
      </c>
      <c r="M2037">
        <v>2400</v>
      </c>
      <c r="N2037">
        <v>0</v>
      </c>
    </row>
    <row r="2038" spans="1:14" x14ac:dyDescent="0.25">
      <c r="A2038">
        <v>1645.982616</v>
      </c>
      <c r="B2038" s="1">
        <f>DATE(2014,11,1) + TIME(23,34,58)</f>
        <v>41944.982615740744</v>
      </c>
      <c r="C2038">
        <v>80</v>
      </c>
      <c r="D2038">
        <v>79.812461853000002</v>
      </c>
      <c r="E2038">
        <v>50</v>
      </c>
      <c r="F2038">
        <v>47.021385193</v>
      </c>
      <c r="G2038">
        <v>1301.9493408000001</v>
      </c>
      <c r="H2038">
        <v>1289.5482178</v>
      </c>
      <c r="I2038">
        <v>1401.3200684000001</v>
      </c>
      <c r="J2038">
        <v>1380.1802978999999</v>
      </c>
      <c r="K2038">
        <v>0</v>
      </c>
      <c r="L2038">
        <v>2400</v>
      </c>
      <c r="M2038">
        <v>2400</v>
      </c>
      <c r="N2038">
        <v>0</v>
      </c>
    </row>
    <row r="2039" spans="1:14" x14ac:dyDescent="0.25">
      <c r="A2039">
        <v>1646.116348</v>
      </c>
      <c r="B2039" s="1">
        <f>DATE(2014,11,2) + TIME(2,47,32)</f>
        <v>41945.116342592592</v>
      </c>
      <c r="C2039">
        <v>80</v>
      </c>
      <c r="D2039">
        <v>79.795875549000002</v>
      </c>
      <c r="E2039">
        <v>50</v>
      </c>
      <c r="F2039">
        <v>47.444339751999998</v>
      </c>
      <c r="G2039">
        <v>1301.9450684000001</v>
      </c>
      <c r="H2039">
        <v>1289.5432129000001</v>
      </c>
      <c r="I2039">
        <v>1401.0571289</v>
      </c>
      <c r="J2039">
        <v>1380.0588379000001</v>
      </c>
      <c r="K2039">
        <v>0</v>
      </c>
      <c r="L2039">
        <v>2400</v>
      </c>
      <c r="M2039">
        <v>2400</v>
      </c>
      <c r="N2039">
        <v>0</v>
      </c>
    </row>
    <row r="2040" spans="1:14" x14ac:dyDescent="0.25">
      <c r="A2040">
        <v>1646.268409</v>
      </c>
      <c r="B2040" s="1">
        <f>DATE(2014,11,2) + TIME(6,26,30)</f>
        <v>41945.26840277778</v>
      </c>
      <c r="C2040">
        <v>80</v>
      </c>
      <c r="D2040">
        <v>79.777595520000006</v>
      </c>
      <c r="E2040">
        <v>50</v>
      </c>
      <c r="F2040">
        <v>47.848495483000001</v>
      </c>
      <c r="G2040">
        <v>1301.9403076000001</v>
      </c>
      <c r="H2040">
        <v>1289.5374756000001</v>
      </c>
      <c r="I2040">
        <v>1400.8001709</v>
      </c>
      <c r="J2040">
        <v>1379.9362793</v>
      </c>
      <c r="K2040">
        <v>0</v>
      </c>
      <c r="L2040">
        <v>2400</v>
      </c>
      <c r="M2040">
        <v>2400</v>
      </c>
      <c r="N2040">
        <v>0</v>
      </c>
    </row>
    <row r="2041" spans="1:14" x14ac:dyDescent="0.25">
      <c r="A2041">
        <v>1646.4443650000001</v>
      </c>
      <c r="B2041" s="1">
        <f>DATE(2014,11,2) + TIME(10,39,53)</f>
        <v>41945.444363425922</v>
      </c>
      <c r="C2041">
        <v>80</v>
      </c>
      <c r="D2041">
        <v>79.757133483999993</v>
      </c>
      <c r="E2041">
        <v>50</v>
      </c>
      <c r="F2041">
        <v>48.231788635000001</v>
      </c>
      <c r="G2041">
        <v>1301.9349365</v>
      </c>
      <c r="H2041">
        <v>1289.5311279</v>
      </c>
      <c r="I2041">
        <v>1400.5485839999999</v>
      </c>
      <c r="J2041">
        <v>1379.8115233999999</v>
      </c>
      <c r="K2041">
        <v>0</v>
      </c>
      <c r="L2041">
        <v>2400</v>
      </c>
      <c r="M2041">
        <v>2400</v>
      </c>
      <c r="N2041">
        <v>0</v>
      </c>
    </row>
    <row r="2042" spans="1:14" x14ac:dyDescent="0.25">
      <c r="A2042">
        <v>1646.652576</v>
      </c>
      <c r="B2042" s="1">
        <f>DATE(2014,11,2) + TIME(15,39,42)</f>
        <v>41945.652569444443</v>
      </c>
      <c r="C2042">
        <v>80</v>
      </c>
      <c r="D2042">
        <v>79.733825683999996</v>
      </c>
      <c r="E2042">
        <v>50</v>
      </c>
      <c r="F2042">
        <v>48.591537475999999</v>
      </c>
      <c r="G2042">
        <v>1301.9287108999999</v>
      </c>
      <c r="H2042">
        <v>1289.5238036999999</v>
      </c>
      <c r="I2042">
        <v>1400.3013916</v>
      </c>
      <c r="J2042">
        <v>1379.6835937999999</v>
      </c>
      <c r="K2042">
        <v>0</v>
      </c>
      <c r="L2042">
        <v>2400</v>
      </c>
      <c r="M2042">
        <v>2400</v>
      </c>
      <c r="N2042">
        <v>0</v>
      </c>
    </row>
    <row r="2043" spans="1:14" x14ac:dyDescent="0.25">
      <c r="A2043">
        <v>1646.8803660000001</v>
      </c>
      <c r="B2043" s="1">
        <f>DATE(2014,11,2) + TIME(21,7,43)</f>
        <v>41945.880358796298</v>
      </c>
      <c r="C2043">
        <v>80</v>
      </c>
      <c r="D2043">
        <v>79.708824157999999</v>
      </c>
      <c r="E2043">
        <v>50</v>
      </c>
      <c r="F2043">
        <v>48.897720337000003</v>
      </c>
      <c r="G2043">
        <v>1301.9212646000001</v>
      </c>
      <c r="H2043">
        <v>1289.5152588000001</v>
      </c>
      <c r="I2043">
        <v>1400.0745850000001</v>
      </c>
      <c r="J2043">
        <v>1379.5582274999999</v>
      </c>
      <c r="K2043">
        <v>0</v>
      </c>
      <c r="L2043">
        <v>2400</v>
      </c>
      <c r="M2043">
        <v>2400</v>
      </c>
      <c r="N2043">
        <v>0</v>
      </c>
    </row>
    <row r="2044" spans="1:14" x14ac:dyDescent="0.25">
      <c r="A2044">
        <v>1647.1111780000001</v>
      </c>
      <c r="B2044" s="1">
        <f>DATE(2014,11,3) + TIME(2,40,5)</f>
        <v>41946.111168981479</v>
      </c>
      <c r="C2044">
        <v>80</v>
      </c>
      <c r="D2044">
        <v>79.683532714999998</v>
      </c>
      <c r="E2044">
        <v>50</v>
      </c>
      <c r="F2044">
        <v>49.138351440000001</v>
      </c>
      <c r="G2044">
        <v>1301.9130858999999</v>
      </c>
      <c r="H2044">
        <v>1289.5059814000001</v>
      </c>
      <c r="I2044">
        <v>1399.8776855000001</v>
      </c>
      <c r="J2044">
        <v>1379.4415283000001</v>
      </c>
      <c r="K2044">
        <v>0</v>
      </c>
      <c r="L2044">
        <v>2400</v>
      </c>
      <c r="M2044">
        <v>2400</v>
      </c>
      <c r="N2044">
        <v>0</v>
      </c>
    </row>
    <row r="2045" spans="1:14" x14ac:dyDescent="0.25">
      <c r="A2045">
        <v>1647.3497649999999</v>
      </c>
      <c r="B2045" s="1">
        <f>DATE(2014,11,3) + TIME(8,23,39)</f>
        <v>41946.349756944444</v>
      </c>
      <c r="C2045">
        <v>80</v>
      </c>
      <c r="D2045">
        <v>79.657585143999995</v>
      </c>
      <c r="E2045">
        <v>50</v>
      </c>
      <c r="F2045">
        <v>49.329826355000002</v>
      </c>
      <c r="G2045">
        <v>1301.9047852000001</v>
      </c>
      <c r="H2045">
        <v>1289.496582</v>
      </c>
      <c r="I2045">
        <v>1399.7054443</v>
      </c>
      <c r="J2045">
        <v>1379.3345947</v>
      </c>
      <c r="K2045">
        <v>0</v>
      </c>
      <c r="L2045">
        <v>2400</v>
      </c>
      <c r="M2045">
        <v>2400</v>
      </c>
      <c r="N2045">
        <v>0</v>
      </c>
    </row>
    <row r="2046" spans="1:14" x14ac:dyDescent="0.25">
      <c r="A2046">
        <v>1647.598874</v>
      </c>
      <c r="B2046" s="1">
        <f>DATE(2014,11,3) + TIME(14,22,22)</f>
        <v>41946.598865740743</v>
      </c>
      <c r="C2046">
        <v>80</v>
      </c>
      <c r="D2046">
        <v>79.630767821999996</v>
      </c>
      <c r="E2046">
        <v>50</v>
      </c>
      <c r="F2046">
        <v>49.482192992999998</v>
      </c>
      <c r="G2046">
        <v>1301.8962402</v>
      </c>
      <c r="H2046">
        <v>1289.4869385</v>
      </c>
      <c r="I2046">
        <v>1399.552124</v>
      </c>
      <c r="J2046">
        <v>1379.2346190999999</v>
      </c>
      <c r="K2046">
        <v>0</v>
      </c>
      <c r="L2046">
        <v>2400</v>
      </c>
      <c r="M2046">
        <v>2400</v>
      </c>
      <c r="N2046">
        <v>0</v>
      </c>
    </row>
    <row r="2047" spans="1:14" x14ac:dyDescent="0.25">
      <c r="A2047">
        <v>1647.8616919999999</v>
      </c>
      <c r="B2047" s="1">
        <f>DATE(2014,11,3) + TIME(20,40,50)</f>
        <v>41946.861689814818</v>
      </c>
      <c r="C2047">
        <v>80</v>
      </c>
      <c r="D2047">
        <v>79.602821349999999</v>
      </c>
      <c r="E2047">
        <v>50</v>
      </c>
      <c r="F2047">
        <v>49.603157043000003</v>
      </c>
      <c r="G2047">
        <v>1301.8873291</v>
      </c>
      <c r="H2047">
        <v>1289.4768065999999</v>
      </c>
      <c r="I2047">
        <v>1399.4134521000001</v>
      </c>
      <c r="J2047">
        <v>1379.1398925999999</v>
      </c>
      <c r="K2047">
        <v>0</v>
      </c>
      <c r="L2047">
        <v>2400</v>
      </c>
      <c r="M2047">
        <v>2400</v>
      </c>
      <c r="N2047">
        <v>0</v>
      </c>
    </row>
    <row r="2048" spans="1:14" x14ac:dyDescent="0.25">
      <c r="A2048">
        <v>1648.141836</v>
      </c>
      <c r="B2048" s="1">
        <f>DATE(2014,11,4) + TIME(3,24,14)</f>
        <v>41947.141828703701</v>
      </c>
      <c r="C2048">
        <v>80</v>
      </c>
      <c r="D2048">
        <v>79.573463439999998</v>
      </c>
      <c r="E2048">
        <v>50</v>
      </c>
      <c r="F2048">
        <v>49.698657990000001</v>
      </c>
      <c r="G2048">
        <v>1301.8780518000001</v>
      </c>
      <c r="H2048">
        <v>1289.4660644999999</v>
      </c>
      <c r="I2048">
        <v>1399.2862548999999</v>
      </c>
      <c r="J2048">
        <v>1379.0491943</v>
      </c>
      <c r="K2048">
        <v>0</v>
      </c>
      <c r="L2048">
        <v>2400</v>
      </c>
      <c r="M2048">
        <v>2400</v>
      </c>
      <c r="N2048">
        <v>0</v>
      </c>
    </row>
    <row r="2049" spans="1:14" x14ac:dyDescent="0.25">
      <c r="A2049">
        <v>1648.443757</v>
      </c>
      <c r="B2049" s="1">
        <f>DATE(2014,11,4) + TIME(10,39,0)</f>
        <v>41947.443749999999</v>
      </c>
      <c r="C2049">
        <v>80</v>
      </c>
      <c r="D2049">
        <v>79.542350768999995</v>
      </c>
      <c r="E2049">
        <v>50</v>
      </c>
      <c r="F2049">
        <v>49.7734375</v>
      </c>
      <c r="G2049">
        <v>1301.8680420000001</v>
      </c>
      <c r="H2049">
        <v>1289.4547118999999</v>
      </c>
      <c r="I2049">
        <v>1399.1677245999999</v>
      </c>
      <c r="J2049">
        <v>1378.9610596</v>
      </c>
      <c r="K2049">
        <v>0</v>
      </c>
      <c r="L2049">
        <v>2400</v>
      </c>
      <c r="M2049">
        <v>2400</v>
      </c>
      <c r="N2049">
        <v>0</v>
      </c>
    </row>
    <row r="2050" spans="1:14" x14ac:dyDescent="0.25">
      <c r="A2050">
        <v>1648.772213</v>
      </c>
      <c r="B2050" s="1">
        <f>DATE(2014,11,4) + TIME(18,31,59)</f>
        <v>41947.772210648145</v>
      </c>
      <c r="C2050">
        <v>80</v>
      </c>
      <c r="D2050">
        <v>79.509101868000002</v>
      </c>
      <c r="E2050">
        <v>50</v>
      </c>
      <c r="F2050">
        <v>49.831199646000002</v>
      </c>
      <c r="G2050">
        <v>1301.8574219</v>
      </c>
      <c r="H2050">
        <v>1289.4425048999999</v>
      </c>
      <c r="I2050">
        <v>1399.0554199000001</v>
      </c>
      <c r="J2050">
        <v>1378.8742675999999</v>
      </c>
      <c r="K2050">
        <v>0</v>
      </c>
      <c r="L2050">
        <v>2400</v>
      </c>
      <c r="M2050">
        <v>2400</v>
      </c>
      <c r="N2050">
        <v>0</v>
      </c>
    </row>
    <row r="2051" spans="1:14" x14ac:dyDescent="0.25">
      <c r="A2051">
        <v>1649.1275989999999</v>
      </c>
      <c r="B2051" s="1">
        <f>DATE(2014,11,5) + TIME(3,3,44)</f>
        <v>41948.127592592595</v>
      </c>
      <c r="C2051">
        <v>80</v>
      </c>
      <c r="D2051">
        <v>79.473655700999998</v>
      </c>
      <c r="E2051">
        <v>50</v>
      </c>
      <c r="F2051">
        <v>49.874603270999998</v>
      </c>
      <c r="G2051">
        <v>1301.8458252</v>
      </c>
      <c r="H2051">
        <v>1289.4293213000001</v>
      </c>
      <c r="I2051">
        <v>1398.9477539</v>
      </c>
      <c r="J2051">
        <v>1378.7882079999999</v>
      </c>
      <c r="K2051">
        <v>0</v>
      </c>
      <c r="L2051">
        <v>2400</v>
      </c>
      <c r="M2051">
        <v>2400</v>
      </c>
      <c r="N2051">
        <v>0</v>
      </c>
    </row>
    <row r="2052" spans="1:14" x14ac:dyDescent="0.25">
      <c r="A2052">
        <v>1649.51711</v>
      </c>
      <c r="B2052" s="1">
        <f>DATE(2014,11,5) + TIME(12,24,38)</f>
        <v>41948.517106481479</v>
      </c>
      <c r="C2052">
        <v>80</v>
      </c>
      <c r="D2052">
        <v>79.435493468999994</v>
      </c>
      <c r="E2052">
        <v>50</v>
      </c>
      <c r="F2052">
        <v>49.906757355000003</v>
      </c>
      <c r="G2052">
        <v>1301.8332519999999</v>
      </c>
      <c r="H2052">
        <v>1289.4150391000001</v>
      </c>
      <c r="I2052">
        <v>1398.8438721</v>
      </c>
      <c r="J2052">
        <v>1378.7028809000001</v>
      </c>
      <c r="K2052">
        <v>0</v>
      </c>
      <c r="L2052">
        <v>2400</v>
      </c>
      <c r="M2052">
        <v>2400</v>
      </c>
      <c r="N2052">
        <v>0</v>
      </c>
    </row>
    <row r="2053" spans="1:14" x14ac:dyDescent="0.25">
      <c r="A2053">
        <v>1649.949507</v>
      </c>
      <c r="B2053" s="1">
        <f>DATE(2014,11,5) + TIME(22,47,17)</f>
        <v>41948.949502314812</v>
      </c>
      <c r="C2053">
        <v>80</v>
      </c>
      <c r="D2053">
        <v>79.393997192</v>
      </c>
      <c r="E2053">
        <v>50</v>
      </c>
      <c r="F2053">
        <v>49.930107116999999</v>
      </c>
      <c r="G2053">
        <v>1301.8194579999999</v>
      </c>
      <c r="H2053">
        <v>1289.3992920000001</v>
      </c>
      <c r="I2053">
        <v>1398.7418213000001</v>
      </c>
      <c r="J2053">
        <v>1378.6169434000001</v>
      </c>
      <c r="K2053">
        <v>0</v>
      </c>
      <c r="L2053">
        <v>2400</v>
      </c>
      <c r="M2053">
        <v>2400</v>
      </c>
      <c r="N2053">
        <v>0</v>
      </c>
    </row>
    <row r="2054" spans="1:14" x14ac:dyDescent="0.25">
      <c r="A2054">
        <v>1650.4280329999999</v>
      </c>
      <c r="B2054" s="1">
        <f>DATE(2014,11,6) + TIME(10,16,22)</f>
        <v>41949.428032407406</v>
      </c>
      <c r="C2054">
        <v>80</v>
      </c>
      <c r="D2054">
        <v>79.348854064999998</v>
      </c>
      <c r="E2054">
        <v>50</v>
      </c>
      <c r="F2054">
        <v>49.946475982999999</v>
      </c>
      <c r="G2054">
        <v>1301.8041992000001</v>
      </c>
      <c r="H2054">
        <v>1289.3819579999999</v>
      </c>
      <c r="I2054">
        <v>1398.6396483999999</v>
      </c>
      <c r="J2054">
        <v>1378.5294189000001</v>
      </c>
      <c r="K2054">
        <v>0</v>
      </c>
      <c r="L2054">
        <v>2400</v>
      </c>
      <c r="M2054">
        <v>2400</v>
      </c>
      <c r="N2054">
        <v>0</v>
      </c>
    </row>
    <row r="2055" spans="1:14" x14ac:dyDescent="0.25">
      <c r="A2055">
        <v>1650.9139419999999</v>
      </c>
      <c r="B2055" s="1">
        <f>DATE(2014,11,6) + TIME(21,56,4)</f>
        <v>41949.913935185185</v>
      </c>
      <c r="C2055">
        <v>80</v>
      </c>
      <c r="D2055">
        <v>79.302238463999998</v>
      </c>
      <c r="E2055">
        <v>50</v>
      </c>
      <c r="F2055">
        <v>49.956985474</v>
      </c>
      <c r="G2055">
        <v>1301.7871094</v>
      </c>
      <c r="H2055">
        <v>1289.3629149999999</v>
      </c>
      <c r="I2055">
        <v>1398.5375977000001</v>
      </c>
      <c r="J2055">
        <v>1378.4407959</v>
      </c>
      <c r="K2055">
        <v>0</v>
      </c>
      <c r="L2055">
        <v>2400</v>
      </c>
      <c r="M2055">
        <v>2400</v>
      </c>
      <c r="N2055">
        <v>0</v>
      </c>
    </row>
    <row r="2056" spans="1:14" x14ac:dyDescent="0.25">
      <c r="A2056">
        <v>1651.4096440000001</v>
      </c>
      <c r="B2056" s="1">
        <f>DATE(2014,11,7) + TIME(9,49,53)</f>
        <v>41950.409641203703</v>
      </c>
      <c r="C2056">
        <v>80</v>
      </c>
      <c r="D2056">
        <v>79.254447936999995</v>
      </c>
      <c r="E2056">
        <v>50</v>
      </c>
      <c r="F2056">
        <v>49.963760376000003</v>
      </c>
      <c r="G2056">
        <v>1301.7698975000001</v>
      </c>
      <c r="H2056">
        <v>1289.3433838000001</v>
      </c>
      <c r="I2056">
        <v>1398.4428711</v>
      </c>
      <c r="J2056">
        <v>1378.3577881000001</v>
      </c>
      <c r="K2056">
        <v>0</v>
      </c>
      <c r="L2056">
        <v>2400</v>
      </c>
      <c r="M2056">
        <v>2400</v>
      </c>
      <c r="N2056">
        <v>0</v>
      </c>
    </row>
    <row r="2057" spans="1:14" x14ac:dyDescent="0.25">
      <c r="A2057">
        <v>1651.920273</v>
      </c>
      <c r="B2057" s="1">
        <f>DATE(2014,11,7) + TIME(22,5,11)</f>
        <v>41950.920266203706</v>
      </c>
      <c r="C2057">
        <v>80</v>
      </c>
      <c r="D2057">
        <v>79.205444335999999</v>
      </c>
      <c r="E2057">
        <v>50</v>
      </c>
      <c r="F2057">
        <v>49.968147278000004</v>
      </c>
      <c r="G2057">
        <v>1301.7521973</v>
      </c>
      <c r="H2057">
        <v>1289.3234863</v>
      </c>
      <c r="I2057">
        <v>1398.3536377</v>
      </c>
      <c r="J2057">
        <v>1378.2795410000001</v>
      </c>
      <c r="K2057">
        <v>0</v>
      </c>
      <c r="L2057">
        <v>2400</v>
      </c>
      <c r="M2057">
        <v>2400</v>
      </c>
      <c r="N2057">
        <v>0</v>
      </c>
    </row>
    <row r="2058" spans="1:14" x14ac:dyDescent="0.25">
      <c r="A2058">
        <v>1652.4524429999999</v>
      </c>
      <c r="B2058" s="1">
        <f>DATE(2014,11,8) + TIME(10,51,31)</f>
        <v>41951.45244212963</v>
      </c>
      <c r="C2058">
        <v>80</v>
      </c>
      <c r="D2058">
        <v>79.154945373999993</v>
      </c>
      <c r="E2058">
        <v>50</v>
      </c>
      <c r="F2058">
        <v>49.971008300999998</v>
      </c>
      <c r="G2058">
        <v>1301.7341309000001</v>
      </c>
      <c r="H2058">
        <v>1289.3028564000001</v>
      </c>
      <c r="I2058">
        <v>1398.2683105000001</v>
      </c>
      <c r="J2058">
        <v>1378.2045897999999</v>
      </c>
      <c r="K2058">
        <v>0</v>
      </c>
      <c r="L2058">
        <v>2400</v>
      </c>
      <c r="M2058">
        <v>2400</v>
      </c>
      <c r="N2058">
        <v>0</v>
      </c>
    </row>
    <row r="2059" spans="1:14" x14ac:dyDescent="0.25">
      <c r="A2059">
        <v>1653.0131730000001</v>
      </c>
      <c r="B2059" s="1">
        <f>DATE(2014,11,9) + TIME(0,18,58)</f>
        <v>41952.013171296298</v>
      </c>
      <c r="C2059">
        <v>80</v>
      </c>
      <c r="D2059">
        <v>79.102539062000005</v>
      </c>
      <c r="E2059">
        <v>50</v>
      </c>
      <c r="F2059">
        <v>49.972881317000002</v>
      </c>
      <c r="G2059">
        <v>1301.7152100000001</v>
      </c>
      <c r="H2059">
        <v>1289.2813721</v>
      </c>
      <c r="I2059">
        <v>1398.1854248</v>
      </c>
      <c r="J2059">
        <v>1378.1318358999999</v>
      </c>
      <c r="K2059">
        <v>0</v>
      </c>
      <c r="L2059">
        <v>2400</v>
      </c>
      <c r="M2059">
        <v>2400</v>
      </c>
      <c r="N2059">
        <v>0</v>
      </c>
    </row>
    <row r="2060" spans="1:14" x14ac:dyDescent="0.25">
      <c r="A2060">
        <v>1653.6105809999999</v>
      </c>
      <c r="B2060" s="1">
        <f>DATE(2014,11,9) + TIME(14,39,14)</f>
        <v>41952.610578703701</v>
      </c>
      <c r="C2060">
        <v>80</v>
      </c>
      <c r="D2060">
        <v>79.047721863000007</v>
      </c>
      <c r="E2060">
        <v>50</v>
      </c>
      <c r="F2060">
        <v>49.974105835000003</v>
      </c>
      <c r="G2060">
        <v>1301.6953125</v>
      </c>
      <c r="H2060">
        <v>1289.2587891000001</v>
      </c>
      <c r="I2060">
        <v>1398.1038818</v>
      </c>
      <c r="J2060">
        <v>1378.0603027</v>
      </c>
      <c r="K2060">
        <v>0</v>
      </c>
      <c r="L2060">
        <v>2400</v>
      </c>
      <c r="M2060">
        <v>2400</v>
      </c>
      <c r="N2060">
        <v>0</v>
      </c>
    </row>
    <row r="2061" spans="1:14" x14ac:dyDescent="0.25">
      <c r="A2061">
        <v>1654.254772</v>
      </c>
      <c r="B2061" s="1">
        <f>DATE(2014,11,10) + TIME(6,6,52)</f>
        <v>41953.25476851852</v>
      </c>
      <c r="C2061">
        <v>80</v>
      </c>
      <c r="D2061">
        <v>78.989807128999999</v>
      </c>
      <c r="E2061">
        <v>50</v>
      </c>
      <c r="F2061">
        <v>49.974914550999998</v>
      </c>
      <c r="G2061">
        <v>1301.6740723</v>
      </c>
      <c r="H2061">
        <v>1289.2344971</v>
      </c>
      <c r="I2061">
        <v>1398.0224608999999</v>
      </c>
      <c r="J2061">
        <v>1377.9890137</v>
      </c>
      <c r="K2061">
        <v>0</v>
      </c>
      <c r="L2061">
        <v>2400</v>
      </c>
      <c r="M2061">
        <v>2400</v>
      </c>
      <c r="N2061">
        <v>0</v>
      </c>
    </row>
    <row r="2062" spans="1:14" x14ac:dyDescent="0.25">
      <c r="A2062">
        <v>1654.9586879999999</v>
      </c>
      <c r="B2062" s="1">
        <f>DATE(2014,11,10) + TIME(23,0,30)</f>
        <v>41953.958680555559</v>
      </c>
      <c r="C2062">
        <v>80</v>
      </c>
      <c r="D2062">
        <v>78.927970885999997</v>
      </c>
      <c r="E2062">
        <v>50</v>
      </c>
      <c r="F2062">
        <v>49.975448608000001</v>
      </c>
      <c r="G2062">
        <v>1301.6511230000001</v>
      </c>
      <c r="H2062">
        <v>1289.208374</v>
      </c>
      <c r="I2062">
        <v>1397.9403076000001</v>
      </c>
      <c r="J2062">
        <v>1377.9171143000001</v>
      </c>
      <c r="K2062">
        <v>0</v>
      </c>
      <c r="L2062">
        <v>2400</v>
      </c>
      <c r="M2062">
        <v>2400</v>
      </c>
      <c r="N2062">
        <v>0</v>
      </c>
    </row>
    <row r="2063" spans="1:14" x14ac:dyDescent="0.25">
      <c r="A2063">
        <v>1655.713743</v>
      </c>
      <c r="B2063" s="1">
        <f>DATE(2014,11,11) + TIME(17,7,47)</f>
        <v>41954.713738425926</v>
      </c>
      <c r="C2063">
        <v>80</v>
      </c>
      <c r="D2063">
        <v>78.862258910999998</v>
      </c>
      <c r="E2063">
        <v>50</v>
      </c>
      <c r="F2063">
        <v>49.975795746000003</v>
      </c>
      <c r="G2063">
        <v>1301.6258545000001</v>
      </c>
      <c r="H2063">
        <v>1289.1798096</v>
      </c>
      <c r="I2063">
        <v>1397.8560791</v>
      </c>
      <c r="J2063">
        <v>1377.84375</v>
      </c>
      <c r="K2063">
        <v>0</v>
      </c>
      <c r="L2063">
        <v>2400</v>
      </c>
      <c r="M2063">
        <v>2400</v>
      </c>
      <c r="N2063">
        <v>0</v>
      </c>
    </row>
    <row r="2064" spans="1:14" x14ac:dyDescent="0.25">
      <c r="A2064">
        <v>1656.4835860000001</v>
      </c>
      <c r="B2064" s="1">
        <f>DATE(2014,11,12) + TIME(11,36,21)</f>
        <v>41955.483576388891</v>
      </c>
      <c r="C2064">
        <v>80</v>
      </c>
      <c r="D2064">
        <v>78.794326781999999</v>
      </c>
      <c r="E2064">
        <v>50</v>
      </c>
      <c r="F2064">
        <v>49.976016997999999</v>
      </c>
      <c r="G2064">
        <v>1301.5986327999999</v>
      </c>
      <c r="H2064">
        <v>1289.1490478999999</v>
      </c>
      <c r="I2064">
        <v>1397.7714844</v>
      </c>
      <c r="J2064">
        <v>1377.7701416</v>
      </c>
      <c r="K2064">
        <v>0</v>
      </c>
      <c r="L2064">
        <v>2400</v>
      </c>
      <c r="M2064">
        <v>2400</v>
      </c>
      <c r="N2064">
        <v>0</v>
      </c>
    </row>
    <row r="2065" spans="1:14" x14ac:dyDescent="0.25">
      <c r="A2065">
        <v>1657.280107</v>
      </c>
      <c r="B2065" s="1">
        <f>DATE(2014,11,13) + TIME(6,43,21)</f>
        <v>41956.280104166668</v>
      </c>
      <c r="C2065">
        <v>80</v>
      </c>
      <c r="D2065">
        <v>78.724426269999995</v>
      </c>
      <c r="E2065">
        <v>50</v>
      </c>
      <c r="F2065">
        <v>49.976158142000003</v>
      </c>
      <c r="G2065">
        <v>1301.5708007999999</v>
      </c>
      <c r="H2065">
        <v>1289.1174315999999</v>
      </c>
      <c r="I2065">
        <v>1397.6907959</v>
      </c>
      <c r="J2065">
        <v>1377.7000731999999</v>
      </c>
      <c r="K2065">
        <v>0</v>
      </c>
      <c r="L2065">
        <v>2400</v>
      </c>
      <c r="M2065">
        <v>2400</v>
      </c>
      <c r="N2065">
        <v>0</v>
      </c>
    </row>
    <row r="2066" spans="1:14" x14ac:dyDescent="0.25">
      <c r="A2066">
        <v>1658.0943139999999</v>
      </c>
      <c r="B2066" s="1">
        <f>DATE(2014,11,14) + TIME(2,15,48)</f>
        <v>41957.094305555554</v>
      </c>
      <c r="C2066">
        <v>80</v>
      </c>
      <c r="D2066">
        <v>78.653137207</v>
      </c>
      <c r="E2066">
        <v>50</v>
      </c>
      <c r="F2066">
        <v>49.976249695</v>
      </c>
      <c r="G2066">
        <v>1301.5418701000001</v>
      </c>
      <c r="H2066">
        <v>1289.0845947</v>
      </c>
      <c r="I2066">
        <v>1397.6123047000001</v>
      </c>
      <c r="J2066">
        <v>1377.6322021000001</v>
      </c>
      <c r="K2066">
        <v>0</v>
      </c>
      <c r="L2066">
        <v>2400</v>
      </c>
      <c r="M2066">
        <v>2400</v>
      </c>
      <c r="N2066">
        <v>0</v>
      </c>
    </row>
    <row r="2067" spans="1:14" x14ac:dyDescent="0.25">
      <c r="A2067">
        <v>1658.9368340000001</v>
      </c>
      <c r="B2067" s="1">
        <f>DATE(2014,11,14) + TIME(22,29,2)</f>
        <v>41957.936828703707</v>
      </c>
      <c r="C2067">
        <v>80</v>
      </c>
      <c r="D2067">
        <v>78.580322265999996</v>
      </c>
      <c r="E2067">
        <v>50</v>
      </c>
      <c r="F2067">
        <v>49.976314545000001</v>
      </c>
      <c r="G2067">
        <v>1301.512207</v>
      </c>
      <c r="H2067">
        <v>1289.0507812000001</v>
      </c>
      <c r="I2067">
        <v>1397.5366211</v>
      </c>
      <c r="J2067">
        <v>1377.5668945</v>
      </c>
      <c r="K2067">
        <v>0</v>
      </c>
      <c r="L2067">
        <v>2400</v>
      </c>
      <c r="M2067">
        <v>2400</v>
      </c>
      <c r="N2067">
        <v>0</v>
      </c>
    </row>
    <row r="2068" spans="1:14" x14ac:dyDescent="0.25">
      <c r="A2068">
        <v>1659.818665</v>
      </c>
      <c r="B2068" s="1">
        <f>DATE(2014,11,15) + TIME(19,38,52)</f>
        <v>41958.818657407406</v>
      </c>
      <c r="C2068">
        <v>80</v>
      </c>
      <c r="D2068">
        <v>78.505477905000006</v>
      </c>
      <c r="E2068">
        <v>50</v>
      </c>
      <c r="F2068">
        <v>49.976360321000001</v>
      </c>
      <c r="G2068">
        <v>1301.4813231999999</v>
      </c>
      <c r="H2068">
        <v>1289.0155029</v>
      </c>
      <c r="I2068">
        <v>1397.4627685999999</v>
      </c>
      <c r="J2068">
        <v>1377.5032959</v>
      </c>
      <c r="K2068">
        <v>0</v>
      </c>
      <c r="L2068">
        <v>2400</v>
      </c>
      <c r="M2068">
        <v>2400</v>
      </c>
      <c r="N2068">
        <v>0</v>
      </c>
    </row>
    <row r="2069" spans="1:14" x14ac:dyDescent="0.25">
      <c r="A2069">
        <v>1660.7521690000001</v>
      </c>
      <c r="B2069" s="1">
        <f>DATE(2014,11,16) + TIME(18,3,7)</f>
        <v>41959.752164351848</v>
      </c>
      <c r="C2069">
        <v>80</v>
      </c>
      <c r="D2069">
        <v>78.427886963000006</v>
      </c>
      <c r="E2069">
        <v>50</v>
      </c>
      <c r="F2069">
        <v>49.976390838999997</v>
      </c>
      <c r="G2069">
        <v>1301.4488524999999</v>
      </c>
      <c r="H2069">
        <v>1288.9783935999999</v>
      </c>
      <c r="I2069">
        <v>1397.3895264</v>
      </c>
      <c r="J2069">
        <v>1377.4403076000001</v>
      </c>
      <c r="K2069">
        <v>0</v>
      </c>
      <c r="L2069">
        <v>2400</v>
      </c>
      <c r="M2069">
        <v>2400</v>
      </c>
      <c r="N2069">
        <v>0</v>
      </c>
    </row>
    <row r="2070" spans="1:14" x14ac:dyDescent="0.25">
      <c r="A2070">
        <v>1661.7527</v>
      </c>
      <c r="B2070" s="1">
        <f>DATE(2014,11,17) + TIME(18,3,53)</f>
        <v>41960.752696759257</v>
      </c>
      <c r="C2070">
        <v>80</v>
      </c>
      <c r="D2070">
        <v>78.346633910999998</v>
      </c>
      <c r="E2070">
        <v>50</v>
      </c>
      <c r="F2070">
        <v>49.976417542</v>
      </c>
      <c r="G2070">
        <v>1301.4143065999999</v>
      </c>
      <c r="H2070">
        <v>1288.9387207</v>
      </c>
      <c r="I2070">
        <v>1397.3161620999999</v>
      </c>
      <c r="J2070">
        <v>1377.3774414</v>
      </c>
      <c r="K2070">
        <v>0</v>
      </c>
      <c r="L2070">
        <v>2400</v>
      </c>
      <c r="M2070">
        <v>2400</v>
      </c>
      <c r="N2070">
        <v>0</v>
      </c>
    </row>
    <row r="2071" spans="1:14" x14ac:dyDescent="0.25">
      <c r="A2071">
        <v>1662.805081</v>
      </c>
      <c r="B2071" s="1">
        <f>DATE(2014,11,18) + TIME(19,19,18)</f>
        <v>41961.805069444446</v>
      </c>
      <c r="C2071">
        <v>80</v>
      </c>
      <c r="D2071">
        <v>78.261779785000002</v>
      </c>
      <c r="E2071">
        <v>50</v>
      </c>
      <c r="F2071">
        <v>49.976436614999997</v>
      </c>
      <c r="G2071">
        <v>1301.3769531</v>
      </c>
      <c r="H2071">
        <v>1288.895874</v>
      </c>
      <c r="I2071">
        <v>1397.2416992000001</v>
      </c>
      <c r="J2071">
        <v>1377.3137207</v>
      </c>
      <c r="K2071">
        <v>0</v>
      </c>
      <c r="L2071">
        <v>2400</v>
      </c>
      <c r="M2071">
        <v>2400</v>
      </c>
      <c r="N2071">
        <v>0</v>
      </c>
    </row>
    <row r="2072" spans="1:14" x14ac:dyDescent="0.25">
      <c r="A2072">
        <v>1663.8953409999999</v>
      </c>
      <c r="B2072" s="1">
        <f>DATE(2014,11,19) + TIME(21,29,17)</f>
        <v>41962.895335648151</v>
      </c>
      <c r="C2072">
        <v>80</v>
      </c>
      <c r="D2072">
        <v>78.174034118999998</v>
      </c>
      <c r="E2072">
        <v>50</v>
      </c>
      <c r="F2072">
        <v>49.976451873999999</v>
      </c>
      <c r="G2072">
        <v>1301.3372803</v>
      </c>
      <c r="H2072">
        <v>1288.8503418</v>
      </c>
      <c r="I2072">
        <v>1397.1676024999999</v>
      </c>
      <c r="J2072">
        <v>1377.2503661999999</v>
      </c>
      <c r="K2072">
        <v>0</v>
      </c>
      <c r="L2072">
        <v>2400</v>
      </c>
      <c r="M2072">
        <v>2400</v>
      </c>
      <c r="N2072">
        <v>0</v>
      </c>
    </row>
    <row r="2073" spans="1:14" x14ac:dyDescent="0.25">
      <c r="A2073">
        <v>1665.0188929999999</v>
      </c>
      <c r="B2073" s="1">
        <f>DATE(2014,11,21) + TIME(0,27,12)</f>
        <v>41964.018888888888</v>
      </c>
      <c r="C2073">
        <v>80</v>
      </c>
      <c r="D2073">
        <v>78.084053040000001</v>
      </c>
      <c r="E2073">
        <v>50</v>
      </c>
      <c r="F2073">
        <v>49.976467133</v>
      </c>
      <c r="G2073">
        <v>1301.2957764</v>
      </c>
      <c r="H2073">
        <v>1288.8026123</v>
      </c>
      <c r="I2073">
        <v>1397.0948486</v>
      </c>
      <c r="J2073">
        <v>1377.1882324000001</v>
      </c>
      <c r="K2073">
        <v>0</v>
      </c>
      <c r="L2073">
        <v>2400</v>
      </c>
      <c r="M2073">
        <v>2400</v>
      </c>
      <c r="N2073">
        <v>0</v>
      </c>
    </row>
    <row r="2074" spans="1:14" x14ac:dyDescent="0.25">
      <c r="A2074">
        <v>1666.1688710000001</v>
      </c>
      <c r="B2074" s="1">
        <f>DATE(2014,11,22) + TIME(4,3,10)</f>
        <v>41965.168865740743</v>
      </c>
      <c r="C2074">
        <v>80</v>
      </c>
      <c r="D2074">
        <v>77.992462157999995</v>
      </c>
      <c r="E2074">
        <v>50</v>
      </c>
      <c r="F2074">
        <v>49.976478577000002</v>
      </c>
      <c r="G2074">
        <v>1301.2525635</v>
      </c>
      <c r="H2074">
        <v>1288.7526855000001</v>
      </c>
      <c r="I2074">
        <v>1397.0235596</v>
      </c>
      <c r="J2074">
        <v>1377.1276855000001</v>
      </c>
      <c r="K2074">
        <v>0</v>
      </c>
      <c r="L2074">
        <v>2400</v>
      </c>
      <c r="M2074">
        <v>2400</v>
      </c>
      <c r="N2074">
        <v>0</v>
      </c>
    </row>
    <row r="2075" spans="1:14" x14ac:dyDescent="0.25">
      <c r="A2075">
        <v>1667.360361</v>
      </c>
      <c r="B2075" s="1">
        <f>DATE(2014,11,23) + TIME(8,38,55)</f>
        <v>41966.360358796293</v>
      </c>
      <c r="C2075">
        <v>80</v>
      </c>
      <c r="D2075">
        <v>77.899162292</v>
      </c>
      <c r="E2075">
        <v>50</v>
      </c>
      <c r="F2075">
        <v>49.976490020999996</v>
      </c>
      <c r="G2075">
        <v>1301.2078856999999</v>
      </c>
      <c r="H2075">
        <v>1288.7009277</v>
      </c>
      <c r="I2075">
        <v>1396.9543457</v>
      </c>
      <c r="J2075">
        <v>1377.0688477000001</v>
      </c>
      <c r="K2075">
        <v>0</v>
      </c>
      <c r="L2075">
        <v>2400</v>
      </c>
      <c r="M2075">
        <v>2400</v>
      </c>
      <c r="N2075">
        <v>0</v>
      </c>
    </row>
    <row r="2076" spans="1:14" x14ac:dyDescent="0.25">
      <c r="A2076">
        <v>1668.6093900000001</v>
      </c>
      <c r="B2076" s="1">
        <f>DATE(2014,11,24) + TIME(14,37,31)</f>
        <v>41967.609386574077</v>
      </c>
      <c r="C2076">
        <v>80</v>
      </c>
      <c r="D2076">
        <v>77.803451538000004</v>
      </c>
      <c r="E2076">
        <v>50</v>
      </c>
      <c r="F2076">
        <v>49.976501464999998</v>
      </c>
      <c r="G2076">
        <v>1301.1611327999999</v>
      </c>
      <c r="H2076">
        <v>1288.6463623</v>
      </c>
      <c r="I2076">
        <v>1396.8861084</v>
      </c>
      <c r="J2076">
        <v>1377.0108643000001</v>
      </c>
      <c r="K2076">
        <v>0</v>
      </c>
      <c r="L2076">
        <v>2400</v>
      </c>
      <c r="M2076">
        <v>2400</v>
      </c>
      <c r="N2076">
        <v>0</v>
      </c>
    </row>
    <row r="2077" spans="1:14" x14ac:dyDescent="0.25">
      <c r="A2077">
        <v>1669.93469</v>
      </c>
      <c r="B2077" s="1">
        <f>DATE(2014,11,25) + TIME(22,25,57)</f>
        <v>41968.934687499997</v>
      </c>
      <c r="C2077">
        <v>80</v>
      </c>
      <c r="D2077">
        <v>77.704330443999993</v>
      </c>
      <c r="E2077">
        <v>50</v>
      </c>
      <c r="F2077">
        <v>49.976516724</v>
      </c>
      <c r="G2077">
        <v>1301.1113281</v>
      </c>
      <c r="H2077">
        <v>1288.5883789</v>
      </c>
      <c r="I2077">
        <v>1396.8178711</v>
      </c>
      <c r="J2077">
        <v>1376.9530029</v>
      </c>
      <c r="K2077">
        <v>0</v>
      </c>
      <c r="L2077">
        <v>2400</v>
      </c>
      <c r="M2077">
        <v>2400</v>
      </c>
      <c r="N2077">
        <v>0</v>
      </c>
    </row>
    <row r="2078" spans="1:14" x14ac:dyDescent="0.25">
      <c r="A2078">
        <v>1671.331447</v>
      </c>
      <c r="B2078" s="1">
        <f>DATE(2014,11,27) + TIME(7,57,17)</f>
        <v>41970.331446759257</v>
      </c>
      <c r="C2078">
        <v>80</v>
      </c>
      <c r="D2078">
        <v>77.601303100999999</v>
      </c>
      <c r="E2078">
        <v>50</v>
      </c>
      <c r="F2078">
        <v>49.976528168000002</v>
      </c>
      <c r="G2078">
        <v>1301.0578613</v>
      </c>
      <c r="H2078">
        <v>1288.5257568</v>
      </c>
      <c r="I2078">
        <v>1396.7490233999999</v>
      </c>
      <c r="J2078">
        <v>1376.8946533000001</v>
      </c>
      <c r="K2078">
        <v>0</v>
      </c>
      <c r="L2078">
        <v>2400</v>
      </c>
      <c r="M2078">
        <v>2400</v>
      </c>
      <c r="N2078">
        <v>0</v>
      </c>
    </row>
    <row r="2079" spans="1:14" x14ac:dyDescent="0.25">
      <c r="A2079">
        <v>1672.776441</v>
      </c>
      <c r="B2079" s="1">
        <f>DATE(2014,11,28) + TIME(18,38,4)</f>
        <v>41971.776435185187</v>
      </c>
      <c r="C2079">
        <v>80</v>
      </c>
      <c r="D2079">
        <v>77.494972228999998</v>
      </c>
      <c r="E2079">
        <v>50</v>
      </c>
      <c r="F2079">
        <v>49.976543427000003</v>
      </c>
      <c r="G2079">
        <v>1301.0006103999999</v>
      </c>
      <c r="H2079">
        <v>1288.4586182</v>
      </c>
      <c r="I2079">
        <v>1396.6796875</v>
      </c>
      <c r="J2079">
        <v>1376.8360596</v>
      </c>
      <c r="K2079">
        <v>0</v>
      </c>
      <c r="L2079">
        <v>2400</v>
      </c>
      <c r="M2079">
        <v>2400</v>
      </c>
      <c r="N2079">
        <v>0</v>
      </c>
    </row>
    <row r="2080" spans="1:14" x14ac:dyDescent="0.25">
      <c r="A2080">
        <v>1674.2727769999999</v>
      </c>
      <c r="B2080" s="1">
        <f>DATE(2014,11,30) + TIME(6,32,47)</f>
        <v>41973.272766203707</v>
      </c>
      <c r="C2080">
        <v>80</v>
      </c>
      <c r="D2080">
        <v>77.386009216000005</v>
      </c>
      <c r="E2080">
        <v>50</v>
      </c>
      <c r="F2080">
        <v>49.976558685000001</v>
      </c>
      <c r="G2080">
        <v>1300.9404297000001</v>
      </c>
      <c r="H2080">
        <v>1288.3875731999999</v>
      </c>
      <c r="I2080">
        <v>1396.6114502</v>
      </c>
      <c r="J2080">
        <v>1376.7783202999999</v>
      </c>
      <c r="K2080">
        <v>0</v>
      </c>
      <c r="L2080">
        <v>2400</v>
      </c>
      <c r="M2080">
        <v>2400</v>
      </c>
      <c r="N2080">
        <v>0</v>
      </c>
    </row>
    <row r="2081" spans="1:14" x14ac:dyDescent="0.25">
      <c r="A2081">
        <v>1675</v>
      </c>
      <c r="B2081" s="1">
        <f>DATE(2014,12,1) + TIME(0,0,0)</f>
        <v>41974</v>
      </c>
      <c r="C2081">
        <v>80</v>
      </c>
      <c r="D2081">
        <v>77.306442261000001</v>
      </c>
      <c r="E2081">
        <v>50</v>
      </c>
      <c r="F2081">
        <v>49.9765625</v>
      </c>
      <c r="G2081">
        <v>1300.8759766000001</v>
      </c>
      <c r="H2081">
        <v>1288.3148193</v>
      </c>
      <c r="I2081">
        <v>1396.5437012</v>
      </c>
      <c r="J2081">
        <v>1376.7209473</v>
      </c>
      <c r="K2081">
        <v>0</v>
      </c>
      <c r="L2081">
        <v>2400</v>
      </c>
      <c r="M2081">
        <v>2400</v>
      </c>
      <c r="N2081">
        <v>0</v>
      </c>
    </row>
    <row r="2082" spans="1:14" x14ac:dyDescent="0.25">
      <c r="A2082">
        <v>1676.5226339999999</v>
      </c>
      <c r="B2082" s="1">
        <f>DATE(2014,12,2) + TIME(12,32,35)</f>
        <v>41975.522627314815</v>
      </c>
      <c r="C2082">
        <v>80</v>
      </c>
      <c r="D2082">
        <v>77.212730407999999</v>
      </c>
      <c r="E2082">
        <v>50</v>
      </c>
      <c r="F2082">
        <v>49.976581572999997</v>
      </c>
      <c r="G2082">
        <v>1300.8449707</v>
      </c>
      <c r="H2082">
        <v>1288.2729492000001</v>
      </c>
      <c r="I2082">
        <v>1396.5124512</v>
      </c>
      <c r="J2082">
        <v>1376.6945800999999</v>
      </c>
      <c r="K2082">
        <v>0</v>
      </c>
      <c r="L2082">
        <v>2400</v>
      </c>
      <c r="M2082">
        <v>2400</v>
      </c>
      <c r="N2082">
        <v>0</v>
      </c>
    </row>
    <row r="2083" spans="1:14" x14ac:dyDescent="0.25">
      <c r="A2083">
        <v>1678.121862</v>
      </c>
      <c r="B2083" s="1">
        <f>DATE(2014,12,4) + TIME(2,55,28)</f>
        <v>41977.121851851851</v>
      </c>
      <c r="C2083">
        <v>80</v>
      </c>
      <c r="D2083">
        <v>77.106575011999993</v>
      </c>
      <c r="E2083">
        <v>50</v>
      </c>
      <c r="F2083">
        <v>49.976600646999998</v>
      </c>
      <c r="G2083">
        <v>1300.7788086</v>
      </c>
      <c r="H2083">
        <v>1288.1948242000001</v>
      </c>
      <c r="I2083">
        <v>1396.4483643000001</v>
      </c>
      <c r="J2083">
        <v>1376.6405029</v>
      </c>
      <c r="K2083">
        <v>0</v>
      </c>
      <c r="L2083">
        <v>2400</v>
      </c>
      <c r="M2083">
        <v>2400</v>
      </c>
      <c r="N2083">
        <v>0</v>
      </c>
    </row>
    <row r="2084" spans="1:14" x14ac:dyDescent="0.25">
      <c r="A2084">
        <v>1679.796709</v>
      </c>
      <c r="B2084" s="1">
        <f>DATE(2014,12,5) + TIME(19,7,15)</f>
        <v>41978.796701388892</v>
      </c>
      <c r="C2084">
        <v>80</v>
      </c>
      <c r="D2084">
        <v>76.993415833</v>
      </c>
      <c r="E2084">
        <v>50</v>
      </c>
      <c r="F2084">
        <v>49.976619720000002</v>
      </c>
      <c r="G2084">
        <v>1300.7077637</v>
      </c>
      <c r="H2084">
        <v>1288.1097411999999</v>
      </c>
      <c r="I2084">
        <v>1396.3837891000001</v>
      </c>
      <c r="J2084">
        <v>1376.5860596</v>
      </c>
      <c r="K2084">
        <v>0</v>
      </c>
      <c r="L2084">
        <v>2400</v>
      </c>
      <c r="M2084">
        <v>2400</v>
      </c>
      <c r="N2084">
        <v>0</v>
      </c>
    </row>
    <row r="2085" spans="1:14" x14ac:dyDescent="0.25">
      <c r="A2085">
        <v>1681.560326</v>
      </c>
      <c r="B2085" s="1">
        <f>DATE(2014,12,7) + TIME(13,26,52)</f>
        <v>41980.560324074075</v>
      </c>
      <c r="C2085">
        <v>80</v>
      </c>
      <c r="D2085">
        <v>76.875129700000002</v>
      </c>
      <c r="E2085">
        <v>50</v>
      </c>
      <c r="F2085">
        <v>49.976638794000003</v>
      </c>
      <c r="G2085">
        <v>1300.6315918</v>
      </c>
      <c r="H2085">
        <v>1288.0180664</v>
      </c>
      <c r="I2085">
        <v>1396.3190918</v>
      </c>
      <c r="J2085">
        <v>1376.5313721</v>
      </c>
      <c r="K2085">
        <v>0</v>
      </c>
      <c r="L2085">
        <v>2400</v>
      </c>
      <c r="M2085">
        <v>2400</v>
      </c>
      <c r="N2085">
        <v>0</v>
      </c>
    </row>
    <row r="2086" spans="1:14" x14ac:dyDescent="0.25">
      <c r="A2086">
        <v>1683.4027819999999</v>
      </c>
      <c r="B2086" s="1">
        <f>DATE(2014,12,9) + TIME(9,40,0)</f>
        <v>41982.402777777781</v>
      </c>
      <c r="C2086">
        <v>80</v>
      </c>
      <c r="D2086">
        <v>76.752410889000004</v>
      </c>
      <c r="E2086">
        <v>50</v>
      </c>
      <c r="F2086">
        <v>49.976657867</v>
      </c>
      <c r="G2086">
        <v>1300.5496826000001</v>
      </c>
      <c r="H2086">
        <v>1287.9187012</v>
      </c>
      <c r="I2086">
        <v>1396.2539062000001</v>
      </c>
      <c r="J2086">
        <v>1376.4764404</v>
      </c>
      <c r="K2086">
        <v>0</v>
      </c>
      <c r="L2086">
        <v>2400</v>
      </c>
      <c r="M2086">
        <v>2400</v>
      </c>
      <c r="N2086">
        <v>0</v>
      </c>
    </row>
    <row r="2087" spans="1:14" x14ac:dyDescent="0.25">
      <c r="A2087">
        <v>1685.272048</v>
      </c>
      <c r="B2087" s="1">
        <f>DATE(2014,12,11) + TIME(6,31,44)</f>
        <v>41984.272037037037</v>
      </c>
      <c r="C2087">
        <v>80</v>
      </c>
      <c r="D2087">
        <v>76.626930236999996</v>
      </c>
      <c r="E2087">
        <v>50</v>
      </c>
      <c r="F2087">
        <v>49.976680756</v>
      </c>
      <c r="G2087">
        <v>1300.4619141000001</v>
      </c>
      <c r="H2087">
        <v>1287.8120117000001</v>
      </c>
      <c r="I2087">
        <v>1396.1885986</v>
      </c>
      <c r="J2087">
        <v>1376.4212646000001</v>
      </c>
      <c r="K2087">
        <v>0</v>
      </c>
      <c r="L2087">
        <v>2400</v>
      </c>
      <c r="M2087">
        <v>2400</v>
      </c>
      <c r="N2087">
        <v>0</v>
      </c>
    </row>
    <row r="2088" spans="1:14" x14ac:dyDescent="0.25">
      <c r="A2088">
        <v>1687.1733850000001</v>
      </c>
      <c r="B2088" s="1">
        <f>DATE(2014,12,13) + TIME(4,9,40)</f>
        <v>41986.173379629632</v>
      </c>
      <c r="C2088">
        <v>80</v>
      </c>
      <c r="D2088">
        <v>76.500480651999993</v>
      </c>
      <c r="E2088">
        <v>50</v>
      </c>
      <c r="F2088">
        <v>49.976703643999997</v>
      </c>
      <c r="G2088">
        <v>1300.3706055</v>
      </c>
      <c r="H2088">
        <v>1287.6999512</v>
      </c>
      <c r="I2088">
        <v>1396.1252440999999</v>
      </c>
      <c r="J2088">
        <v>1376.3677978999999</v>
      </c>
      <c r="K2088">
        <v>0</v>
      </c>
      <c r="L2088">
        <v>2400</v>
      </c>
      <c r="M2088">
        <v>2400</v>
      </c>
      <c r="N2088">
        <v>0</v>
      </c>
    </row>
    <row r="2089" spans="1:14" x14ac:dyDescent="0.25">
      <c r="A2089">
        <v>1689.1112869999999</v>
      </c>
      <c r="B2089" s="1">
        <f>DATE(2014,12,15) + TIME(2,40,15)</f>
        <v>41988.111284722225</v>
      </c>
      <c r="C2089">
        <v>80</v>
      </c>
      <c r="D2089">
        <v>76.373405457000004</v>
      </c>
      <c r="E2089">
        <v>50</v>
      </c>
      <c r="F2089">
        <v>49.976726532000001</v>
      </c>
      <c r="G2089">
        <v>1300.2753906</v>
      </c>
      <c r="H2089">
        <v>1287.5823975000001</v>
      </c>
      <c r="I2089">
        <v>1396.0633545000001</v>
      </c>
      <c r="J2089">
        <v>1376.3155518000001</v>
      </c>
      <c r="K2089">
        <v>0</v>
      </c>
      <c r="L2089">
        <v>2400</v>
      </c>
      <c r="M2089">
        <v>2400</v>
      </c>
      <c r="N2089">
        <v>0</v>
      </c>
    </row>
    <row r="2090" spans="1:14" x14ac:dyDescent="0.25">
      <c r="A2090">
        <v>1691.090265</v>
      </c>
      <c r="B2090" s="1">
        <f>DATE(2014,12,17) + TIME(2,9,58)</f>
        <v>41990.090254629627</v>
      </c>
      <c r="C2090">
        <v>80</v>
      </c>
      <c r="D2090">
        <v>76.245605468999997</v>
      </c>
      <c r="E2090">
        <v>50</v>
      </c>
      <c r="F2090">
        <v>49.976749419999997</v>
      </c>
      <c r="G2090">
        <v>1300.1756591999999</v>
      </c>
      <c r="H2090">
        <v>1287.4586182</v>
      </c>
      <c r="I2090">
        <v>1396.0026855000001</v>
      </c>
      <c r="J2090">
        <v>1376.2644043</v>
      </c>
      <c r="K2090">
        <v>0</v>
      </c>
      <c r="L2090">
        <v>2400</v>
      </c>
      <c r="M2090">
        <v>2400</v>
      </c>
      <c r="N2090">
        <v>0</v>
      </c>
    </row>
    <row r="2091" spans="1:14" x14ac:dyDescent="0.25">
      <c r="A2091">
        <v>1693.1084129999999</v>
      </c>
      <c r="B2091" s="1">
        <f>DATE(2014,12,19) + TIME(2,36,6)</f>
        <v>41992.108402777776</v>
      </c>
      <c r="C2091">
        <v>80</v>
      </c>
      <c r="D2091">
        <v>76.116973877000007</v>
      </c>
      <c r="E2091">
        <v>50</v>
      </c>
      <c r="F2091">
        <v>49.976772308000001</v>
      </c>
      <c r="G2091">
        <v>1300.0712891000001</v>
      </c>
      <c r="H2091">
        <v>1287.3282471</v>
      </c>
      <c r="I2091">
        <v>1395.9432373</v>
      </c>
      <c r="J2091">
        <v>1376.2141113</v>
      </c>
      <c r="K2091">
        <v>0</v>
      </c>
      <c r="L2091">
        <v>2400</v>
      </c>
      <c r="M2091">
        <v>2400</v>
      </c>
      <c r="N2091">
        <v>0</v>
      </c>
    </row>
    <row r="2092" spans="1:14" x14ac:dyDescent="0.25">
      <c r="A2092">
        <v>1695.1564920000001</v>
      </c>
      <c r="B2092" s="1">
        <f>DATE(2014,12,21) + TIME(3,45,20)</f>
        <v>41994.156481481485</v>
      </c>
      <c r="C2092">
        <v>80</v>
      </c>
      <c r="D2092">
        <v>75.987678528000004</v>
      </c>
      <c r="E2092">
        <v>50</v>
      </c>
      <c r="F2092">
        <v>49.976799010999997</v>
      </c>
      <c r="G2092">
        <v>1299.9619141000001</v>
      </c>
      <c r="H2092">
        <v>1287.190918</v>
      </c>
      <c r="I2092">
        <v>1395.8847656</v>
      </c>
      <c r="J2092">
        <v>1376.1646728999999</v>
      </c>
      <c r="K2092">
        <v>0</v>
      </c>
      <c r="L2092">
        <v>2400</v>
      </c>
      <c r="M2092">
        <v>2400</v>
      </c>
      <c r="N2092">
        <v>0</v>
      </c>
    </row>
    <row r="2093" spans="1:14" x14ac:dyDescent="0.25">
      <c r="A2093">
        <v>1697.240018</v>
      </c>
      <c r="B2093" s="1">
        <f>DATE(2014,12,23) + TIME(5,45,37)</f>
        <v>41996.240011574075</v>
      </c>
      <c r="C2093">
        <v>80</v>
      </c>
      <c r="D2093">
        <v>75.857887267999999</v>
      </c>
      <c r="E2093">
        <v>50</v>
      </c>
      <c r="F2093">
        <v>49.976825714</v>
      </c>
      <c r="G2093">
        <v>1299.8479004000001</v>
      </c>
      <c r="H2093">
        <v>1287.046875</v>
      </c>
      <c r="I2093">
        <v>1395.8276367000001</v>
      </c>
      <c r="J2093">
        <v>1376.1164550999999</v>
      </c>
      <c r="K2093">
        <v>0</v>
      </c>
      <c r="L2093">
        <v>2400</v>
      </c>
      <c r="M2093">
        <v>2400</v>
      </c>
      <c r="N2093">
        <v>0</v>
      </c>
    </row>
    <row r="2094" spans="1:14" x14ac:dyDescent="0.25">
      <c r="A2094">
        <v>1699.363846</v>
      </c>
      <c r="B2094" s="1">
        <f>DATE(2014,12,25) + TIME(8,43,56)</f>
        <v>41998.363842592589</v>
      </c>
      <c r="C2094">
        <v>80</v>
      </c>
      <c r="D2094">
        <v>75.727378845000004</v>
      </c>
      <c r="E2094">
        <v>50</v>
      </c>
      <c r="F2094">
        <v>49.976848601999997</v>
      </c>
      <c r="G2094">
        <v>1299.7287598</v>
      </c>
      <c r="H2094">
        <v>1286.8956298999999</v>
      </c>
      <c r="I2094">
        <v>1395.7716064000001</v>
      </c>
      <c r="J2094">
        <v>1376.0689697</v>
      </c>
      <c r="K2094">
        <v>0</v>
      </c>
      <c r="L2094">
        <v>2400</v>
      </c>
      <c r="M2094">
        <v>2400</v>
      </c>
      <c r="N2094">
        <v>0</v>
      </c>
    </row>
    <row r="2095" spans="1:14" x14ac:dyDescent="0.25">
      <c r="A2095">
        <v>1701.5267120000001</v>
      </c>
      <c r="B2095" s="1">
        <f>DATE(2014,12,27) + TIME(12,38,27)</f>
        <v>42000.526701388888</v>
      </c>
      <c r="C2095">
        <v>80</v>
      </c>
      <c r="D2095">
        <v>75.595962524000001</v>
      </c>
      <c r="E2095">
        <v>50</v>
      </c>
      <c r="F2095">
        <v>49.97687912</v>
      </c>
      <c r="G2095">
        <v>1299.6040039</v>
      </c>
      <c r="H2095">
        <v>1286.7364502</v>
      </c>
      <c r="I2095">
        <v>1395.7164307</v>
      </c>
      <c r="J2095">
        <v>1376.0223389</v>
      </c>
      <c r="K2095">
        <v>0</v>
      </c>
      <c r="L2095">
        <v>2400</v>
      </c>
      <c r="M2095">
        <v>2400</v>
      </c>
      <c r="N2095">
        <v>0</v>
      </c>
    </row>
    <row r="2096" spans="1:14" x14ac:dyDescent="0.25">
      <c r="A2096">
        <v>1703.7124140000001</v>
      </c>
      <c r="B2096" s="1">
        <f>DATE(2014,12,29) + TIME(17,5,52)</f>
        <v>42002.712407407409</v>
      </c>
      <c r="C2096">
        <v>80</v>
      </c>
      <c r="D2096">
        <v>75.463829040999997</v>
      </c>
      <c r="E2096">
        <v>50</v>
      </c>
      <c r="F2096">
        <v>49.976905823000003</v>
      </c>
      <c r="G2096">
        <v>1299.4736327999999</v>
      </c>
      <c r="H2096">
        <v>1286.5690918</v>
      </c>
      <c r="I2096">
        <v>1395.6622314000001</v>
      </c>
      <c r="J2096">
        <v>1375.9763184000001</v>
      </c>
      <c r="K2096">
        <v>0</v>
      </c>
      <c r="L2096">
        <v>2400</v>
      </c>
      <c r="M2096">
        <v>2400</v>
      </c>
      <c r="N2096">
        <v>0</v>
      </c>
    </row>
    <row r="2097" spans="1:14" x14ac:dyDescent="0.25">
      <c r="A2097">
        <v>1704.856207</v>
      </c>
      <c r="B2097" s="1">
        <f>DATE(2014,12,30) + TIME(20,32,56)</f>
        <v>42003.856203703705</v>
      </c>
      <c r="C2097">
        <v>80</v>
      </c>
      <c r="D2097">
        <v>75.358566284000005</v>
      </c>
      <c r="E2097">
        <v>50</v>
      </c>
      <c r="F2097">
        <v>49.976913451999998</v>
      </c>
      <c r="G2097">
        <v>1299.3399658000001</v>
      </c>
      <c r="H2097">
        <v>1286.4013672000001</v>
      </c>
      <c r="I2097">
        <v>1395.6087646000001</v>
      </c>
      <c r="J2097">
        <v>1375.9309082</v>
      </c>
      <c r="K2097">
        <v>0</v>
      </c>
      <c r="L2097">
        <v>2400</v>
      </c>
      <c r="M2097">
        <v>2400</v>
      </c>
      <c r="N2097">
        <v>0</v>
      </c>
    </row>
    <row r="2098" spans="1:14" x14ac:dyDescent="0.25">
      <c r="A2098">
        <v>1706</v>
      </c>
      <c r="B2098" s="1">
        <f>DATE(2015,1,1) + TIME(0,0,0)</f>
        <v>42005</v>
      </c>
      <c r="C2098">
        <v>80</v>
      </c>
      <c r="D2098">
        <v>75.274322510000005</v>
      </c>
      <c r="E2098">
        <v>50</v>
      </c>
      <c r="F2098">
        <v>49.976928710999999</v>
      </c>
      <c r="G2098">
        <v>1299.2634277</v>
      </c>
      <c r="H2098">
        <v>1286.2985839999999</v>
      </c>
      <c r="I2098">
        <v>1395.5817870999999</v>
      </c>
      <c r="J2098">
        <v>1375.9079589999999</v>
      </c>
      <c r="K2098">
        <v>0</v>
      </c>
      <c r="L2098">
        <v>2400</v>
      </c>
      <c r="M2098">
        <v>2400</v>
      </c>
      <c r="N2098">
        <v>0</v>
      </c>
    </row>
    <row r="2099" spans="1:14" x14ac:dyDescent="0.25">
      <c r="A2099">
        <v>1707.9902059999999</v>
      </c>
      <c r="B2099" s="1">
        <f>DATE(2015,1,2) + TIME(23,45,53)</f>
        <v>42006.99019675926</v>
      </c>
      <c r="C2099">
        <v>80</v>
      </c>
      <c r="D2099">
        <v>75.182571410999998</v>
      </c>
      <c r="E2099">
        <v>50</v>
      </c>
      <c r="F2099">
        <v>49.976955414000003</v>
      </c>
      <c r="G2099">
        <v>1299.1868896000001</v>
      </c>
      <c r="H2099">
        <v>1286.1947021000001</v>
      </c>
      <c r="I2099">
        <v>1395.5556641000001</v>
      </c>
      <c r="J2099">
        <v>1375.8857422000001</v>
      </c>
      <c r="K2099">
        <v>0</v>
      </c>
      <c r="L2099">
        <v>2400</v>
      </c>
      <c r="M2099">
        <v>2400</v>
      </c>
      <c r="N2099">
        <v>0</v>
      </c>
    </row>
    <row r="2100" spans="1:14" x14ac:dyDescent="0.25">
      <c r="A2100">
        <v>1710.252827</v>
      </c>
      <c r="B2100" s="1">
        <f>DATE(2015,1,5) + TIME(6,4,4)</f>
        <v>42009.252824074072</v>
      </c>
      <c r="C2100">
        <v>80</v>
      </c>
      <c r="D2100">
        <v>75.068008422999995</v>
      </c>
      <c r="E2100">
        <v>50</v>
      </c>
      <c r="F2100">
        <v>49.976985931000002</v>
      </c>
      <c r="G2100">
        <v>1299.0594481999999</v>
      </c>
      <c r="H2100">
        <v>1286.0300293</v>
      </c>
      <c r="I2100">
        <v>1395.5104980000001</v>
      </c>
      <c r="J2100">
        <v>1375.8474120999999</v>
      </c>
      <c r="K2100">
        <v>0</v>
      </c>
      <c r="L2100">
        <v>2400</v>
      </c>
      <c r="M2100">
        <v>2400</v>
      </c>
      <c r="N2100">
        <v>0</v>
      </c>
    </row>
    <row r="2101" spans="1:14" x14ac:dyDescent="0.25">
      <c r="A2101">
        <v>1712.557026</v>
      </c>
      <c r="B2101" s="1">
        <f>DATE(2015,1,7) + TIME(13,22,7)</f>
        <v>42011.557025462964</v>
      </c>
      <c r="C2101">
        <v>80</v>
      </c>
      <c r="D2101">
        <v>74.938911438000005</v>
      </c>
      <c r="E2101">
        <v>50</v>
      </c>
      <c r="F2101">
        <v>49.977016448999997</v>
      </c>
      <c r="G2101">
        <v>1298.9102783000001</v>
      </c>
      <c r="H2101">
        <v>1285.8361815999999</v>
      </c>
      <c r="I2101">
        <v>1395.4604492000001</v>
      </c>
      <c r="J2101">
        <v>1375.8048096</v>
      </c>
      <c r="K2101">
        <v>0</v>
      </c>
      <c r="L2101">
        <v>2400</v>
      </c>
      <c r="M2101">
        <v>2400</v>
      </c>
      <c r="N2101">
        <v>0</v>
      </c>
    </row>
    <row r="2102" spans="1:14" x14ac:dyDescent="0.25">
      <c r="A2102">
        <v>1714.8954639999999</v>
      </c>
      <c r="B2102" s="1">
        <f>DATE(2015,1,9) + TIME(21,29,28)</f>
        <v>42013.895462962966</v>
      </c>
      <c r="C2102">
        <v>80</v>
      </c>
      <c r="D2102">
        <v>74.804649353000002</v>
      </c>
      <c r="E2102">
        <v>50</v>
      </c>
      <c r="F2102">
        <v>49.977046967</v>
      </c>
      <c r="G2102">
        <v>1298.7531738</v>
      </c>
      <c r="H2102">
        <v>1285.6300048999999</v>
      </c>
      <c r="I2102">
        <v>1395.4108887</v>
      </c>
      <c r="J2102">
        <v>1375.7626952999999</v>
      </c>
      <c r="K2102">
        <v>0</v>
      </c>
      <c r="L2102">
        <v>2400</v>
      </c>
      <c r="M2102">
        <v>2400</v>
      </c>
      <c r="N2102">
        <v>0</v>
      </c>
    </row>
    <row r="2103" spans="1:14" x14ac:dyDescent="0.25">
      <c r="A2103">
        <v>1717.2627849999999</v>
      </c>
      <c r="B2103" s="1">
        <f>DATE(2015,1,12) + TIME(6,18,24)</f>
        <v>42016.262777777774</v>
      </c>
      <c r="C2103">
        <v>80</v>
      </c>
      <c r="D2103">
        <v>74.668045043999996</v>
      </c>
      <c r="E2103">
        <v>50</v>
      </c>
      <c r="F2103">
        <v>49.977077483999999</v>
      </c>
      <c r="G2103">
        <v>1298.5893555</v>
      </c>
      <c r="H2103">
        <v>1285.4139404</v>
      </c>
      <c r="I2103">
        <v>1395.3621826000001</v>
      </c>
      <c r="J2103">
        <v>1375.7211914</v>
      </c>
      <c r="K2103">
        <v>0</v>
      </c>
      <c r="L2103">
        <v>2400</v>
      </c>
      <c r="M2103">
        <v>2400</v>
      </c>
      <c r="N2103">
        <v>0</v>
      </c>
    </row>
    <row r="2104" spans="1:14" x14ac:dyDescent="0.25">
      <c r="A2104">
        <v>1719.6657379999999</v>
      </c>
      <c r="B2104" s="1">
        <f>DATE(2015,1,14) + TIME(15,58,39)</f>
        <v>42018.665729166663</v>
      </c>
      <c r="C2104">
        <v>80</v>
      </c>
      <c r="D2104">
        <v>74.529739379999995</v>
      </c>
      <c r="E2104">
        <v>50</v>
      </c>
      <c r="F2104">
        <v>49.977108002000001</v>
      </c>
      <c r="G2104">
        <v>1298.4194336</v>
      </c>
      <c r="H2104">
        <v>1285.1885986</v>
      </c>
      <c r="I2104">
        <v>1395.3142089999999</v>
      </c>
      <c r="J2104">
        <v>1375.6802978999999</v>
      </c>
      <c r="K2104">
        <v>0</v>
      </c>
      <c r="L2104">
        <v>2400</v>
      </c>
      <c r="M2104">
        <v>2400</v>
      </c>
      <c r="N2104">
        <v>0</v>
      </c>
    </row>
    <row r="2105" spans="1:14" x14ac:dyDescent="0.25">
      <c r="A2105">
        <v>1722.1103129999999</v>
      </c>
      <c r="B2105" s="1">
        <f>DATE(2015,1,17) + TIME(2,38,51)</f>
        <v>42021.110312500001</v>
      </c>
      <c r="C2105">
        <v>80</v>
      </c>
      <c r="D2105">
        <v>74.389511107999994</v>
      </c>
      <c r="E2105">
        <v>50</v>
      </c>
      <c r="F2105">
        <v>49.977138519</v>
      </c>
      <c r="G2105">
        <v>1298.2427978999999</v>
      </c>
      <c r="H2105">
        <v>1284.9536132999999</v>
      </c>
      <c r="I2105">
        <v>1395.2669678</v>
      </c>
      <c r="J2105">
        <v>1375.6398925999999</v>
      </c>
      <c r="K2105">
        <v>0</v>
      </c>
      <c r="L2105">
        <v>2400</v>
      </c>
      <c r="M2105">
        <v>2400</v>
      </c>
      <c r="N2105">
        <v>0</v>
      </c>
    </row>
    <row r="2106" spans="1:14" x14ac:dyDescent="0.25">
      <c r="A2106">
        <v>1724.5904390000001</v>
      </c>
      <c r="B2106" s="1">
        <f>DATE(2015,1,19) + TIME(14,10,13)</f>
        <v>42023.590428240743</v>
      </c>
      <c r="C2106">
        <v>80</v>
      </c>
      <c r="D2106">
        <v>74.247055054</v>
      </c>
      <c r="E2106">
        <v>50</v>
      </c>
      <c r="F2106">
        <v>49.977169037000003</v>
      </c>
      <c r="G2106">
        <v>1298.059082</v>
      </c>
      <c r="H2106">
        <v>1284.7080077999999</v>
      </c>
      <c r="I2106">
        <v>1395.2200928</v>
      </c>
      <c r="J2106">
        <v>1375.5998535000001</v>
      </c>
      <c r="K2106">
        <v>0</v>
      </c>
      <c r="L2106">
        <v>2400</v>
      </c>
      <c r="M2106">
        <v>2400</v>
      </c>
      <c r="N2106">
        <v>0</v>
      </c>
    </row>
    <row r="2107" spans="1:14" x14ac:dyDescent="0.25">
      <c r="A2107">
        <v>1727.105127</v>
      </c>
      <c r="B2107" s="1">
        <f>DATE(2015,1,22) + TIME(2,31,22)</f>
        <v>42026.105115740742</v>
      </c>
      <c r="C2107">
        <v>80</v>
      </c>
      <c r="D2107">
        <v>74.102310181000007</v>
      </c>
      <c r="E2107">
        <v>50</v>
      </c>
      <c r="F2107">
        <v>49.977203369000001</v>
      </c>
      <c r="G2107">
        <v>1297.8685303</v>
      </c>
      <c r="H2107">
        <v>1284.4523925999999</v>
      </c>
      <c r="I2107">
        <v>1395.1738281</v>
      </c>
      <c r="J2107">
        <v>1375.5601807</v>
      </c>
      <c r="K2107">
        <v>0</v>
      </c>
      <c r="L2107">
        <v>2400</v>
      </c>
      <c r="M2107">
        <v>2400</v>
      </c>
      <c r="N2107">
        <v>0</v>
      </c>
    </row>
    <row r="2108" spans="1:14" x14ac:dyDescent="0.25">
      <c r="A2108">
        <v>1729.649476</v>
      </c>
      <c r="B2108" s="1">
        <f>DATE(2015,1,24) + TIME(15,35,14)</f>
        <v>42028.649467592593</v>
      </c>
      <c r="C2108">
        <v>80</v>
      </c>
      <c r="D2108">
        <v>73.955184936999999</v>
      </c>
      <c r="E2108">
        <v>50</v>
      </c>
      <c r="F2108">
        <v>49.977233886999997</v>
      </c>
      <c r="G2108">
        <v>1297.6710204999999</v>
      </c>
      <c r="H2108">
        <v>1284.1865233999999</v>
      </c>
      <c r="I2108">
        <v>1395.1281738</v>
      </c>
      <c r="J2108">
        <v>1375.5209961</v>
      </c>
      <c r="K2108">
        <v>0</v>
      </c>
      <c r="L2108">
        <v>2400</v>
      </c>
      <c r="M2108">
        <v>2400</v>
      </c>
      <c r="N2108">
        <v>0</v>
      </c>
    </row>
    <row r="2109" spans="1:14" x14ac:dyDescent="0.25">
      <c r="A2109">
        <v>1732.2274749999999</v>
      </c>
      <c r="B2109" s="1">
        <f>DATE(2015,1,27) + TIME(5,27,33)</f>
        <v>42031.227465277778</v>
      </c>
      <c r="C2109">
        <v>80</v>
      </c>
      <c r="D2109">
        <v>73.805526732999994</v>
      </c>
      <c r="E2109">
        <v>50</v>
      </c>
      <c r="F2109">
        <v>49.977268219000003</v>
      </c>
      <c r="G2109">
        <v>1297.4669189000001</v>
      </c>
      <c r="H2109">
        <v>1283.9106445</v>
      </c>
      <c r="I2109">
        <v>1395.0831298999999</v>
      </c>
      <c r="J2109">
        <v>1375.4822998</v>
      </c>
      <c r="K2109">
        <v>0</v>
      </c>
      <c r="L2109">
        <v>2400</v>
      </c>
      <c r="M2109">
        <v>2400</v>
      </c>
      <c r="N2109">
        <v>0</v>
      </c>
    </row>
    <row r="2110" spans="1:14" x14ac:dyDescent="0.25">
      <c r="A2110">
        <v>1734.8447619999999</v>
      </c>
      <c r="B2110" s="1">
        <f>DATE(2015,1,29) + TIME(20,16,27)</f>
        <v>42033.844756944447</v>
      </c>
      <c r="C2110">
        <v>80</v>
      </c>
      <c r="D2110">
        <v>73.652885436999995</v>
      </c>
      <c r="E2110">
        <v>50</v>
      </c>
      <c r="F2110">
        <v>49.977302551000001</v>
      </c>
      <c r="G2110">
        <v>1297.2558594</v>
      </c>
      <c r="H2110">
        <v>1283.6246338000001</v>
      </c>
      <c r="I2110">
        <v>1395.0385742000001</v>
      </c>
      <c r="J2110">
        <v>1375.4439697</v>
      </c>
      <c r="K2110">
        <v>0</v>
      </c>
      <c r="L2110">
        <v>2400</v>
      </c>
      <c r="M2110">
        <v>2400</v>
      </c>
      <c r="N2110">
        <v>0</v>
      </c>
    </row>
    <row r="2111" spans="1:14" x14ac:dyDescent="0.25">
      <c r="A2111">
        <v>1737</v>
      </c>
      <c r="B2111" s="1">
        <f>DATE(2015,2,1) + TIME(0,0,0)</f>
        <v>42036</v>
      </c>
      <c r="C2111">
        <v>80</v>
      </c>
      <c r="D2111">
        <v>73.504882812000005</v>
      </c>
      <c r="E2111">
        <v>50</v>
      </c>
      <c r="F2111">
        <v>49.977329253999997</v>
      </c>
      <c r="G2111">
        <v>1297.0389404</v>
      </c>
      <c r="H2111">
        <v>1283.3312988</v>
      </c>
      <c r="I2111">
        <v>1394.9942627</v>
      </c>
      <c r="J2111">
        <v>1375.4058838000001</v>
      </c>
      <c r="K2111">
        <v>0</v>
      </c>
      <c r="L2111">
        <v>2400</v>
      </c>
      <c r="M2111">
        <v>2400</v>
      </c>
      <c r="N2111">
        <v>0</v>
      </c>
    </row>
    <row r="2112" spans="1:14" x14ac:dyDescent="0.25">
      <c r="A2112">
        <v>1739.6621190000001</v>
      </c>
      <c r="B2112" s="1">
        <f>DATE(2015,2,3) + TIME(15,53,27)</f>
        <v>42038.662118055552</v>
      </c>
      <c r="C2112">
        <v>80</v>
      </c>
      <c r="D2112">
        <v>73.362152100000003</v>
      </c>
      <c r="E2112">
        <v>50</v>
      </c>
      <c r="F2112">
        <v>49.977363586000003</v>
      </c>
      <c r="G2112">
        <v>1296.8504639</v>
      </c>
      <c r="H2112">
        <v>1283.0703125</v>
      </c>
      <c r="I2112">
        <v>1394.9588623</v>
      </c>
      <c r="J2112">
        <v>1375.3753661999999</v>
      </c>
      <c r="K2112">
        <v>0</v>
      </c>
      <c r="L2112">
        <v>2400</v>
      </c>
      <c r="M2112">
        <v>2400</v>
      </c>
      <c r="N2112">
        <v>0</v>
      </c>
    </row>
    <row r="2113" spans="1:14" x14ac:dyDescent="0.25">
      <c r="A2113">
        <v>1742.3895520000001</v>
      </c>
      <c r="B2113" s="1">
        <f>DATE(2015,2,6) + TIME(9,20,57)</f>
        <v>42041.389548611114</v>
      </c>
      <c r="C2113">
        <v>80</v>
      </c>
      <c r="D2113">
        <v>73.203445435000006</v>
      </c>
      <c r="E2113">
        <v>50</v>
      </c>
      <c r="F2113">
        <v>49.977397918999998</v>
      </c>
      <c r="G2113">
        <v>1296.6235352000001</v>
      </c>
      <c r="H2113">
        <v>1282.7611084</v>
      </c>
      <c r="I2113">
        <v>1394.9158935999999</v>
      </c>
      <c r="J2113">
        <v>1375.3381348</v>
      </c>
      <c r="K2113">
        <v>0</v>
      </c>
      <c r="L2113">
        <v>2400</v>
      </c>
      <c r="M2113">
        <v>2400</v>
      </c>
      <c r="N2113">
        <v>0</v>
      </c>
    </row>
    <row r="2114" spans="1:14" x14ac:dyDescent="0.25">
      <c r="A2114">
        <v>1745.148136</v>
      </c>
      <c r="B2114" s="1">
        <f>DATE(2015,2,9) + TIME(3,33,18)</f>
        <v>42044.148125</v>
      </c>
      <c r="C2114">
        <v>80</v>
      </c>
      <c r="D2114">
        <v>73.036628723000007</v>
      </c>
      <c r="E2114">
        <v>50</v>
      </c>
      <c r="F2114">
        <v>49.977432251000003</v>
      </c>
      <c r="G2114">
        <v>1296.3850098</v>
      </c>
      <c r="H2114">
        <v>1282.434082</v>
      </c>
      <c r="I2114">
        <v>1394.8726807</v>
      </c>
      <c r="J2114">
        <v>1375.3009033000001</v>
      </c>
      <c r="K2114">
        <v>0</v>
      </c>
      <c r="L2114">
        <v>2400</v>
      </c>
      <c r="M2114">
        <v>2400</v>
      </c>
      <c r="N2114">
        <v>0</v>
      </c>
    </row>
    <row r="2115" spans="1:14" x14ac:dyDescent="0.25">
      <c r="A2115">
        <v>1747.9444430000001</v>
      </c>
      <c r="B2115" s="1">
        <f>DATE(2015,2,11) + TIME(22,39,59)</f>
        <v>42046.944432870368</v>
      </c>
      <c r="C2115">
        <v>80</v>
      </c>
      <c r="D2115">
        <v>72.864303589000002</v>
      </c>
      <c r="E2115">
        <v>50</v>
      </c>
      <c r="F2115">
        <v>49.977466583000002</v>
      </c>
      <c r="G2115">
        <v>1296.1387939000001</v>
      </c>
      <c r="H2115">
        <v>1282.0952147999999</v>
      </c>
      <c r="I2115">
        <v>1394.8299560999999</v>
      </c>
      <c r="J2115">
        <v>1375.2639160000001</v>
      </c>
      <c r="K2115">
        <v>0</v>
      </c>
      <c r="L2115">
        <v>2400</v>
      </c>
      <c r="M2115">
        <v>2400</v>
      </c>
      <c r="N2115">
        <v>0</v>
      </c>
    </row>
    <row r="2116" spans="1:14" x14ac:dyDescent="0.25">
      <c r="A2116">
        <v>1750.7845219999999</v>
      </c>
      <c r="B2116" s="1">
        <f>DATE(2015,2,14) + TIME(18,49,42)</f>
        <v>42049.784513888888</v>
      </c>
      <c r="C2116">
        <v>80</v>
      </c>
      <c r="D2116">
        <v>72.686462402000004</v>
      </c>
      <c r="E2116">
        <v>50</v>
      </c>
      <c r="F2116">
        <v>49.97750473</v>
      </c>
      <c r="G2116">
        <v>1295.8851318</v>
      </c>
      <c r="H2116">
        <v>1281.744751</v>
      </c>
      <c r="I2116">
        <v>1394.7875977000001</v>
      </c>
      <c r="J2116">
        <v>1375.2271728999999</v>
      </c>
      <c r="K2116">
        <v>0</v>
      </c>
      <c r="L2116">
        <v>2400</v>
      </c>
      <c r="M2116">
        <v>2400</v>
      </c>
      <c r="N2116">
        <v>0</v>
      </c>
    </row>
    <row r="2117" spans="1:14" x14ac:dyDescent="0.25">
      <c r="A2117">
        <v>1753.6743530000001</v>
      </c>
      <c r="B2117" s="1">
        <f>DATE(2015,2,17) + TIME(16,11,4)</f>
        <v>42052.674351851849</v>
      </c>
      <c r="C2117">
        <v>80</v>
      </c>
      <c r="D2117">
        <v>72.502441406000003</v>
      </c>
      <c r="E2117">
        <v>50</v>
      </c>
      <c r="F2117">
        <v>49.977539061999998</v>
      </c>
      <c r="G2117">
        <v>1295.6234131000001</v>
      </c>
      <c r="H2117">
        <v>1281.3823242000001</v>
      </c>
      <c r="I2117">
        <v>1394.7453613</v>
      </c>
      <c r="J2117">
        <v>1375.1905518000001</v>
      </c>
      <c r="K2117">
        <v>0</v>
      </c>
      <c r="L2117">
        <v>2400</v>
      </c>
      <c r="M2117">
        <v>2400</v>
      </c>
      <c r="N2117">
        <v>0</v>
      </c>
    </row>
    <row r="2118" spans="1:14" x14ac:dyDescent="0.25">
      <c r="A2118">
        <v>1756.6199160000001</v>
      </c>
      <c r="B2118" s="1">
        <f>DATE(2015,2,20) + TIME(14,52,40)</f>
        <v>42055.61990740741</v>
      </c>
      <c r="C2118">
        <v>80</v>
      </c>
      <c r="D2118">
        <v>72.311424255000006</v>
      </c>
      <c r="E2118">
        <v>50</v>
      </c>
      <c r="F2118">
        <v>49.977577209000003</v>
      </c>
      <c r="G2118">
        <v>1295.3533935999999</v>
      </c>
      <c r="H2118">
        <v>1281.0072021000001</v>
      </c>
      <c r="I2118">
        <v>1394.7033690999999</v>
      </c>
      <c r="J2118">
        <v>1375.1539307</v>
      </c>
      <c r="K2118">
        <v>0</v>
      </c>
      <c r="L2118">
        <v>2400</v>
      </c>
      <c r="M2118">
        <v>2400</v>
      </c>
      <c r="N2118">
        <v>0</v>
      </c>
    </row>
    <row r="2119" spans="1:14" x14ac:dyDescent="0.25">
      <c r="A2119">
        <v>1759.6079890000001</v>
      </c>
      <c r="B2119" s="1">
        <f>DATE(2015,2,23) + TIME(14,35,30)</f>
        <v>42058.607986111114</v>
      </c>
      <c r="C2119">
        <v>80</v>
      </c>
      <c r="D2119">
        <v>72.112739563000005</v>
      </c>
      <c r="E2119">
        <v>50</v>
      </c>
      <c r="F2119">
        <v>49.977615356000001</v>
      </c>
      <c r="G2119">
        <v>1295.0743408000001</v>
      </c>
      <c r="H2119">
        <v>1280.6185303</v>
      </c>
      <c r="I2119">
        <v>1394.6612548999999</v>
      </c>
      <c r="J2119">
        <v>1375.1173096</v>
      </c>
      <c r="K2119">
        <v>0</v>
      </c>
      <c r="L2119">
        <v>2400</v>
      </c>
      <c r="M2119">
        <v>2400</v>
      </c>
      <c r="N2119">
        <v>0</v>
      </c>
    </row>
    <row r="2120" spans="1:14" x14ac:dyDescent="0.25">
      <c r="A2120">
        <v>1762.638434</v>
      </c>
      <c r="B2120" s="1">
        <f>DATE(2015,2,26) + TIME(15,19,20)</f>
        <v>42061.638425925928</v>
      </c>
      <c r="C2120">
        <v>80</v>
      </c>
      <c r="D2120">
        <v>71.906341553000004</v>
      </c>
      <c r="E2120">
        <v>50</v>
      </c>
      <c r="F2120">
        <v>49.977653502999999</v>
      </c>
      <c r="G2120">
        <v>1294.7874756000001</v>
      </c>
      <c r="H2120">
        <v>1280.2177733999999</v>
      </c>
      <c r="I2120">
        <v>1394.6193848</v>
      </c>
      <c r="J2120">
        <v>1375.0808105000001</v>
      </c>
      <c r="K2120">
        <v>0</v>
      </c>
      <c r="L2120">
        <v>2400</v>
      </c>
      <c r="M2120">
        <v>2400</v>
      </c>
      <c r="N2120">
        <v>0</v>
      </c>
    </row>
    <row r="2121" spans="1:14" x14ac:dyDescent="0.25">
      <c r="A2121">
        <v>1765</v>
      </c>
      <c r="B2121" s="1">
        <f>DATE(2015,3,1) + TIME(0,0,0)</f>
        <v>42064</v>
      </c>
      <c r="C2121">
        <v>80</v>
      </c>
      <c r="D2121">
        <v>71.704216002999999</v>
      </c>
      <c r="E2121">
        <v>50</v>
      </c>
      <c r="F2121">
        <v>49.977680206000002</v>
      </c>
      <c r="G2121">
        <v>1294.4953613</v>
      </c>
      <c r="H2121">
        <v>1279.8118896000001</v>
      </c>
      <c r="I2121">
        <v>1394.5773925999999</v>
      </c>
      <c r="J2121">
        <v>1375.0440673999999</v>
      </c>
      <c r="K2121">
        <v>0</v>
      </c>
      <c r="L2121">
        <v>2400</v>
      </c>
      <c r="M2121">
        <v>2400</v>
      </c>
      <c r="N2121">
        <v>0</v>
      </c>
    </row>
    <row r="2122" spans="1:14" x14ac:dyDescent="0.25">
      <c r="A2122">
        <v>1768.071324</v>
      </c>
      <c r="B2122" s="1">
        <f>DATE(2015,3,4) + TIME(1,42,42)</f>
        <v>42067.071319444447</v>
      </c>
      <c r="C2122">
        <v>80</v>
      </c>
      <c r="D2122">
        <v>71.513053893999995</v>
      </c>
      <c r="E2122">
        <v>50</v>
      </c>
      <c r="F2122">
        <v>49.977718353</v>
      </c>
      <c r="G2122">
        <v>1294.2535399999999</v>
      </c>
      <c r="H2122">
        <v>1279.4656981999999</v>
      </c>
      <c r="I2122">
        <v>1394.5456543</v>
      </c>
      <c r="J2122">
        <v>1375.0162353999999</v>
      </c>
      <c r="K2122">
        <v>0</v>
      </c>
      <c r="L2122">
        <v>2400</v>
      </c>
      <c r="M2122">
        <v>2400</v>
      </c>
      <c r="N2122">
        <v>0</v>
      </c>
    </row>
    <row r="2123" spans="1:14" x14ac:dyDescent="0.25">
      <c r="A2123">
        <v>1771.2320219999999</v>
      </c>
      <c r="B2123" s="1">
        <f>DATE(2015,3,7) + TIME(5,34,6)</f>
        <v>42070.23201388889</v>
      </c>
      <c r="C2123">
        <v>80</v>
      </c>
      <c r="D2123">
        <v>71.290359496999997</v>
      </c>
      <c r="E2123">
        <v>50</v>
      </c>
      <c r="F2123">
        <v>49.977756499999998</v>
      </c>
      <c r="G2123">
        <v>1293.9542236</v>
      </c>
      <c r="H2123">
        <v>1279.0466309000001</v>
      </c>
      <c r="I2123">
        <v>1394.5046387</v>
      </c>
      <c r="J2123">
        <v>1374.9803466999999</v>
      </c>
      <c r="K2123">
        <v>0</v>
      </c>
      <c r="L2123">
        <v>2400</v>
      </c>
      <c r="M2123">
        <v>2400</v>
      </c>
      <c r="N2123">
        <v>0</v>
      </c>
    </row>
    <row r="2124" spans="1:14" x14ac:dyDescent="0.25">
      <c r="A2124">
        <v>1774.4348010000001</v>
      </c>
      <c r="B2124" s="1">
        <f>DATE(2015,3,10) + TIME(10,26,6)</f>
        <v>42073.434791666667</v>
      </c>
      <c r="C2124">
        <v>80</v>
      </c>
      <c r="D2124">
        <v>71.051269531000003</v>
      </c>
      <c r="E2124">
        <v>50</v>
      </c>
      <c r="F2124">
        <v>49.977798462000003</v>
      </c>
      <c r="G2124">
        <v>1293.6392822</v>
      </c>
      <c r="H2124">
        <v>1278.6029053</v>
      </c>
      <c r="I2124">
        <v>1394.4630127</v>
      </c>
      <c r="J2124">
        <v>1374.9438477000001</v>
      </c>
      <c r="K2124">
        <v>0</v>
      </c>
      <c r="L2124">
        <v>2400</v>
      </c>
      <c r="M2124">
        <v>2400</v>
      </c>
      <c r="N2124">
        <v>0</v>
      </c>
    </row>
    <row r="2125" spans="1:14" x14ac:dyDescent="0.25">
      <c r="A2125">
        <v>1777.6847760000001</v>
      </c>
      <c r="B2125" s="1">
        <f>DATE(2015,3,13) + TIME(16,26,4)</f>
        <v>42076.68476851852</v>
      </c>
      <c r="C2125">
        <v>80</v>
      </c>
      <c r="D2125">
        <v>70.800643921000002</v>
      </c>
      <c r="E2125">
        <v>50</v>
      </c>
      <c r="F2125">
        <v>49.977836609000001</v>
      </c>
      <c r="G2125">
        <v>1293.3157959</v>
      </c>
      <c r="H2125">
        <v>1278.1451416</v>
      </c>
      <c r="I2125">
        <v>1394.4216309000001</v>
      </c>
      <c r="J2125">
        <v>1374.9073486</v>
      </c>
      <c r="K2125">
        <v>0</v>
      </c>
      <c r="L2125">
        <v>2400</v>
      </c>
      <c r="M2125">
        <v>2400</v>
      </c>
      <c r="N2125">
        <v>0</v>
      </c>
    </row>
    <row r="2126" spans="1:14" x14ac:dyDescent="0.25">
      <c r="A2126">
        <v>1780.9888920000001</v>
      </c>
      <c r="B2126" s="1">
        <f>DATE(2015,3,16) + TIME(23,44,0)</f>
        <v>42079.988888888889</v>
      </c>
      <c r="C2126">
        <v>80</v>
      </c>
      <c r="D2126">
        <v>70.538642882999994</v>
      </c>
      <c r="E2126">
        <v>50</v>
      </c>
      <c r="F2126">
        <v>49.977874755999999</v>
      </c>
      <c r="G2126">
        <v>1292.9844971</v>
      </c>
      <c r="H2126">
        <v>1277.6750488</v>
      </c>
      <c r="I2126">
        <v>1394.3801269999999</v>
      </c>
      <c r="J2126">
        <v>1374.8708495999999</v>
      </c>
      <c r="K2126">
        <v>0</v>
      </c>
      <c r="L2126">
        <v>2400</v>
      </c>
      <c r="M2126">
        <v>2400</v>
      </c>
      <c r="N2126">
        <v>0</v>
      </c>
    </row>
    <row r="2127" spans="1:14" x14ac:dyDescent="0.25">
      <c r="A2127">
        <v>1784.3541620000001</v>
      </c>
      <c r="B2127" s="1">
        <f>DATE(2015,3,20) + TIME(8,29,59)</f>
        <v>42083.354155092595</v>
      </c>
      <c r="C2127">
        <v>80</v>
      </c>
      <c r="D2127">
        <v>70.264495850000003</v>
      </c>
      <c r="E2127">
        <v>50</v>
      </c>
      <c r="F2127">
        <v>49.977916718000003</v>
      </c>
      <c r="G2127">
        <v>1292.6451416</v>
      </c>
      <c r="H2127">
        <v>1277.1921387</v>
      </c>
      <c r="I2127">
        <v>1394.3386230000001</v>
      </c>
      <c r="J2127">
        <v>1374.8342285000001</v>
      </c>
      <c r="K2127">
        <v>0</v>
      </c>
      <c r="L2127">
        <v>2400</v>
      </c>
      <c r="M2127">
        <v>2400</v>
      </c>
      <c r="N2127">
        <v>0</v>
      </c>
    </row>
    <row r="2128" spans="1:14" x14ac:dyDescent="0.25">
      <c r="A2128">
        <v>1787.7878040000001</v>
      </c>
      <c r="B2128" s="1">
        <f>DATE(2015,3,23) + TIME(18,54,26)</f>
        <v>42086.787800925929</v>
      </c>
      <c r="C2128">
        <v>80</v>
      </c>
      <c r="D2128">
        <v>69.977287292</v>
      </c>
      <c r="E2128">
        <v>50</v>
      </c>
      <c r="F2128">
        <v>49.977958678999997</v>
      </c>
      <c r="G2128">
        <v>1292.2972411999999</v>
      </c>
      <c r="H2128">
        <v>1276.6958007999999</v>
      </c>
      <c r="I2128">
        <v>1394.2969971</v>
      </c>
      <c r="J2128">
        <v>1374.7973632999999</v>
      </c>
      <c r="K2128">
        <v>0</v>
      </c>
      <c r="L2128">
        <v>2400</v>
      </c>
      <c r="M2128">
        <v>2400</v>
      </c>
      <c r="N2128">
        <v>0</v>
      </c>
    </row>
    <row r="2129" spans="1:14" x14ac:dyDescent="0.25">
      <c r="A2129">
        <v>1791.297352</v>
      </c>
      <c r="B2129" s="1">
        <f>DATE(2015,3,27) + TIME(7,8,11)</f>
        <v>42090.297349537039</v>
      </c>
      <c r="C2129">
        <v>80</v>
      </c>
      <c r="D2129">
        <v>69.674957274999997</v>
      </c>
      <c r="E2129">
        <v>50</v>
      </c>
      <c r="F2129">
        <v>49.978000641000001</v>
      </c>
      <c r="G2129">
        <v>1291.9401855000001</v>
      </c>
      <c r="H2129">
        <v>1276.1849365</v>
      </c>
      <c r="I2129">
        <v>1394.2550048999999</v>
      </c>
      <c r="J2129">
        <v>1374.7601318</v>
      </c>
      <c r="K2129">
        <v>0</v>
      </c>
      <c r="L2129">
        <v>2400</v>
      </c>
      <c r="M2129">
        <v>2400</v>
      </c>
      <c r="N2129">
        <v>0</v>
      </c>
    </row>
    <row r="2130" spans="1:14" x14ac:dyDescent="0.25">
      <c r="A2130">
        <v>1794.881893</v>
      </c>
      <c r="B2130" s="1">
        <f>DATE(2015,3,30) + TIME(21,9,55)</f>
        <v>42093.881886574076</v>
      </c>
      <c r="C2130">
        <v>80</v>
      </c>
      <c r="D2130">
        <v>69.356933593999997</v>
      </c>
      <c r="E2130">
        <v>50</v>
      </c>
      <c r="F2130">
        <v>49.978042602999999</v>
      </c>
      <c r="G2130">
        <v>1291.5734863</v>
      </c>
      <c r="H2130">
        <v>1275.6589355000001</v>
      </c>
      <c r="I2130">
        <v>1394.2125243999999</v>
      </c>
      <c r="J2130">
        <v>1374.7225341999999</v>
      </c>
      <c r="K2130">
        <v>0</v>
      </c>
      <c r="L2130">
        <v>2400</v>
      </c>
      <c r="M2130">
        <v>2400</v>
      </c>
      <c r="N2130">
        <v>0</v>
      </c>
    </row>
    <row r="2131" spans="1:14" x14ac:dyDescent="0.25">
      <c r="A2131">
        <v>1796</v>
      </c>
      <c r="B2131" s="1">
        <f>DATE(2015,4,1) + TIME(0,0,0)</f>
        <v>42095</v>
      </c>
      <c r="C2131">
        <v>80</v>
      </c>
      <c r="D2131">
        <v>69.115104674999998</v>
      </c>
      <c r="E2131">
        <v>50</v>
      </c>
      <c r="F2131">
        <v>49.978050232000001</v>
      </c>
      <c r="G2131">
        <v>1291.2133789</v>
      </c>
      <c r="H2131">
        <v>1275.1657714999999</v>
      </c>
      <c r="I2131">
        <v>1394.1693115</v>
      </c>
      <c r="J2131">
        <v>1374.6839600000001</v>
      </c>
      <c r="K2131">
        <v>0</v>
      </c>
      <c r="L2131">
        <v>2400</v>
      </c>
      <c r="M2131">
        <v>2400</v>
      </c>
      <c r="N213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2022-05-31T07:17:46Z</dcterms:created>
  <dcterms:modified xsi:type="dcterms:W3CDTF">2022-05-31T07:18:55Z</dcterms:modified>
</cp:coreProperties>
</file>